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Technology/Semiconductors/"/>
    </mc:Choice>
  </mc:AlternateContent>
  <xr:revisionPtr revIDLastSave="0" documentId="13_ncr:1_{76ABEF9D-AF30-1D49-BDBE-D0E129F22174}" xr6:coauthVersionLast="47" xr6:coauthVersionMax="47" xr10:uidLastSave="{00000000-0000-0000-0000-000000000000}"/>
  <bookViews>
    <workbookView xWindow="0" yWindow="500" windowWidth="28800" windowHeight="16020" activeTab="3" xr2:uid="{B8E50208-D0F5-8245-B959-332025CCE0ED}"/>
  </bookViews>
  <sheets>
    <sheet name="Assumptions" sheetId="2" r:id="rId1"/>
    <sheet name="Balance Sheet" sheetId="3" r:id="rId2"/>
    <sheet name="Statement of Cashflow" sheetId="4" r:id="rId3"/>
    <sheet name="Statement of Operations" sheetId="1" r:id="rId4"/>
    <sheet name="Valuation &amp; Forecast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1" i="1" l="1"/>
  <c r="J12" i="1"/>
  <c r="AH13" i="1"/>
  <c r="AK13" i="1"/>
  <c r="AJ13" i="1"/>
  <c r="AI13" i="1"/>
  <c r="AG13" i="1"/>
  <c r="AB13" i="1"/>
  <c r="W13" i="1"/>
  <c r="AE13" i="1"/>
  <c r="AD13" i="1"/>
  <c r="AC13" i="1"/>
  <c r="Z13" i="1"/>
  <c r="Y13" i="1"/>
  <c r="X13" i="1"/>
  <c r="S13" i="1"/>
  <c r="T13" i="1"/>
  <c r="U13" i="1"/>
  <c r="R13" i="1"/>
  <c r="AH106" i="1"/>
  <c r="I194" i="5"/>
  <c r="J194" i="5"/>
  <c r="K194" i="5"/>
  <c r="L194" i="5"/>
  <c r="M194" i="5"/>
  <c r="N194" i="5"/>
  <c r="H194" i="5"/>
  <c r="L193" i="5"/>
  <c r="M193" i="5"/>
  <c r="N193" i="5"/>
  <c r="I193" i="5"/>
  <c r="J193" i="5"/>
  <c r="K193" i="5"/>
  <c r="H193" i="5"/>
  <c r="I192" i="5"/>
  <c r="J192" i="5"/>
  <c r="K192" i="5"/>
  <c r="L192" i="5"/>
  <c r="M192" i="5"/>
  <c r="N192" i="5"/>
  <c r="H192" i="5"/>
  <c r="I191" i="5"/>
  <c r="J191" i="5"/>
  <c r="K191" i="5"/>
  <c r="L191" i="5"/>
  <c r="M191" i="5"/>
  <c r="N191" i="5"/>
  <c r="H191" i="5"/>
  <c r="O22" i="1"/>
  <c r="P22" i="1"/>
  <c r="J22" i="1"/>
  <c r="J8" i="1"/>
  <c r="K8" i="1" s="1"/>
  <c r="L8" i="1" s="1"/>
  <c r="M8" i="1" s="1"/>
  <c r="N8" i="1" s="1"/>
  <c r="O8" i="1" s="1"/>
  <c r="P8" i="1" s="1"/>
  <c r="L12" i="1"/>
  <c r="M12" i="1" s="1"/>
  <c r="N12" i="1" s="1"/>
  <c r="P106" i="1"/>
  <c r="J5" i="1"/>
  <c r="J4" i="1" s="1"/>
  <c r="K4" i="1" s="1"/>
  <c r="L4" i="1" s="1"/>
  <c r="M4" i="1" s="1"/>
  <c r="N4" i="1" s="1"/>
  <c r="O4" i="1" s="1"/>
  <c r="J27" i="1"/>
  <c r="J29" i="1"/>
  <c r="J31" i="1"/>
  <c r="J32" i="1"/>
  <c r="J33" i="1"/>
  <c r="J34" i="1"/>
  <c r="J19" i="1"/>
  <c r="J20" i="1"/>
  <c r="J21" i="1"/>
  <c r="J23" i="1"/>
  <c r="J18" i="1"/>
  <c r="J11" i="1"/>
  <c r="J14" i="1"/>
  <c r="J15" i="1"/>
  <c r="J9" i="1"/>
  <c r="J6" i="1"/>
  <c r="J7" i="1"/>
  <c r="J10" i="1" l="1"/>
  <c r="J16" i="1" s="1"/>
  <c r="J28" i="1" s="1"/>
  <c r="B242" i="5" l="1"/>
  <c r="C242" i="5"/>
  <c r="D242" i="5"/>
  <c r="E242" i="5"/>
  <c r="F242" i="5"/>
  <c r="G242" i="5"/>
  <c r="C224" i="5"/>
  <c r="D224" i="5"/>
  <c r="E224" i="5"/>
  <c r="F224" i="5"/>
  <c r="G224" i="5"/>
  <c r="B224" i="5"/>
  <c r="C223" i="5"/>
  <c r="D223" i="5"/>
  <c r="E223" i="5"/>
  <c r="F223" i="5"/>
  <c r="G223" i="5"/>
  <c r="B223" i="5"/>
  <c r="C185" i="5"/>
  <c r="D185" i="5"/>
  <c r="E185" i="5"/>
  <c r="F185" i="5"/>
  <c r="G185" i="5"/>
  <c r="C216" i="5"/>
  <c r="D216" i="5"/>
  <c r="E216" i="5"/>
  <c r="F216" i="5"/>
  <c r="G216" i="5"/>
  <c r="C217" i="5"/>
  <c r="D217" i="5"/>
  <c r="E217" i="5"/>
  <c r="F217" i="5"/>
  <c r="G217" i="5"/>
  <c r="B217" i="5"/>
  <c r="B216" i="5"/>
  <c r="C215" i="5"/>
  <c r="C218" i="5" s="1"/>
  <c r="C226" i="5" s="1"/>
  <c r="D215" i="5"/>
  <c r="E215" i="5"/>
  <c r="F215" i="5"/>
  <c r="G215" i="5"/>
  <c r="G218" i="5" s="1"/>
  <c r="G226" i="5" s="1"/>
  <c r="B215" i="5"/>
  <c r="B185" i="5"/>
  <c r="C114" i="5"/>
  <c r="B114" i="5"/>
  <c r="C113" i="5"/>
  <c r="B113" i="5"/>
  <c r="C111" i="5"/>
  <c r="B111" i="5"/>
  <c r="G107" i="5"/>
  <c r="F107" i="5"/>
  <c r="C107" i="5"/>
  <c r="B107" i="5"/>
  <c r="B106" i="5"/>
  <c r="G105" i="5"/>
  <c r="F105" i="5"/>
  <c r="E105" i="5"/>
  <c r="D105" i="5"/>
  <c r="C105" i="5"/>
  <c r="B105" i="5"/>
  <c r="G104" i="5"/>
  <c r="F104" i="5"/>
  <c r="E104" i="5"/>
  <c r="D104" i="5"/>
  <c r="C104" i="5"/>
  <c r="B104" i="5"/>
  <c r="G102" i="5"/>
  <c r="F102" i="5"/>
  <c r="E102" i="5"/>
  <c r="D102" i="5"/>
  <c r="C102" i="5"/>
  <c r="B102" i="5"/>
  <c r="G101" i="5"/>
  <c r="F101" i="5"/>
  <c r="E101" i="5"/>
  <c r="D101" i="5"/>
  <c r="C101" i="5"/>
  <c r="B101" i="5"/>
  <c r="C100" i="5"/>
  <c r="B100" i="5"/>
  <c r="B95" i="5"/>
  <c r="B93" i="5"/>
  <c r="C92" i="5"/>
  <c r="C91" i="5"/>
  <c r="C90" i="5"/>
  <c r="B89" i="5"/>
  <c r="G85" i="5"/>
  <c r="F85" i="5"/>
  <c r="E85" i="5"/>
  <c r="D85" i="5"/>
  <c r="C85" i="5"/>
  <c r="G80" i="5"/>
  <c r="F80" i="5"/>
  <c r="E80" i="5"/>
  <c r="D80" i="5"/>
  <c r="C80" i="5"/>
  <c r="G78" i="5"/>
  <c r="F78" i="5"/>
  <c r="E78" i="5"/>
  <c r="D78" i="5"/>
  <c r="C78" i="5"/>
  <c r="G77" i="5"/>
  <c r="F77" i="5"/>
  <c r="E77" i="5"/>
  <c r="D77" i="5"/>
  <c r="C77" i="5"/>
  <c r="G74" i="5"/>
  <c r="F74" i="5"/>
  <c r="E74" i="5"/>
  <c r="D74" i="5"/>
  <c r="C74" i="5"/>
  <c r="G73" i="5"/>
  <c r="F73" i="5"/>
  <c r="E73" i="5"/>
  <c r="D73" i="5"/>
  <c r="C73" i="5"/>
  <c r="G72" i="5"/>
  <c r="F72" i="5"/>
  <c r="E72" i="5"/>
  <c r="D72" i="5"/>
  <c r="C72" i="5"/>
  <c r="G69" i="5"/>
  <c r="F69" i="5"/>
  <c r="E69" i="5"/>
  <c r="D69" i="5"/>
  <c r="C69" i="5"/>
  <c r="C68" i="5"/>
  <c r="G67" i="5"/>
  <c r="F67" i="5"/>
  <c r="E67" i="5"/>
  <c r="D67" i="5"/>
  <c r="C67" i="5"/>
  <c r="G64" i="5"/>
  <c r="C64" i="5"/>
  <c r="G62" i="5"/>
  <c r="F62" i="5"/>
  <c r="E62" i="5"/>
  <c r="D62" i="5"/>
  <c r="C62" i="5"/>
  <c r="G61" i="5"/>
  <c r="F61" i="5"/>
  <c r="E61" i="5"/>
  <c r="D61" i="5"/>
  <c r="C61" i="5"/>
  <c r="G60" i="5"/>
  <c r="F60" i="5"/>
  <c r="E60" i="5"/>
  <c r="D60" i="5"/>
  <c r="C60" i="5"/>
  <c r="G59" i="5"/>
  <c r="F59" i="5"/>
  <c r="E59" i="5"/>
  <c r="D59" i="5"/>
  <c r="C59" i="5"/>
  <c r="G58" i="5"/>
  <c r="F58" i="5"/>
  <c r="E58" i="5"/>
  <c r="D58" i="5"/>
  <c r="C58" i="5"/>
  <c r="G56" i="5"/>
  <c r="C56" i="5"/>
  <c r="G54" i="5"/>
  <c r="F54" i="5"/>
  <c r="E54" i="5"/>
  <c r="D54" i="5"/>
  <c r="C54" i="5"/>
  <c r="G53" i="5"/>
  <c r="F53" i="5"/>
  <c r="E53" i="5"/>
  <c r="D53" i="5"/>
  <c r="C53" i="5"/>
  <c r="G52" i="5"/>
  <c r="F52" i="5"/>
  <c r="E52" i="5"/>
  <c r="D52" i="5"/>
  <c r="C52" i="5"/>
  <c r="G51" i="5"/>
  <c r="F51" i="5"/>
  <c r="E51" i="5"/>
  <c r="D51" i="5"/>
  <c r="C51" i="5"/>
  <c r="G50" i="5"/>
  <c r="F50" i="5"/>
  <c r="E50" i="5"/>
  <c r="D50" i="5"/>
  <c r="C50" i="5"/>
  <c r="G49" i="5"/>
  <c r="F49" i="5"/>
  <c r="E49" i="5"/>
  <c r="D49" i="5"/>
  <c r="C49" i="5"/>
  <c r="G48" i="5"/>
  <c r="F48" i="5"/>
  <c r="E48" i="5"/>
  <c r="D48" i="5"/>
  <c r="C48" i="5"/>
  <c r="C47" i="5"/>
  <c r="G34" i="5"/>
  <c r="F34" i="5"/>
  <c r="E34" i="5"/>
  <c r="D34" i="5"/>
  <c r="C34" i="5"/>
  <c r="C112" i="5" s="1"/>
  <c r="B34" i="5"/>
  <c r="C29" i="5"/>
  <c r="B29" i="5"/>
  <c r="G24" i="5"/>
  <c r="F24" i="5"/>
  <c r="C24" i="5"/>
  <c r="B24" i="5"/>
  <c r="E23" i="5"/>
  <c r="D23" i="5"/>
  <c r="D64" i="5" s="1"/>
  <c r="E14" i="5"/>
  <c r="F56" i="5" s="1"/>
  <c r="D14" i="5"/>
  <c r="C10" i="5"/>
  <c r="C103" i="5" s="1"/>
  <c r="B10" i="5"/>
  <c r="B103" i="5" s="1"/>
  <c r="G4" i="5"/>
  <c r="F4" i="5"/>
  <c r="E4" i="5"/>
  <c r="D4" i="5"/>
  <c r="D10" i="5" s="1"/>
  <c r="F2" i="5"/>
  <c r="E2" i="5" s="1"/>
  <c r="D2" i="5" s="1"/>
  <c r="C2" i="5" s="1"/>
  <c r="B2" i="5" s="1"/>
  <c r="F74" i="4"/>
  <c r="F72" i="4"/>
  <c r="F66" i="4"/>
  <c r="F75" i="4"/>
  <c r="B64" i="4"/>
  <c r="B63" i="4"/>
  <c r="B61" i="4"/>
  <c r="B60" i="4"/>
  <c r="B65" i="4"/>
  <c r="B67" i="4" s="1"/>
  <c r="B68" i="4" s="1"/>
  <c r="C66" i="4"/>
  <c r="D66" i="4"/>
  <c r="E66" i="4"/>
  <c r="G66" i="4"/>
  <c r="H66" i="4"/>
  <c r="B66" i="4"/>
  <c r="C65" i="4"/>
  <c r="C74" i="4"/>
  <c r="D74" i="4"/>
  <c r="E74" i="4"/>
  <c r="G74" i="4"/>
  <c r="H74" i="4"/>
  <c r="B74" i="4"/>
  <c r="C72" i="4"/>
  <c r="C73" i="4"/>
  <c r="D73" i="4"/>
  <c r="E73" i="4"/>
  <c r="F73" i="4"/>
  <c r="G73" i="4"/>
  <c r="H73" i="4"/>
  <c r="B73" i="4"/>
  <c r="D72" i="4"/>
  <c r="E72" i="4"/>
  <c r="G72" i="4"/>
  <c r="H72" i="4"/>
  <c r="B72" i="4"/>
  <c r="C71" i="4"/>
  <c r="D71" i="4"/>
  <c r="E71" i="4"/>
  <c r="F71" i="4"/>
  <c r="G71" i="4"/>
  <c r="H71" i="4"/>
  <c r="B71" i="4"/>
  <c r="H70" i="4"/>
  <c r="C70" i="4"/>
  <c r="D70" i="4"/>
  <c r="E70" i="4"/>
  <c r="F70" i="4"/>
  <c r="G70" i="4"/>
  <c r="B70" i="4"/>
  <c r="C69" i="4"/>
  <c r="D69" i="4"/>
  <c r="E69" i="4"/>
  <c r="F69" i="4"/>
  <c r="G69" i="4"/>
  <c r="H69" i="4"/>
  <c r="B69" i="4"/>
  <c r="H64" i="4"/>
  <c r="C64" i="4"/>
  <c r="D64" i="4"/>
  <c r="E64" i="4"/>
  <c r="F64" i="4"/>
  <c r="G64" i="4"/>
  <c r="C63" i="4"/>
  <c r="D63" i="4"/>
  <c r="E63" i="4"/>
  <c r="F63" i="4"/>
  <c r="G63" i="4"/>
  <c r="H63" i="4"/>
  <c r="C62" i="4"/>
  <c r="D62" i="4"/>
  <c r="E62" i="4"/>
  <c r="F62" i="4"/>
  <c r="G62" i="4"/>
  <c r="H62" i="4"/>
  <c r="B62" i="4"/>
  <c r="C61" i="4"/>
  <c r="D61" i="4"/>
  <c r="E61" i="4"/>
  <c r="F61" i="4"/>
  <c r="F65" i="4" s="1"/>
  <c r="G61" i="4"/>
  <c r="G65" i="4" s="1"/>
  <c r="G67" i="4" s="1"/>
  <c r="G68" i="4" s="1"/>
  <c r="H61" i="4"/>
  <c r="C60" i="4"/>
  <c r="D60" i="4"/>
  <c r="D65" i="4" s="1"/>
  <c r="D67" i="4" s="1"/>
  <c r="D68" i="4" s="1"/>
  <c r="E60" i="4"/>
  <c r="E65" i="4" s="1"/>
  <c r="F60" i="4"/>
  <c r="G60" i="4"/>
  <c r="H60" i="4"/>
  <c r="H65" i="4" s="1"/>
  <c r="H67" i="4" s="1"/>
  <c r="H68" i="4" s="1"/>
  <c r="C111" i="1"/>
  <c r="AI91" i="1"/>
  <c r="AI102" i="1"/>
  <c r="AI103" i="1"/>
  <c r="AI105" i="1"/>
  <c r="AI106" i="1"/>
  <c r="AI107" i="1"/>
  <c r="AG81" i="1"/>
  <c r="AG79" i="1"/>
  <c r="AG78" i="1"/>
  <c r="AG75" i="1"/>
  <c r="AG74" i="1"/>
  <c r="AG73" i="1"/>
  <c r="AH74" i="1"/>
  <c r="AH75" i="1"/>
  <c r="AH78" i="1"/>
  <c r="AH79" i="1"/>
  <c r="AH73" i="1"/>
  <c r="AI74" i="1"/>
  <c r="AI75" i="1"/>
  <c r="AI78" i="1"/>
  <c r="AI79" i="1"/>
  <c r="AI81" i="1"/>
  <c r="AI73" i="1"/>
  <c r="Y81" i="1"/>
  <c r="X81" i="1"/>
  <c r="W81" i="1"/>
  <c r="Y79" i="1"/>
  <c r="X79" i="1"/>
  <c r="W79" i="1"/>
  <c r="Y78" i="1"/>
  <c r="X78" i="1"/>
  <c r="W78" i="1"/>
  <c r="Y75" i="1"/>
  <c r="X75" i="1"/>
  <c r="W75" i="1"/>
  <c r="Y74" i="1"/>
  <c r="X74" i="1"/>
  <c r="W74" i="1"/>
  <c r="Y73" i="1"/>
  <c r="X73" i="1"/>
  <c r="W73" i="1"/>
  <c r="AB81" i="1"/>
  <c r="AB74" i="1"/>
  <c r="AC74" i="1"/>
  <c r="AD74" i="1"/>
  <c r="AE74" i="1"/>
  <c r="AB75" i="1"/>
  <c r="AC75" i="1"/>
  <c r="AD75" i="1"/>
  <c r="AE75" i="1"/>
  <c r="AB78" i="1"/>
  <c r="AC78" i="1"/>
  <c r="AD78" i="1"/>
  <c r="AE78" i="1"/>
  <c r="AB79" i="1"/>
  <c r="AC79" i="1"/>
  <c r="AD79" i="1"/>
  <c r="AE79" i="1"/>
  <c r="AC81" i="1"/>
  <c r="AD81" i="1"/>
  <c r="AE81" i="1"/>
  <c r="AB73" i="1"/>
  <c r="AC73" i="1"/>
  <c r="AD73" i="1"/>
  <c r="AI68" i="1"/>
  <c r="AI60" i="1"/>
  <c r="AI61" i="1"/>
  <c r="AI62" i="1"/>
  <c r="AI63" i="1"/>
  <c r="AI64" i="1"/>
  <c r="AI59" i="1"/>
  <c r="AI56" i="1"/>
  <c r="AI55" i="1"/>
  <c r="AI57" i="1"/>
  <c r="AI54" i="1"/>
  <c r="AI53" i="1"/>
  <c r="AI86" i="1"/>
  <c r="AI49" i="1"/>
  <c r="AI50" i="1"/>
  <c r="AI51" i="1"/>
  <c r="AI52" i="1"/>
  <c r="AI35" i="1"/>
  <c r="AI24" i="1"/>
  <c r="J24" i="1" s="1"/>
  <c r="AI4" i="1"/>
  <c r="AI10" i="1" s="1"/>
  <c r="AI16" i="1" s="1"/>
  <c r="AI28" i="1" s="1"/>
  <c r="AI112" i="1" s="1"/>
  <c r="C10" i="1"/>
  <c r="C16" i="1" s="1"/>
  <c r="D10" i="1"/>
  <c r="D16" i="1" s="1"/>
  <c r="E10" i="1"/>
  <c r="E16" i="1" s="1"/>
  <c r="K10" i="1"/>
  <c r="K16" i="1" s="1"/>
  <c r="K28" i="1" s="1"/>
  <c r="L10" i="1"/>
  <c r="L16" i="1" s="1"/>
  <c r="M10" i="1"/>
  <c r="M16" i="1" s="1"/>
  <c r="N10" i="1"/>
  <c r="N16" i="1" s="1"/>
  <c r="O10" i="1"/>
  <c r="O16" i="1" s="1"/>
  <c r="P10" i="1"/>
  <c r="P16" i="1" s="1"/>
  <c r="B10" i="1"/>
  <c r="B16" i="1" s="1"/>
  <c r="AI113" i="1" l="1"/>
  <c r="AI114" i="1"/>
  <c r="AI99" i="1"/>
  <c r="AI95" i="1"/>
  <c r="AI25" i="1"/>
  <c r="AI109" i="1" s="1"/>
  <c r="AI115" i="1"/>
  <c r="AI101" i="1"/>
  <c r="AI96" i="1"/>
  <c r="AI92" i="1"/>
  <c r="C104" i="1"/>
  <c r="AI108" i="1"/>
  <c r="AI98" i="1"/>
  <c r="AI94" i="1"/>
  <c r="AI90" i="1"/>
  <c r="AI97" i="1"/>
  <c r="AI93" i="1"/>
  <c r="D104" i="1"/>
  <c r="B225" i="5"/>
  <c r="D225" i="5"/>
  <c r="G225" i="5"/>
  <c r="E225" i="5"/>
  <c r="C15" i="5"/>
  <c r="C97" i="5" s="1"/>
  <c r="C225" i="5"/>
  <c r="B218" i="5"/>
  <c r="B226" i="5" s="1"/>
  <c r="B241" i="5" s="1"/>
  <c r="D218" i="5"/>
  <c r="D226" i="5" s="1"/>
  <c r="D241" i="5" s="1"/>
  <c r="F225" i="5"/>
  <c r="E47" i="5"/>
  <c r="F218" i="5"/>
  <c r="F226" i="5" s="1"/>
  <c r="E218" i="5"/>
  <c r="E226" i="5" s="1"/>
  <c r="D24" i="5"/>
  <c r="D65" i="5" s="1"/>
  <c r="E75" i="5"/>
  <c r="B15" i="5"/>
  <c r="B108" i="5" s="1"/>
  <c r="D103" i="5"/>
  <c r="D15" i="5"/>
  <c r="D98" i="5" s="1"/>
  <c r="E107" i="5"/>
  <c r="F64" i="5"/>
  <c r="E64" i="5"/>
  <c r="D75" i="5"/>
  <c r="D92" i="5"/>
  <c r="D91" i="5"/>
  <c r="D90" i="5"/>
  <c r="D100" i="5"/>
  <c r="D47" i="5"/>
  <c r="E92" i="5"/>
  <c r="E91" i="5"/>
  <c r="E90" i="5"/>
  <c r="E100" i="5"/>
  <c r="E24" i="5"/>
  <c r="F65" i="5" s="1"/>
  <c r="F100" i="5"/>
  <c r="F92" i="5"/>
  <c r="F91" i="5"/>
  <c r="F90" i="5"/>
  <c r="G47" i="5"/>
  <c r="F47" i="5"/>
  <c r="F10" i="5"/>
  <c r="C110" i="5"/>
  <c r="C70" i="5"/>
  <c r="B112" i="5"/>
  <c r="F75" i="5"/>
  <c r="C35" i="5"/>
  <c r="E10" i="5"/>
  <c r="D56" i="5"/>
  <c r="B110" i="5"/>
  <c r="B35" i="5"/>
  <c r="C65" i="5"/>
  <c r="G65" i="5"/>
  <c r="G75" i="5"/>
  <c r="G92" i="5"/>
  <c r="G91" i="5"/>
  <c r="G90" i="5"/>
  <c r="G100" i="5"/>
  <c r="G10" i="5"/>
  <c r="D107" i="5"/>
  <c r="E56" i="5"/>
  <c r="C75" i="5"/>
  <c r="F67" i="4"/>
  <c r="F68" i="4" s="1"/>
  <c r="H75" i="4"/>
  <c r="D75" i="4"/>
  <c r="E67" i="4"/>
  <c r="E68" i="4" s="1"/>
  <c r="G75" i="4"/>
  <c r="B75" i="4"/>
  <c r="C67" i="4"/>
  <c r="E75" i="4"/>
  <c r="AI30" i="1"/>
  <c r="AI111" i="1" s="1"/>
  <c r="AI69" i="1"/>
  <c r="E104" i="1"/>
  <c r="L55" i="1"/>
  <c r="M55" i="1"/>
  <c r="N55" i="1"/>
  <c r="O55" i="1"/>
  <c r="P55" i="1"/>
  <c r="L56" i="1"/>
  <c r="M56" i="1"/>
  <c r="N56" i="1"/>
  <c r="O56" i="1"/>
  <c r="P56" i="1"/>
  <c r="D6" i="2"/>
  <c r="E6" i="2" s="1"/>
  <c r="F6" i="2" s="1"/>
  <c r="G6" i="2" s="1"/>
  <c r="C6" i="2"/>
  <c r="H6" i="2"/>
  <c r="I3" i="2"/>
  <c r="C241" i="5" l="1"/>
  <c r="G241" i="5"/>
  <c r="C89" i="5"/>
  <c r="C96" i="5"/>
  <c r="E241" i="5"/>
  <c r="C95" i="5"/>
  <c r="F241" i="5"/>
  <c r="B181" i="5"/>
  <c r="B227" i="5"/>
  <c r="C94" i="5"/>
  <c r="C98" i="5"/>
  <c r="C108" i="5"/>
  <c r="C181" i="5"/>
  <c r="C227" i="5"/>
  <c r="C93" i="5"/>
  <c r="D108" i="5"/>
  <c r="C115" i="5"/>
  <c r="C76" i="5"/>
  <c r="C38" i="5"/>
  <c r="C186" i="5" s="1"/>
  <c r="C187" i="5" s="1"/>
  <c r="F103" i="5"/>
  <c r="F15" i="5"/>
  <c r="G103" i="5"/>
  <c r="G15" i="5"/>
  <c r="E65" i="5"/>
  <c r="B115" i="5"/>
  <c r="B38" i="5"/>
  <c r="E103" i="5"/>
  <c r="E15" i="5"/>
  <c r="D94" i="5"/>
  <c r="D93" i="5"/>
  <c r="D97" i="5"/>
  <c r="D96" i="5"/>
  <c r="D95" i="5"/>
  <c r="D27" i="5"/>
  <c r="C68" i="4"/>
  <c r="C75" i="4"/>
  <c r="AI36" i="1"/>
  <c r="AI116" i="1" s="1"/>
  <c r="J44" i="1"/>
  <c r="N70" i="1"/>
  <c r="P108" i="1"/>
  <c r="P21" i="1"/>
  <c r="O21" i="1"/>
  <c r="N21" i="1"/>
  <c r="N105" i="1" s="1"/>
  <c r="M21" i="1"/>
  <c r="M105" i="1" s="1"/>
  <c r="L21" i="1"/>
  <c r="L105" i="1" s="1"/>
  <c r="K21" i="1"/>
  <c r="K105" i="1" s="1"/>
  <c r="P19" i="1"/>
  <c r="P102" i="1" s="1"/>
  <c r="O19" i="1"/>
  <c r="N19" i="1"/>
  <c r="N102" i="1" s="1"/>
  <c r="M19" i="1"/>
  <c r="M102" i="1" s="1"/>
  <c r="L19" i="1"/>
  <c r="K19" i="1"/>
  <c r="P18" i="1"/>
  <c r="O18" i="1"/>
  <c r="N18" i="1"/>
  <c r="M18" i="1"/>
  <c r="L18" i="1"/>
  <c r="K18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7" i="1"/>
  <c r="O57" i="1"/>
  <c r="P57" i="1"/>
  <c r="N65" i="1"/>
  <c r="O65" i="1"/>
  <c r="P65" i="1"/>
  <c r="N68" i="1"/>
  <c r="O68" i="1"/>
  <c r="P68" i="1"/>
  <c r="N75" i="1"/>
  <c r="O75" i="1"/>
  <c r="P75" i="1"/>
  <c r="N78" i="1"/>
  <c r="O78" i="1"/>
  <c r="P78" i="1"/>
  <c r="N79" i="1"/>
  <c r="O79" i="1"/>
  <c r="P79" i="1"/>
  <c r="N86" i="1"/>
  <c r="O86" i="1"/>
  <c r="P86" i="1"/>
  <c r="N91" i="1"/>
  <c r="O91" i="1"/>
  <c r="P91" i="1"/>
  <c r="N92" i="1"/>
  <c r="O92" i="1"/>
  <c r="P92" i="1"/>
  <c r="N93" i="1"/>
  <c r="O93" i="1"/>
  <c r="P93" i="1"/>
  <c r="N108" i="1"/>
  <c r="O108" i="1"/>
  <c r="K91" i="1"/>
  <c r="L91" i="1"/>
  <c r="M91" i="1"/>
  <c r="K92" i="1"/>
  <c r="L92" i="1"/>
  <c r="M92" i="1"/>
  <c r="K93" i="1"/>
  <c r="L93" i="1"/>
  <c r="M93" i="1"/>
  <c r="E93" i="1"/>
  <c r="E92" i="1"/>
  <c r="E91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7" i="1"/>
  <c r="M57" i="1"/>
  <c r="L65" i="1"/>
  <c r="M65" i="1"/>
  <c r="J68" i="1"/>
  <c r="K68" i="1"/>
  <c r="L68" i="1"/>
  <c r="M68" i="1"/>
  <c r="L70" i="1"/>
  <c r="M70" i="1"/>
  <c r="L75" i="1"/>
  <c r="M75" i="1"/>
  <c r="L78" i="1"/>
  <c r="M78" i="1"/>
  <c r="L79" i="1"/>
  <c r="M79" i="1"/>
  <c r="L86" i="1"/>
  <c r="M86" i="1"/>
  <c r="K102" i="1"/>
  <c r="K108" i="1"/>
  <c r="L108" i="1"/>
  <c r="M108" i="1"/>
  <c r="J86" i="1"/>
  <c r="J50" i="1"/>
  <c r="J51" i="1"/>
  <c r="J53" i="1"/>
  <c r="K56" i="1"/>
  <c r="J57" i="1"/>
  <c r="J59" i="1"/>
  <c r="J60" i="1"/>
  <c r="J61" i="1"/>
  <c r="J62" i="1"/>
  <c r="J63" i="1"/>
  <c r="J65" i="1"/>
  <c r="J70" i="1"/>
  <c r="J73" i="1"/>
  <c r="J74" i="1"/>
  <c r="J75" i="1"/>
  <c r="J37" i="1"/>
  <c r="J78" i="1" s="1"/>
  <c r="J38" i="1"/>
  <c r="J79" i="1" s="1"/>
  <c r="AH4" i="1"/>
  <c r="AJ4" i="1"/>
  <c r="AJ101" i="1" s="1"/>
  <c r="AK4" i="1"/>
  <c r="AC51" i="1"/>
  <c r="Y55" i="1"/>
  <c r="X55" i="1"/>
  <c r="W55" i="1"/>
  <c r="Y54" i="1"/>
  <c r="X54" i="1"/>
  <c r="W54" i="1"/>
  <c r="Y53" i="1"/>
  <c r="X53" i="1"/>
  <c r="W53" i="1"/>
  <c r="Y52" i="1"/>
  <c r="X52" i="1"/>
  <c r="W52" i="1"/>
  <c r="Y51" i="1"/>
  <c r="X51" i="1"/>
  <c r="W51" i="1"/>
  <c r="Y50" i="1"/>
  <c r="X50" i="1"/>
  <c r="W50" i="1"/>
  <c r="Y49" i="1"/>
  <c r="X49" i="1"/>
  <c r="W49" i="1"/>
  <c r="AE55" i="1"/>
  <c r="AD55" i="1"/>
  <c r="AC55" i="1"/>
  <c r="AB55" i="1"/>
  <c r="AE54" i="1"/>
  <c r="AD54" i="1"/>
  <c r="AC54" i="1"/>
  <c r="AB54" i="1"/>
  <c r="AE53" i="1"/>
  <c r="AD53" i="1"/>
  <c r="AC53" i="1"/>
  <c r="AB53" i="1"/>
  <c r="AE52" i="1"/>
  <c r="AD52" i="1"/>
  <c r="AC52" i="1"/>
  <c r="AB52" i="1"/>
  <c r="AE51" i="1"/>
  <c r="AD51" i="1"/>
  <c r="AB51" i="1"/>
  <c r="AE50" i="1"/>
  <c r="AD50" i="1"/>
  <c r="AC50" i="1"/>
  <c r="AB50" i="1"/>
  <c r="AE49" i="1"/>
  <c r="AD49" i="1"/>
  <c r="AC49" i="1"/>
  <c r="AB49" i="1"/>
  <c r="AG49" i="1"/>
  <c r="AH49" i="1"/>
  <c r="AJ49" i="1"/>
  <c r="AK49" i="1"/>
  <c r="AG50" i="1"/>
  <c r="AH50" i="1"/>
  <c r="AJ50" i="1"/>
  <c r="AK50" i="1"/>
  <c r="AG51" i="1"/>
  <c r="AH51" i="1"/>
  <c r="AJ51" i="1"/>
  <c r="AK51" i="1"/>
  <c r="AG52" i="1"/>
  <c r="AH52" i="1"/>
  <c r="AJ52" i="1"/>
  <c r="AK52" i="1"/>
  <c r="AG53" i="1"/>
  <c r="AH53" i="1"/>
  <c r="AJ53" i="1"/>
  <c r="AK53" i="1"/>
  <c r="AG54" i="1"/>
  <c r="AH54" i="1"/>
  <c r="AJ54" i="1"/>
  <c r="AK54" i="1"/>
  <c r="AG55" i="1"/>
  <c r="AH55" i="1"/>
  <c r="AJ55" i="1"/>
  <c r="AK55" i="1"/>
  <c r="AG57" i="1"/>
  <c r="AH57" i="1"/>
  <c r="AJ57" i="1"/>
  <c r="AK57" i="1"/>
  <c r="AC24" i="1"/>
  <c r="AD25" i="1"/>
  <c r="AJ65" i="1"/>
  <c r="AG65" i="1"/>
  <c r="AK64" i="1"/>
  <c r="AJ64" i="1"/>
  <c r="AH64" i="1"/>
  <c r="AG64" i="1"/>
  <c r="AK63" i="1"/>
  <c r="AJ63" i="1"/>
  <c r="AH63" i="1"/>
  <c r="AG63" i="1"/>
  <c r="AK62" i="1"/>
  <c r="AJ62" i="1"/>
  <c r="AH62" i="1"/>
  <c r="AG62" i="1"/>
  <c r="AK61" i="1"/>
  <c r="AJ61" i="1"/>
  <c r="AH61" i="1"/>
  <c r="AG61" i="1"/>
  <c r="AK60" i="1"/>
  <c r="AJ60" i="1"/>
  <c r="AH60" i="1"/>
  <c r="AG60" i="1"/>
  <c r="AK59" i="1"/>
  <c r="AJ59" i="1"/>
  <c r="AH59" i="1"/>
  <c r="AG59" i="1"/>
  <c r="Y63" i="1"/>
  <c r="X63" i="1"/>
  <c r="W63" i="1"/>
  <c r="Y62" i="1"/>
  <c r="X62" i="1"/>
  <c r="W62" i="1"/>
  <c r="Y61" i="1"/>
  <c r="X61" i="1"/>
  <c r="W61" i="1"/>
  <c r="Y60" i="1"/>
  <c r="X60" i="1"/>
  <c r="W60" i="1"/>
  <c r="Y59" i="1"/>
  <c r="X59" i="1"/>
  <c r="W59" i="1"/>
  <c r="AB60" i="1"/>
  <c r="AC60" i="1"/>
  <c r="AD60" i="1"/>
  <c r="AE60" i="1"/>
  <c r="AB61" i="1"/>
  <c r="AC61" i="1"/>
  <c r="AD61" i="1"/>
  <c r="AE61" i="1"/>
  <c r="AB62" i="1"/>
  <c r="AC62" i="1"/>
  <c r="AD62" i="1"/>
  <c r="AE62" i="1"/>
  <c r="AB63" i="1"/>
  <c r="AC63" i="1"/>
  <c r="AD63" i="1"/>
  <c r="AE63" i="1"/>
  <c r="AB59" i="1"/>
  <c r="AC59" i="1"/>
  <c r="AD59" i="1"/>
  <c r="AE59" i="1"/>
  <c r="AK25" i="1"/>
  <c r="AJ25" i="1"/>
  <c r="AH25" i="1"/>
  <c r="AG25" i="1"/>
  <c r="AB25" i="1"/>
  <c r="AC25" i="1"/>
  <c r="AE24" i="1"/>
  <c r="AK65" i="1" s="1"/>
  <c r="C101" i="1"/>
  <c r="D101" i="1"/>
  <c r="E101" i="1"/>
  <c r="C102" i="1"/>
  <c r="D102" i="1"/>
  <c r="E102" i="1"/>
  <c r="C103" i="1"/>
  <c r="D103" i="1"/>
  <c r="E103" i="1"/>
  <c r="C105" i="1"/>
  <c r="D105" i="1"/>
  <c r="E105" i="1"/>
  <c r="C106" i="1"/>
  <c r="D106" i="1"/>
  <c r="E106" i="1"/>
  <c r="C107" i="1"/>
  <c r="D107" i="1"/>
  <c r="C108" i="1"/>
  <c r="D108" i="1"/>
  <c r="E108" i="1"/>
  <c r="I108" i="1"/>
  <c r="H108" i="1"/>
  <c r="I106" i="1"/>
  <c r="H106" i="1"/>
  <c r="G106" i="1"/>
  <c r="F106" i="1"/>
  <c r="I105" i="1"/>
  <c r="H105" i="1"/>
  <c r="G105" i="1"/>
  <c r="F105" i="1"/>
  <c r="I103" i="1"/>
  <c r="H103" i="1"/>
  <c r="G103" i="1"/>
  <c r="F103" i="1"/>
  <c r="I102" i="1"/>
  <c r="H102" i="1"/>
  <c r="G102" i="1"/>
  <c r="F102" i="1"/>
  <c r="Z24" i="1"/>
  <c r="Z25" i="1" s="1"/>
  <c r="Z15" i="1"/>
  <c r="U40" i="1"/>
  <c r="Z81" i="1" s="1"/>
  <c r="U38" i="1"/>
  <c r="Z79" i="1" s="1"/>
  <c r="U37" i="1"/>
  <c r="Z78" i="1" s="1"/>
  <c r="U33" i="1"/>
  <c r="Z74" i="1" s="1"/>
  <c r="U34" i="1"/>
  <c r="Z75" i="1" s="1"/>
  <c r="U32" i="1"/>
  <c r="Z73" i="1" s="1"/>
  <c r="U29" i="1"/>
  <c r="Z70" i="1" s="1"/>
  <c r="U22" i="1"/>
  <c r="Z63" i="1" s="1"/>
  <c r="U21" i="1"/>
  <c r="Z62" i="1" s="1"/>
  <c r="U20" i="1"/>
  <c r="Z61" i="1" s="1"/>
  <c r="U19" i="1"/>
  <c r="Z60" i="1" s="1"/>
  <c r="U18" i="1"/>
  <c r="Z59" i="1" s="1"/>
  <c r="U5" i="1"/>
  <c r="Z49" i="1" s="1"/>
  <c r="U6" i="1"/>
  <c r="Z50" i="1" s="1"/>
  <c r="U7" i="1"/>
  <c r="Z51" i="1" s="1"/>
  <c r="U8" i="1"/>
  <c r="U9" i="1"/>
  <c r="Z53" i="1" s="1"/>
  <c r="U11" i="1"/>
  <c r="Z54" i="1" s="1"/>
  <c r="U12" i="1"/>
  <c r="Z55" i="1" s="1"/>
  <c r="U14" i="1"/>
  <c r="U107" i="1" s="1"/>
  <c r="H25" i="1"/>
  <c r="G24" i="1"/>
  <c r="G25" i="1" s="1"/>
  <c r="G15" i="1"/>
  <c r="D60" i="1"/>
  <c r="E60" i="1"/>
  <c r="F60" i="1"/>
  <c r="G60" i="1"/>
  <c r="H60" i="1"/>
  <c r="I60" i="1"/>
  <c r="D61" i="1"/>
  <c r="E61" i="1"/>
  <c r="F61" i="1"/>
  <c r="G61" i="1"/>
  <c r="H61" i="1"/>
  <c r="I61" i="1"/>
  <c r="D62" i="1"/>
  <c r="E62" i="1"/>
  <c r="F62" i="1"/>
  <c r="G62" i="1"/>
  <c r="H62" i="1"/>
  <c r="I62" i="1"/>
  <c r="D63" i="1"/>
  <c r="E63" i="1"/>
  <c r="F63" i="1"/>
  <c r="G63" i="1"/>
  <c r="H63" i="1"/>
  <c r="I63" i="1"/>
  <c r="D64" i="1"/>
  <c r="D65" i="1"/>
  <c r="E65" i="1"/>
  <c r="D59" i="1"/>
  <c r="E59" i="1"/>
  <c r="F59" i="1"/>
  <c r="G59" i="1"/>
  <c r="H59" i="1"/>
  <c r="I59" i="1"/>
  <c r="B25" i="1"/>
  <c r="C25" i="1"/>
  <c r="D25" i="1"/>
  <c r="E25" i="1"/>
  <c r="I25" i="1"/>
  <c r="F24" i="1"/>
  <c r="F65" i="1" s="1"/>
  <c r="F15" i="1"/>
  <c r="F4" i="1"/>
  <c r="F10" i="1" s="1"/>
  <c r="F104" i="1" s="1"/>
  <c r="Y102" i="1"/>
  <c r="T35" i="1"/>
  <c r="T27" i="1"/>
  <c r="T24" i="1"/>
  <c r="T25" i="1" s="1"/>
  <c r="T15" i="1"/>
  <c r="Y24" i="1"/>
  <c r="AK108" i="1"/>
  <c r="AJ108" i="1"/>
  <c r="AH108" i="1"/>
  <c r="AG108" i="1"/>
  <c r="AK107" i="1"/>
  <c r="AJ107" i="1"/>
  <c r="AH107" i="1"/>
  <c r="AG107" i="1"/>
  <c r="AK106" i="1"/>
  <c r="AJ106" i="1"/>
  <c r="AG106" i="1"/>
  <c r="AK105" i="1"/>
  <c r="AJ105" i="1"/>
  <c r="AH105" i="1"/>
  <c r="AG105" i="1"/>
  <c r="AK103" i="1"/>
  <c r="AJ103" i="1"/>
  <c r="AH103" i="1"/>
  <c r="AG103" i="1"/>
  <c r="AK102" i="1"/>
  <c r="AJ102" i="1"/>
  <c r="AH102" i="1"/>
  <c r="AG102" i="1"/>
  <c r="AD108" i="1"/>
  <c r="AB108" i="1"/>
  <c r="AE106" i="1"/>
  <c r="AD106" i="1"/>
  <c r="AC106" i="1"/>
  <c r="AB106" i="1"/>
  <c r="AE105" i="1"/>
  <c r="AD105" i="1"/>
  <c r="AC105" i="1"/>
  <c r="AB105" i="1"/>
  <c r="AE103" i="1"/>
  <c r="AD103" i="1"/>
  <c r="AC103" i="1"/>
  <c r="AB103" i="1"/>
  <c r="AE102" i="1"/>
  <c r="AD102" i="1"/>
  <c r="AC102" i="1"/>
  <c r="AB102" i="1"/>
  <c r="Z106" i="1"/>
  <c r="Y106" i="1"/>
  <c r="X106" i="1"/>
  <c r="W106" i="1"/>
  <c r="Z105" i="1"/>
  <c r="Y105" i="1"/>
  <c r="X105" i="1"/>
  <c r="W105" i="1"/>
  <c r="Z103" i="1"/>
  <c r="Y103" i="1"/>
  <c r="X103" i="1"/>
  <c r="W103" i="1"/>
  <c r="Z102" i="1"/>
  <c r="X102" i="1"/>
  <c r="W102" i="1"/>
  <c r="S102" i="1"/>
  <c r="T102" i="1"/>
  <c r="S103" i="1"/>
  <c r="T103" i="1"/>
  <c r="S105" i="1"/>
  <c r="T105" i="1"/>
  <c r="S106" i="1"/>
  <c r="T106" i="1"/>
  <c r="S107" i="1"/>
  <c r="T107" i="1"/>
  <c r="R102" i="1"/>
  <c r="R103" i="1"/>
  <c r="R105" i="1"/>
  <c r="R106" i="1"/>
  <c r="R107" i="1"/>
  <c r="Y15" i="1"/>
  <c r="S35" i="1"/>
  <c r="S24" i="1"/>
  <c r="S25" i="1" s="1"/>
  <c r="S15" i="1"/>
  <c r="X24" i="1"/>
  <c r="X15" i="1"/>
  <c r="X4" i="1"/>
  <c r="Y4" i="1"/>
  <c r="Z4" i="1"/>
  <c r="AK68" i="1"/>
  <c r="AJ68" i="1"/>
  <c r="AH68" i="1"/>
  <c r="AE68" i="1"/>
  <c r="Z68" i="1"/>
  <c r="Y68" i="1"/>
  <c r="X68" i="1"/>
  <c r="W68" i="1"/>
  <c r="I68" i="1"/>
  <c r="H68" i="1"/>
  <c r="G68" i="1"/>
  <c r="F68" i="1"/>
  <c r="E68" i="1"/>
  <c r="D68" i="1"/>
  <c r="Z86" i="1"/>
  <c r="Y86" i="1"/>
  <c r="X86" i="1"/>
  <c r="W86" i="1"/>
  <c r="W15" i="1"/>
  <c r="R27" i="1"/>
  <c r="W24" i="1"/>
  <c r="R24" i="1"/>
  <c r="R25" i="1" s="1"/>
  <c r="E99" i="1"/>
  <c r="R15" i="1"/>
  <c r="T4" i="1"/>
  <c r="T10" i="1" s="1"/>
  <c r="S4" i="1"/>
  <c r="R4" i="1"/>
  <c r="C96" i="1"/>
  <c r="D96" i="1"/>
  <c r="C90" i="1"/>
  <c r="D90" i="1"/>
  <c r="C94" i="1"/>
  <c r="D94" i="1"/>
  <c r="D86" i="1"/>
  <c r="E86" i="1"/>
  <c r="F86" i="1"/>
  <c r="G86" i="1"/>
  <c r="H86" i="1"/>
  <c r="D30" i="1"/>
  <c r="D71" i="1" s="1"/>
  <c r="E30" i="1"/>
  <c r="E111" i="1" s="1"/>
  <c r="D35" i="1"/>
  <c r="D113" i="1" s="1"/>
  <c r="E35" i="1"/>
  <c r="E113" i="1" s="1"/>
  <c r="F35" i="1"/>
  <c r="AE115" i="1"/>
  <c r="AD115" i="1"/>
  <c r="AC115" i="1"/>
  <c r="AE114" i="1"/>
  <c r="AD114" i="1"/>
  <c r="AC114" i="1"/>
  <c r="AE112" i="1"/>
  <c r="AD112" i="1"/>
  <c r="AC112" i="1"/>
  <c r="Z112" i="1"/>
  <c r="Z114" i="1"/>
  <c r="Z115" i="1"/>
  <c r="D112" i="1"/>
  <c r="E112" i="1"/>
  <c r="D114" i="1"/>
  <c r="E114" i="1"/>
  <c r="D115" i="1"/>
  <c r="E115" i="1"/>
  <c r="C117" i="1"/>
  <c r="C116" i="1"/>
  <c r="C115" i="1"/>
  <c r="C114" i="1"/>
  <c r="C113" i="1"/>
  <c r="C112" i="1"/>
  <c r="I86" i="1"/>
  <c r="R35" i="1"/>
  <c r="W35" i="1"/>
  <c r="W76" i="1" s="1"/>
  <c r="AC4" i="1"/>
  <c r="AI48" i="1" s="1"/>
  <c r="W4" i="1"/>
  <c r="W10" i="1" s="1"/>
  <c r="AD4" i="1"/>
  <c r="AD10" i="1" s="1"/>
  <c r="AD16" i="1" s="1"/>
  <c r="AK86" i="1"/>
  <c r="AJ86" i="1"/>
  <c r="AH86" i="1"/>
  <c r="AG86" i="1"/>
  <c r="AB86" i="1"/>
  <c r="AC86" i="1"/>
  <c r="AD86" i="1"/>
  <c r="AE86" i="1"/>
  <c r="AK79" i="1"/>
  <c r="AK78" i="1"/>
  <c r="AJ78" i="1"/>
  <c r="AK75" i="1"/>
  <c r="AK74" i="1"/>
  <c r="AJ74" i="1"/>
  <c r="AK73" i="1"/>
  <c r="AJ73" i="1"/>
  <c r="AK70" i="1"/>
  <c r="AC69" i="1"/>
  <c r="AD69" i="1"/>
  <c r="AE69" i="1"/>
  <c r="AE70" i="1"/>
  <c r="AE73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D57" i="1"/>
  <c r="E57" i="1"/>
  <c r="I57" i="1"/>
  <c r="D69" i="1"/>
  <c r="E69" i="1"/>
  <c r="D70" i="1"/>
  <c r="E70" i="1"/>
  <c r="F70" i="1"/>
  <c r="G70" i="1"/>
  <c r="H70" i="1"/>
  <c r="I70" i="1"/>
  <c r="D73" i="1"/>
  <c r="E73" i="1"/>
  <c r="F73" i="1"/>
  <c r="G73" i="1"/>
  <c r="H73" i="1"/>
  <c r="I73" i="1"/>
  <c r="D74" i="1"/>
  <c r="E74" i="1"/>
  <c r="F74" i="1"/>
  <c r="G74" i="1"/>
  <c r="H74" i="1"/>
  <c r="I74" i="1"/>
  <c r="D75" i="1"/>
  <c r="E75" i="1"/>
  <c r="F75" i="1"/>
  <c r="G75" i="1"/>
  <c r="H75" i="1"/>
  <c r="I75" i="1"/>
  <c r="D78" i="1"/>
  <c r="E78" i="1"/>
  <c r="F78" i="1"/>
  <c r="G78" i="1"/>
  <c r="H78" i="1"/>
  <c r="I78" i="1"/>
  <c r="D79" i="1"/>
  <c r="E79" i="1"/>
  <c r="F79" i="1"/>
  <c r="G79" i="1"/>
  <c r="H79" i="1"/>
  <c r="I79" i="1"/>
  <c r="D81" i="1"/>
  <c r="E81" i="1"/>
  <c r="F81" i="1"/>
  <c r="G81" i="1"/>
  <c r="H81" i="1"/>
  <c r="I81" i="1"/>
  <c r="Z30" i="1"/>
  <c r="Z111" i="1" s="1"/>
  <c r="Z35" i="1"/>
  <c r="Y35" i="1"/>
  <c r="Y76" i="1" s="1"/>
  <c r="X35" i="1"/>
  <c r="AE4" i="1"/>
  <c r="AK35" i="1"/>
  <c r="AJ35" i="1"/>
  <c r="AH35" i="1"/>
  <c r="AG35" i="1"/>
  <c r="AC35" i="1"/>
  <c r="AD35" i="1"/>
  <c r="AE35" i="1"/>
  <c r="AC30" i="1"/>
  <c r="AD30" i="1"/>
  <c r="AE30" i="1"/>
  <c r="AB35" i="1"/>
  <c r="AG4" i="1"/>
  <c r="AG10" i="1" s="1"/>
  <c r="AG16" i="1" s="1"/>
  <c r="AB4" i="1"/>
  <c r="AB10" i="1" s="1"/>
  <c r="AB16" i="1" s="1"/>
  <c r="AB1" i="1"/>
  <c r="G35" i="1"/>
  <c r="H35" i="1"/>
  <c r="I35" i="1"/>
  <c r="G52" i="1"/>
  <c r="G53" i="1"/>
  <c r="G54" i="1"/>
  <c r="I55" i="1"/>
  <c r="I4" i="1"/>
  <c r="I10" i="1" s="1"/>
  <c r="H2" i="1"/>
  <c r="G2" i="1" s="1"/>
  <c r="F2" i="1" s="1"/>
  <c r="E2" i="1" s="1"/>
  <c r="D2" i="1" s="1"/>
  <c r="C2" i="1" s="1"/>
  <c r="B2" i="1" s="1"/>
  <c r="J35" i="1" l="1"/>
  <c r="AB76" i="1"/>
  <c r="AH76" i="1"/>
  <c r="X76" i="1"/>
  <c r="C182" i="5"/>
  <c r="C183" i="5" s="1"/>
  <c r="C220" i="5" s="1"/>
  <c r="C234" i="5" s="1"/>
  <c r="C230" i="5"/>
  <c r="C232" i="5"/>
  <c r="C228" i="5"/>
  <c r="C229" i="5" s="1"/>
  <c r="B235" i="5"/>
  <c r="B238" i="5"/>
  <c r="B230" i="5"/>
  <c r="B228" i="5"/>
  <c r="B229" i="5" s="1"/>
  <c r="B240" i="5" s="1"/>
  <c r="C238" i="5"/>
  <c r="B81" i="5"/>
  <c r="B186" i="5"/>
  <c r="B187" i="5" s="1"/>
  <c r="B182" i="5" s="1"/>
  <c r="B183" i="5" s="1"/>
  <c r="B220" i="5" s="1"/>
  <c r="B234" i="5" s="1"/>
  <c r="E97" i="5"/>
  <c r="E96" i="5"/>
  <c r="E95" i="5"/>
  <c r="E94" i="5"/>
  <c r="E93" i="5"/>
  <c r="E27" i="5"/>
  <c r="E98" i="5"/>
  <c r="E108" i="5"/>
  <c r="G98" i="5"/>
  <c r="G97" i="5"/>
  <c r="G96" i="5"/>
  <c r="G95" i="5"/>
  <c r="G94" i="5"/>
  <c r="G93" i="5"/>
  <c r="G27" i="5"/>
  <c r="G89" i="5"/>
  <c r="G108" i="5"/>
  <c r="D114" i="5"/>
  <c r="D113" i="5"/>
  <c r="D111" i="5"/>
  <c r="D68" i="5"/>
  <c r="D29" i="5"/>
  <c r="D112" i="5"/>
  <c r="D89" i="5"/>
  <c r="B40" i="5"/>
  <c r="F98" i="5"/>
  <c r="F97" i="5"/>
  <c r="F96" i="5"/>
  <c r="F95" i="5"/>
  <c r="F94" i="5"/>
  <c r="F93" i="5"/>
  <c r="F27" i="5"/>
  <c r="F108" i="5"/>
  <c r="C81" i="5"/>
  <c r="C40" i="5"/>
  <c r="C79" i="5"/>
  <c r="AC111" i="1"/>
  <c r="AI70" i="1"/>
  <c r="AG76" i="1"/>
  <c r="AE113" i="1"/>
  <c r="AE76" i="1"/>
  <c r="AJ75" i="1"/>
  <c r="AD76" i="1"/>
  <c r="P62" i="1"/>
  <c r="AI71" i="1"/>
  <c r="AC113" i="1"/>
  <c r="AC76" i="1"/>
  <c r="AI76" i="1"/>
  <c r="Z113" i="1"/>
  <c r="AH65" i="1"/>
  <c r="AI65" i="1"/>
  <c r="AI39" i="1"/>
  <c r="N101" i="1"/>
  <c r="I16" i="1"/>
  <c r="I104" i="1"/>
  <c r="L101" i="1"/>
  <c r="AE48" i="1"/>
  <c r="AE10" i="1"/>
  <c r="AE16" i="1" s="1"/>
  <c r="S101" i="1"/>
  <c r="S10" i="1"/>
  <c r="S16" i="1" s="1"/>
  <c r="S28" i="1" s="1"/>
  <c r="Z93" i="1"/>
  <c r="Z10" i="1"/>
  <c r="Z16" i="1" s="1"/>
  <c r="Z52" i="1"/>
  <c r="AJ10" i="1"/>
  <c r="AJ16" i="1" s="1"/>
  <c r="AJ98" i="1" s="1"/>
  <c r="Y101" i="1"/>
  <c r="Y10" i="1"/>
  <c r="Y16" i="1" s="1"/>
  <c r="G57" i="1"/>
  <c r="F16" i="1"/>
  <c r="F99" i="1" s="1"/>
  <c r="AH101" i="1"/>
  <c r="AH10" i="1"/>
  <c r="AH16" i="1" s="1"/>
  <c r="AH28" i="1" s="1"/>
  <c r="J54" i="1"/>
  <c r="AH48" i="1"/>
  <c r="AC10" i="1"/>
  <c r="AC16" i="1" s="1"/>
  <c r="X101" i="1"/>
  <c r="X10" i="1"/>
  <c r="R93" i="1"/>
  <c r="R10" i="1"/>
  <c r="R16" i="1" s="1"/>
  <c r="R28" i="1" s="1"/>
  <c r="W16" i="1"/>
  <c r="W90" i="1" s="1"/>
  <c r="X16" i="1"/>
  <c r="AK101" i="1"/>
  <c r="AK10" i="1"/>
  <c r="AK16" i="1" s="1"/>
  <c r="J52" i="1"/>
  <c r="W48" i="1"/>
  <c r="AJ93" i="1"/>
  <c r="F101" i="1"/>
  <c r="AJ91" i="1"/>
  <c r="AJ92" i="1"/>
  <c r="Y57" i="1"/>
  <c r="L106" i="1"/>
  <c r="B7" i="2"/>
  <c r="B8" i="2" s="1"/>
  <c r="O59" i="1"/>
  <c r="AK93" i="1"/>
  <c r="U27" i="1"/>
  <c r="AC108" i="1"/>
  <c r="P105" i="1"/>
  <c r="AK91" i="1"/>
  <c r="AG48" i="1"/>
  <c r="J107" i="1"/>
  <c r="K74" i="1"/>
  <c r="N62" i="1"/>
  <c r="K63" i="1"/>
  <c r="O60" i="1"/>
  <c r="AB48" i="1"/>
  <c r="K101" i="1"/>
  <c r="L60" i="1"/>
  <c r="AD48" i="1"/>
  <c r="X65" i="1"/>
  <c r="O62" i="1"/>
  <c r="M62" i="1"/>
  <c r="O105" i="1"/>
  <c r="L62" i="1"/>
  <c r="N60" i="1"/>
  <c r="L102" i="1"/>
  <c r="M60" i="1"/>
  <c r="O102" i="1"/>
  <c r="P60" i="1"/>
  <c r="P59" i="1"/>
  <c r="N59" i="1"/>
  <c r="M101" i="1"/>
  <c r="M59" i="1"/>
  <c r="P101" i="1"/>
  <c r="O101" i="1"/>
  <c r="L59" i="1"/>
  <c r="M63" i="1"/>
  <c r="L63" i="1"/>
  <c r="P70" i="1"/>
  <c r="O70" i="1"/>
  <c r="W57" i="1"/>
  <c r="X57" i="1"/>
  <c r="Y65" i="1"/>
  <c r="AE25" i="1"/>
  <c r="J25" i="1"/>
  <c r="J105" i="1"/>
  <c r="J103" i="1"/>
  <c r="K103" i="1" s="1"/>
  <c r="J102" i="1"/>
  <c r="K75" i="1"/>
  <c r="K73" i="1"/>
  <c r="K65" i="1"/>
  <c r="K62" i="1"/>
  <c r="K60" i="1"/>
  <c r="K59" i="1"/>
  <c r="K57" i="1"/>
  <c r="AB91" i="1"/>
  <c r="AB92" i="1"/>
  <c r="AB93" i="1"/>
  <c r="W91" i="1"/>
  <c r="W92" i="1"/>
  <c r="W93" i="1"/>
  <c r="E90" i="1"/>
  <c r="E94" i="1"/>
  <c r="E95" i="1"/>
  <c r="E96" i="1"/>
  <c r="E97" i="1"/>
  <c r="E98" i="1"/>
  <c r="J108" i="1"/>
  <c r="AC90" i="1"/>
  <c r="AC91" i="1"/>
  <c r="AC92" i="1"/>
  <c r="AC93" i="1"/>
  <c r="X91" i="1"/>
  <c r="X92" i="1"/>
  <c r="X93" i="1"/>
  <c r="F91" i="1"/>
  <c r="F92" i="1"/>
  <c r="F93" i="1"/>
  <c r="W65" i="1"/>
  <c r="K86" i="1"/>
  <c r="K79" i="1"/>
  <c r="K78" i="1"/>
  <c r="K70" i="1"/>
  <c r="K54" i="1"/>
  <c r="K53" i="1"/>
  <c r="K52" i="1"/>
  <c r="K51" i="1"/>
  <c r="K50" i="1"/>
  <c r="AD90" i="1"/>
  <c r="AD91" i="1"/>
  <c r="AD92" i="1"/>
  <c r="AD93" i="1"/>
  <c r="Y91" i="1"/>
  <c r="Y92" i="1"/>
  <c r="Y93" i="1"/>
  <c r="AE90" i="1"/>
  <c r="AE91" i="1"/>
  <c r="AE92" i="1"/>
  <c r="AE93" i="1"/>
  <c r="Z90" i="1"/>
  <c r="Z91" i="1"/>
  <c r="Z92" i="1"/>
  <c r="I93" i="1"/>
  <c r="I92" i="1"/>
  <c r="I91" i="1"/>
  <c r="J55" i="1"/>
  <c r="J106" i="1"/>
  <c r="J48" i="1"/>
  <c r="K49" i="1"/>
  <c r="J49" i="1"/>
  <c r="AD65" i="1"/>
  <c r="AK48" i="1"/>
  <c r="AC48" i="1"/>
  <c r="AD57" i="1"/>
  <c r="Y48" i="1"/>
  <c r="AB65" i="1"/>
  <c r="AC65" i="1"/>
  <c r="AJ48" i="1"/>
  <c r="AE57" i="1"/>
  <c r="AK66" i="1"/>
  <c r="AB57" i="1"/>
  <c r="F25" i="1"/>
  <c r="F66" i="1" s="1"/>
  <c r="AG66" i="1"/>
  <c r="AE65" i="1"/>
  <c r="AC57" i="1"/>
  <c r="X48" i="1"/>
  <c r="AK92" i="1"/>
  <c r="AH93" i="1"/>
  <c r="AH92" i="1"/>
  <c r="AH91" i="1"/>
  <c r="AJ66" i="1"/>
  <c r="AE66" i="1"/>
  <c r="E109" i="1"/>
  <c r="AH66" i="1"/>
  <c r="U102" i="1"/>
  <c r="E66" i="1"/>
  <c r="U24" i="1"/>
  <c r="Z65" i="1" s="1"/>
  <c r="U35" i="1"/>
  <c r="Z76" i="1" s="1"/>
  <c r="D66" i="1"/>
  <c r="U103" i="1"/>
  <c r="C109" i="1"/>
  <c r="X108" i="1"/>
  <c r="U15" i="1"/>
  <c r="Z57" i="1" s="1"/>
  <c r="X25" i="1"/>
  <c r="X66" i="1" s="1"/>
  <c r="D109" i="1"/>
  <c r="Y25" i="1"/>
  <c r="Y66" i="1" s="1"/>
  <c r="U105" i="1"/>
  <c r="F108" i="1"/>
  <c r="G65" i="1"/>
  <c r="U106" i="1"/>
  <c r="G108" i="1"/>
  <c r="I66" i="1"/>
  <c r="I101" i="1"/>
  <c r="AE108" i="1"/>
  <c r="Z108" i="1"/>
  <c r="I65" i="1"/>
  <c r="H66" i="1"/>
  <c r="H65" i="1"/>
  <c r="H57" i="1"/>
  <c r="F57" i="1"/>
  <c r="T16" i="1"/>
  <c r="T108" i="1"/>
  <c r="R101" i="1"/>
  <c r="S108" i="1"/>
  <c r="W101" i="1"/>
  <c r="W108" i="1"/>
  <c r="AB101" i="1"/>
  <c r="AG101" i="1"/>
  <c r="AC101" i="1"/>
  <c r="R108" i="1"/>
  <c r="T101" i="1"/>
  <c r="Y108" i="1"/>
  <c r="AD101" i="1"/>
  <c r="Z101" i="1"/>
  <c r="AE101" i="1"/>
  <c r="W25" i="1"/>
  <c r="W66" i="1" s="1"/>
  <c r="S91" i="1"/>
  <c r="S92" i="1"/>
  <c r="S93" i="1"/>
  <c r="T91" i="1"/>
  <c r="T92" i="1"/>
  <c r="T93" i="1"/>
  <c r="R91" i="1"/>
  <c r="R92" i="1"/>
  <c r="D111" i="1"/>
  <c r="AG90" i="1"/>
  <c r="I28" i="1"/>
  <c r="I113" i="1" s="1"/>
  <c r="G76" i="1"/>
  <c r="F76" i="1"/>
  <c r="E76" i="1"/>
  <c r="D76" i="1"/>
  <c r="AG91" i="1"/>
  <c r="AG92" i="1"/>
  <c r="AG93" i="1"/>
  <c r="E71" i="1"/>
  <c r="D36" i="1"/>
  <c r="D116" i="1" s="1"/>
  <c r="AE71" i="1"/>
  <c r="AD111" i="1"/>
  <c r="AD113" i="1"/>
  <c r="AE111" i="1"/>
  <c r="E36" i="1"/>
  <c r="AK76" i="1"/>
  <c r="AB28" i="1"/>
  <c r="AG68" i="1" s="1"/>
  <c r="I76" i="1"/>
  <c r="AD36" i="1"/>
  <c r="F48" i="1"/>
  <c r="H4" i="1"/>
  <c r="H10" i="1" s="1"/>
  <c r="E48" i="1"/>
  <c r="AH70" i="1"/>
  <c r="AC36" i="1"/>
  <c r="Z36" i="1"/>
  <c r="H76" i="1"/>
  <c r="H54" i="1"/>
  <c r="H52" i="1"/>
  <c r="D48" i="1"/>
  <c r="I53" i="1"/>
  <c r="I51" i="1"/>
  <c r="I49" i="1"/>
  <c r="AJ70" i="1"/>
  <c r="H53" i="1"/>
  <c r="I54" i="1"/>
  <c r="I52" i="1"/>
  <c r="I50" i="1"/>
  <c r="AE36" i="1"/>
  <c r="AJ95" i="1" l="1"/>
  <c r="AJ28" i="1"/>
  <c r="AJ113" i="1" s="1"/>
  <c r="L103" i="1"/>
  <c r="K20" i="1"/>
  <c r="B237" i="5"/>
  <c r="C240" i="5"/>
  <c r="B231" i="5"/>
  <c r="B239" i="5"/>
  <c r="C231" i="5"/>
  <c r="C233" i="5"/>
  <c r="B236" i="5"/>
  <c r="C239" i="5"/>
  <c r="G111" i="5"/>
  <c r="G114" i="5"/>
  <c r="G113" i="5"/>
  <c r="G68" i="5"/>
  <c r="G29" i="5"/>
  <c r="G112" i="5"/>
  <c r="E113" i="5"/>
  <c r="E111" i="5"/>
  <c r="E114" i="5"/>
  <c r="E29" i="5"/>
  <c r="E68" i="5"/>
  <c r="E112" i="5"/>
  <c r="E89" i="5"/>
  <c r="D110" i="5"/>
  <c r="D70" i="5"/>
  <c r="D35" i="5"/>
  <c r="C82" i="5"/>
  <c r="C116" i="5"/>
  <c r="C42" i="5"/>
  <c r="F111" i="5"/>
  <c r="F114" i="5"/>
  <c r="F113" i="5"/>
  <c r="F68" i="5"/>
  <c r="F29" i="5"/>
  <c r="F89" i="5"/>
  <c r="F112" i="5"/>
  <c r="B116" i="5"/>
  <c r="B42" i="5"/>
  <c r="AI41" i="1"/>
  <c r="AI117" i="1" s="1"/>
  <c r="AI82" i="1"/>
  <c r="AI77" i="1"/>
  <c r="AE116" i="1"/>
  <c r="AE77" i="1"/>
  <c r="H16" i="1"/>
  <c r="H104" i="1"/>
  <c r="AJ96" i="1"/>
  <c r="AJ97" i="1"/>
  <c r="AJ94" i="1"/>
  <c r="AJ109" i="1"/>
  <c r="AJ99" i="1"/>
  <c r="J101" i="1"/>
  <c r="K48" i="1"/>
  <c r="B10" i="2"/>
  <c r="K99" i="1"/>
  <c r="K96" i="1"/>
  <c r="K55" i="1"/>
  <c r="K98" i="1"/>
  <c r="K97" i="1"/>
  <c r="K106" i="1"/>
  <c r="K95" i="1"/>
  <c r="B9" i="2"/>
  <c r="J92" i="1"/>
  <c r="J93" i="1"/>
  <c r="K35" i="1"/>
  <c r="K76" i="1" s="1"/>
  <c r="L32" i="1"/>
  <c r="I115" i="1"/>
  <c r="I112" i="1"/>
  <c r="I30" i="1"/>
  <c r="L33" i="1"/>
  <c r="M106" i="1"/>
  <c r="I114" i="1"/>
  <c r="K94" i="1"/>
  <c r="K114" i="1"/>
  <c r="N63" i="1"/>
  <c r="I109" i="1"/>
  <c r="I94" i="1"/>
  <c r="I95" i="1"/>
  <c r="I96" i="1"/>
  <c r="I97" i="1"/>
  <c r="I98" i="1"/>
  <c r="I99" i="1"/>
  <c r="AE109" i="1"/>
  <c r="AE99" i="1"/>
  <c r="AE98" i="1"/>
  <c r="AE97" i="1"/>
  <c r="AE96" i="1"/>
  <c r="AE95" i="1"/>
  <c r="AE94" i="1"/>
  <c r="Z109" i="1"/>
  <c r="Z98" i="1"/>
  <c r="Z97" i="1"/>
  <c r="Z96" i="1"/>
  <c r="Z95" i="1"/>
  <c r="Z94" i="1"/>
  <c r="AC109" i="1"/>
  <c r="AC99" i="1"/>
  <c r="AC98" i="1"/>
  <c r="AC97" i="1"/>
  <c r="AC96" i="1"/>
  <c r="AC95" i="1"/>
  <c r="AC94" i="1"/>
  <c r="X28" i="1"/>
  <c r="X90" i="1" s="1"/>
  <c r="X98" i="1"/>
  <c r="X97" i="1"/>
  <c r="X96" i="1"/>
  <c r="X95" i="1"/>
  <c r="X94" i="1"/>
  <c r="J66" i="1"/>
  <c r="AB109" i="1"/>
  <c r="AB99" i="1"/>
  <c r="AB98" i="1"/>
  <c r="AB97" i="1"/>
  <c r="AB96" i="1"/>
  <c r="AB95" i="1"/>
  <c r="AB94" i="1"/>
  <c r="W99" i="1"/>
  <c r="AB90" i="1"/>
  <c r="Y98" i="1"/>
  <c r="Y97" i="1"/>
  <c r="Y96" i="1"/>
  <c r="Y95" i="1"/>
  <c r="Y94" i="1"/>
  <c r="X99" i="1"/>
  <c r="AD109" i="1"/>
  <c r="AD99" i="1"/>
  <c r="AD98" i="1"/>
  <c r="AD97" i="1"/>
  <c r="AD96" i="1"/>
  <c r="AD95" i="1"/>
  <c r="AD94" i="1"/>
  <c r="W28" i="1"/>
  <c r="AB68" i="1" s="1"/>
  <c r="W98" i="1"/>
  <c r="W97" i="1"/>
  <c r="W96" i="1"/>
  <c r="W95" i="1"/>
  <c r="W94" i="1"/>
  <c r="F28" i="1"/>
  <c r="F113" i="1" s="1"/>
  <c r="F98" i="1"/>
  <c r="F97" i="1"/>
  <c r="F96" i="1"/>
  <c r="F95" i="1"/>
  <c r="F94" i="1"/>
  <c r="Y99" i="1"/>
  <c r="J76" i="1"/>
  <c r="Z99" i="1"/>
  <c r="H93" i="1"/>
  <c r="H92" i="1"/>
  <c r="H91" i="1"/>
  <c r="AG95" i="1"/>
  <c r="AG99" i="1"/>
  <c r="AG96" i="1"/>
  <c r="AG97" i="1"/>
  <c r="AG94" i="1"/>
  <c r="AG98" i="1"/>
  <c r="I90" i="1"/>
  <c r="AH94" i="1"/>
  <c r="AH95" i="1"/>
  <c r="AH96" i="1"/>
  <c r="AH98" i="1"/>
  <c r="AH97" i="1"/>
  <c r="AH99" i="1"/>
  <c r="J91" i="1"/>
  <c r="AK97" i="1"/>
  <c r="AK96" i="1"/>
  <c r="AK94" i="1"/>
  <c r="AK98" i="1"/>
  <c r="AK95" i="1"/>
  <c r="AK99" i="1"/>
  <c r="AK109" i="1"/>
  <c r="AK28" i="1"/>
  <c r="AH109" i="1"/>
  <c r="AH90" i="1"/>
  <c r="G66" i="1"/>
  <c r="AD66" i="1"/>
  <c r="AC66" i="1"/>
  <c r="AB66" i="1"/>
  <c r="U25" i="1"/>
  <c r="Z66" i="1" s="1"/>
  <c r="X109" i="1"/>
  <c r="F109" i="1"/>
  <c r="W109" i="1"/>
  <c r="Y109" i="1"/>
  <c r="Y28" i="1"/>
  <c r="Y90" i="1" s="1"/>
  <c r="AG109" i="1"/>
  <c r="AG28" i="1"/>
  <c r="AG113" i="1" s="1"/>
  <c r="T28" i="1"/>
  <c r="T30" i="1" s="1"/>
  <c r="T111" i="1" s="1"/>
  <c r="U108" i="1"/>
  <c r="H101" i="1"/>
  <c r="T109" i="1"/>
  <c r="S30" i="1"/>
  <c r="S111" i="1" s="1"/>
  <c r="R109" i="1"/>
  <c r="S109" i="1"/>
  <c r="S115" i="1"/>
  <c r="S95" i="1"/>
  <c r="S114" i="1"/>
  <c r="S98" i="1"/>
  <c r="S94" i="1"/>
  <c r="S90" i="1"/>
  <c r="S96" i="1"/>
  <c r="S113" i="1"/>
  <c r="S99" i="1"/>
  <c r="S112" i="1"/>
  <c r="S97" i="1"/>
  <c r="R114" i="1"/>
  <c r="R98" i="1"/>
  <c r="R97" i="1"/>
  <c r="R96" i="1"/>
  <c r="R95" i="1"/>
  <c r="R94" i="1"/>
  <c r="R90" i="1"/>
  <c r="AC116" i="1"/>
  <c r="R99" i="1"/>
  <c r="D39" i="1"/>
  <c r="D41" i="1" s="1"/>
  <c r="D43" i="1" s="1"/>
  <c r="D85" i="1" s="1"/>
  <c r="R112" i="1"/>
  <c r="R30" i="1"/>
  <c r="R113" i="1"/>
  <c r="R115" i="1"/>
  <c r="D77" i="1"/>
  <c r="G51" i="1"/>
  <c r="G49" i="1"/>
  <c r="I48" i="1"/>
  <c r="AB113" i="1"/>
  <c r="G55" i="1"/>
  <c r="Z39" i="1"/>
  <c r="Z116" i="1"/>
  <c r="AD39" i="1"/>
  <c r="AD116" i="1"/>
  <c r="AB115" i="1"/>
  <c r="AB114" i="1"/>
  <c r="AB112" i="1"/>
  <c r="E77" i="1"/>
  <c r="E39" i="1"/>
  <c r="E82" i="1" s="1"/>
  <c r="E116" i="1"/>
  <c r="H51" i="1"/>
  <c r="AJ76" i="1"/>
  <c r="G4" i="1"/>
  <c r="G10" i="1" s="1"/>
  <c r="H49" i="1"/>
  <c r="AC39" i="1"/>
  <c r="AI80" i="1" s="1"/>
  <c r="AE39" i="1"/>
  <c r="G50" i="1"/>
  <c r="H50" i="1"/>
  <c r="AB30" i="1"/>
  <c r="AB69" i="1"/>
  <c r="H55" i="1"/>
  <c r="AJ30" i="1" l="1"/>
  <c r="AJ90" i="1"/>
  <c r="AJ115" i="1"/>
  <c r="AJ69" i="1"/>
  <c r="AE80" i="1"/>
  <c r="AJ114" i="1"/>
  <c r="AJ112" i="1"/>
  <c r="K25" i="1"/>
  <c r="K61" i="1"/>
  <c r="K104" i="1"/>
  <c r="M103" i="1"/>
  <c r="L20" i="1"/>
  <c r="AJ111" i="1"/>
  <c r="D181" i="5"/>
  <c r="D227" i="5"/>
  <c r="F110" i="5"/>
  <c r="F35" i="5"/>
  <c r="F70" i="5"/>
  <c r="C84" i="5"/>
  <c r="D115" i="5"/>
  <c r="D76" i="5"/>
  <c r="D38" i="5"/>
  <c r="D186" i="5" s="1"/>
  <c r="D187" i="5" s="1"/>
  <c r="D182" i="5" s="1"/>
  <c r="D183" i="5" s="1"/>
  <c r="D220" i="5" s="1"/>
  <c r="D234" i="5" s="1"/>
  <c r="G110" i="5"/>
  <c r="G70" i="5"/>
  <c r="G35" i="5"/>
  <c r="E110" i="5"/>
  <c r="E70" i="5"/>
  <c r="E35" i="5"/>
  <c r="AI43" i="1"/>
  <c r="Z82" i="1"/>
  <c r="G16" i="1"/>
  <c r="G104" i="1"/>
  <c r="J98" i="1"/>
  <c r="J104" i="1"/>
  <c r="AC68" i="1"/>
  <c r="W115" i="1"/>
  <c r="X115" i="1"/>
  <c r="AG69" i="1"/>
  <c r="X114" i="1"/>
  <c r="X30" i="1"/>
  <c r="AC70" i="1" s="1"/>
  <c r="X112" i="1"/>
  <c r="X69" i="1"/>
  <c r="X113" i="1"/>
  <c r="AE41" i="1"/>
  <c r="AE82" i="1"/>
  <c r="W113" i="1"/>
  <c r="AC41" i="1"/>
  <c r="AI83" i="1" s="1"/>
  <c r="AC82" i="1"/>
  <c r="AG115" i="1"/>
  <c r="AD41" i="1"/>
  <c r="AD117" i="1" s="1"/>
  <c r="AD82" i="1"/>
  <c r="W30" i="1"/>
  <c r="W71" i="1" s="1"/>
  <c r="W112" i="1"/>
  <c r="W114" i="1"/>
  <c r="F114" i="1"/>
  <c r="K113" i="1"/>
  <c r="L95" i="1"/>
  <c r="L28" i="1"/>
  <c r="L115" i="1" s="1"/>
  <c r="L96" i="1"/>
  <c r="L94" i="1"/>
  <c r="L97" i="1"/>
  <c r="L98" i="1"/>
  <c r="L99" i="1"/>
  <c r="M97" i="1"/>
  <c r="M32" i="1"/>
  <c r="L35" i="1"/>
  <c r="L73" i="1"/>
  <c r="M33" i="1"/>
  <c r="L74" i="1"/>
  <c r="I111" i="1"/>
  <c r="I36" i="1"/>
  <c r="F69" i="1"/>
  <c r="K112" i="1"/>
  <c r="K30" i="1"/>
  <c r="K90" i="1"/>
  <c r="K115" i="1"/>
  <c r="J90" i="1"/>
  <c r="W69" i="1"/>
  <c r="O63" i="1"/>
  <c r="H48" i="1"/>
  <c r="G93" i="1"/>
  <c r="G92" i="1"/>
  <c r="G91" i="1"/>
  <c r="AJ71" i="1"/>
  <c r="AJ36" i="1"/>
  <c r="F30" i="1"/>
  <c r="F90" i="1"/>
  <c r="H99" i="1"/>
  <c r="H98" i="1"/>
  <c r="H97" i="1"/>
  <c r="H96" i="1"/>
  <c r="H95" i="1"/>
  <c r="H94" i="1"/>
  <c r="F112" i="1"/>
  <c r="F115" i="1"/>
  <c r="AH112" i="1"/>
  <c r="AH114" i="1"/>
  <c r="AH30" i="1"/>
  <c r="AH111" i="1" s="1"/>
  <c r="AH115" i="1"/>
  <c r="AH69" i="1"/>
  <c r="AH113" i="1"/>
  <c r="AK114" i="1"/>
  <c r="AK30" i="1"/>
  <c r="AK115" i="1"/>
  <c r="AK69" i="1"/>
  <c r="AK112" i="1"/>
  <c r="AK113" i="1"/>
  <c r="AK90" i="1"/>
  <c r="AG30" i="1"/>
  <c r="AG111" i="1" s="1"/>
  <c r="AG112" i="1"/>
  <c r="AG114" i="1"/>
  <c r="T90" i="1"/>
  <c r="T94" i="1"/>
  <c r="T113" i="1"/>
  <c r="T97" i="1"/>
  <c r="T96" i="1"/>
  <c r="T98" i="1"/>
  <c r="T112" i="1"/>
  <c r="T99" i="1"/>
  <c r="Y70" i="1"/>
  <c r="T36" i="1"/>
  <c r="AD68" i="1"/>
  <c r="Y112" i="1"/>
  <c r="Y115" i="1"/>
  <c r="Y30" i="1"/>
  <c r="Y114" i="1"/>
  <c r="Y69" i="1"/>
  <c r="Y113" i="1"/>
  <c r="T95" i="1"/>
  <c r="T115" i="1"/>
  <c r="T114" i="1"/>
  <c r="U4" i="1"/>
  <c r="G101" i="1"/>
  <c r="H28" i="1"/>
  <c r="H90" i="1" s="1"/>
  <c r="H109" i="1"/>
  <c r="X70" i="1"/>
  <c r="S36" i="1"/>
  <c r="Z41" i="1"/>
  <c r="R111" i="1"/>
  <c r="W70" i="1"/>
  <c r="D80" i="1"/>
  <c r="R36" i="1"/>
  <c r="AJ79" i="1"/>
  <c r="G48" i="1"/>
  <c r="AD43" i="1"/>
  <c r="AB111" i="1"/>
  <c r="E41" i="1"/>
  <c r="E43" i="1" s="1"/>
  <c r="E85" i="1" s="1"/>
  <c r="E80" i="1"/>
  <c r="D83" i="1"/>
  <c r="D117" i="1"/>
  <c r="AG70" i="1"/>
  <c r="AB36" i="1"/>
  <c r="J30" i="1" l="1"/>
  <c r="J71" i="1" s="1"/>
  <c r="N103" i="1"/>
  <c r="M20" i="1"/>
  <c r="L61" i="1"/>
  <c r="L104" i="1"/>
  <c r="L25" i="1"/>
  <c r="K109" i="1"/>
  <c r="K66" i="1"/>
  <c r="G181" i="5"/>
  <c r="G227" i="5"/>
  <c r="F181" i="5"/>
  <c r="F227" i="5"/>
  <c r="D230" i="5"/>
  <c r="D232" i="5"/>
  <c r="D228" i="5"/>
  <c r="D229" i="5" s="1"/>
  <c r="D238" i="5"/>
  <c r="C235" i="5"/>
  <c r="E181" i="5"/>
  <c r="E227" i="5"/>
  <c r="D81" i="5"/>
  <c r="D79" i="5"/>
  <c r="D40" i="5"/>
  <c r="E115" i="5"/>
  <c r="E76" i="5"/>
  <c r="E38" i="5"/>
  <c r="E186" i="5" s="1"/>
  <c r="E187" i="5" s="1"/>
  <c r="E182" i="5" s="1"/>
  <c r="E183" i="5" s="1"/>
  <c r="E220" i="5" s="1"/>
  <c r="E234" i="5" s="1"/>
  <c r="F115" i="5"/>
  <c r="F76" i="5"/>
  <c r="F38" i="5"/>
  <c r="F186" i="5" s="1"/>
  <c r="F187" i="5" s="1"/>
  <c r="G115" i="5"/>
  <c r="G76" i="5"/>
  <c r="G38" i="5"/>
  <c r="G186" i="5" s="1"/>
  <c r="G187" i="5" s="1"/>
  <c r="J97" i="1"/>
  <c r="J99" i="1"/>
  <c r="J94" i="1"/>
  <c r="J96" i="1"/>
  <c r="J95" i="1"/>
  <c r="J109" i="1"/>
  <c r="AB71" i="1"/>
  <c r="W36" i="1"/>
  <c r="W77" i="1" s="1"/>
  <c r="Z48" i="1"/>
  <c r="U10" i="1"/>
  <c r="X36" i="1"/>
  <c r="AC71" i="1"/>
  <c r="X71" i="1"/>
  <c r="W111" i="1"/>
  <c r="X111" i="1"/>
  <c r="AB70" i="1"/>
  <c r="AG71" i="1"/>
  <c r="L114" i="1"/>
  <c r="J113" i="1"/>
  <c r="J69" i="1"/>
  <c r="K111" i="1"/>
  <c r="K36" i="1"/>
  <c r="L76" i="1"/>
  <c r="L113" i="1"/>
  <c r="M98" i="1"/>
  <c r="M99" i="1"/>
  <c r="M94" i="1"/>
  <c r="M28" i="1"/>
  <c r="M114" i="1" s="1"/>
  <c r="M95" i="1"/>
  <c r="M96" i="1"/>
  <c r="M90" i="1"/>
  <c r="L90" i="1"/>
  <c r="L112" i="1"/>
  <c r="L30" i="1"/>
  <c r="L69" i="1"/>
  <c r="I116" i="1"/>
  <c r="I39" i="1"/>
  <c r="N33" i="1"/>
  <c r="M74" i="1"/>
  <c r="M35" i="1"/>
  <c r="M73" i="1"/>
  <c r="N32" i="1"/>
  <c r="N106" i="1"/>
  <c r="P63" i="1"/>
  <c r="AJ77" i="1"/>
  <c r="AJ39" i="1"/>
  <c r="AJ116" i="1"/>
  <c r="J114" i="1"/>
  <c r="J112" i="1"/>
  <c r="K69" i="1"/>
  <c r="G98" i="1"/>
  <c r="G97" i="1"/>
  <c r="G96" i="1"/>
  <c r="G95" i="1"/>
  <c r="G94" i="1"/>
  <c r="G99" i="1"/>
  <c r="J115" i="1"/>
  <c r="F111" i="1"/>
  <c r="F71" i="1"/>
  <c r="F36" i="1"/>
  <c r="AK111" i="1"/>
  <c r="AK36" i="1"/>
  <c r="AK71" i="1"/>
  <c r="AH71" i="1"/>
  <c r="AH36" i="1"/>
  <c r="AH77" i="1" s="1"/>
  <c r="AG36" i="1"/>
  <c r="T39" i="1"/>
  <c r="T116" i="1"/>
  <c r="AD70" i="1"/>
  <c r="Y71" i="1"/>
  <c r="Y36" i="1"/>
  <c r="Y111" i="1"/>
  <c r="AD71" i="1"/>
  <c r="G28" i="1"/>
  <c r="G109" i="1"/>
  <c r="U92" i="1"/>
  <c r="U93" i="1"/>
  <c r="U101" i="1"/>
  <c r="U91" i="1"/>
  <c r="U16" i="1"/>
  <c r="H115" i="1"/>
  <c r="H112" i="1"/>
  <c r="I69" i="1"/>
  <c r="H114" i="1"/>
  <c r="H30" i="1"/>
  <c r="H113" i="1"/>
  <c r="Z117" i="1"/>
  <c r="S39" i="1"/>
  <c r="S116" i="1"/>
  <c r="AB116" i="1"/>
  <c r="W116" i="1"/>
  <c r="Z43" i="1"/>
  <c r="R39" i="1"/>
  <c r="R116" i="1"/>
  <c r="AE83" i="1"/>
  <c r="AE117" i="1"/>
  <c r="AE43" i="1"/>
  <c r="AC43" i="1"/>
  <c r="AI85" i="1" s="1"/>
  <c r="AC117" i="1"/>
  <c r="E117" i="1"/>
  <c r="E83" i="1"/>
  <c r="AB39" i="1"/>
  <c r="W39" i="1" l="1"/>
  <c r="AB80" i="1" s="1"/>
  <c r="M61" i="1"/>
  <c r="M104" i="1"/>
  <c r="M25" i="1"/>
  <c r="L66" i="1"/>
  <c r="L109" i="1"/>
  <c r="O103" i="1"/>
  <c r="N20" i="1"/>
  <c r="F182" i="5"/>
  <c r="F183" i="5" s="1"/>
  <c r="F220" i="5" s="1"/>
  <c r="F234" i="5" s="1"/>
  <c r="D240" i="5"/>
  <c r="C237" i="5"/>
  <c r="G182" i="5"/>
  <c r="G183" i="5" s="1"/>
  <c r="G220" i="5" s="1"/>
  <c r="G234" i="5" s="1"/>
  <c r="F230" i="5"/>
  <c r="F228" i="5"/>
  <c r="F229" i="5" s="1"/>
  <c r="F232" i="5"/>
  <c r="E235" i="5"/>
  <c r="F238" i="5"/>
  <c r="E228" i="5"/>
  <c r="E229" i="5" s="1"/>
  <c r="E232" i="5"/>
  <c r="E238" i="5"/>
  <c r="D235" i="5"/>
  <c r="E230" i="5"/>
  <c r="D231" i="5"/>
  <c r="D233" i="5"/>
  <c r="D239" i="5"/>
  <c r="C236" i="5"/>
  <c r="G230" i="5"/>
  <c r="G228" i="5"/>
  <c r="G229" i="5" s="1"/>
  <c r="G232" i="5"/>
  <c r="G238" i="5"/>
  <c r="F235" i="5"/>
  <c r="E79" i="5"/>
  <c r="E40" i="5"/>
  <c r="E81" i="5"/>
  <c r="F81" i="5"/>
  <c r="F79" i="5"/>
  <c r="F40" i="5"/>
  <c r="G81" i="5"/>
  <c r="G40" i="5"/>
  <c r="G79" i="5"/>
  <c r="D116" i="5"/>
  <c r="D82" i="5"/>
  <c r="D42" i="5"/>
  <c r="D84" i="5" s="1"/>
  <c r="Y77" i="1"/>
  <c r="AD77" i="1"/>
  <c r="AG116" i="1"/>
  <c r="AG77" i="1"/>
  <c r="W82" i="1"/>
  <c r="W80" i="1"/>
  <c r="X116" i="1"/>
  <c r="X77" i="1"/>
  <c r="AC77" i="1"/>
  <c r="AB77" i="1"/>
  <c r="X39" i="1"/>
  <c r="AB41" i="1"/>
  <c r="AB82" i="1"/>
  <c r="I41" i="1"/>
  <c r="I82" i="1"/>
  <c r="N94" i="1"/>
  <c r="N28" i="1"/>
  <c r="N115" i="1" s="1"/>
  <c r="N98" i="1"/>
  <c r="N90" i="1"/>
  <c r="N95" i="1"/>
  <c r="N99" i="1"/>
  <c r="N96" i="1"/>
  <c r="M69" i="1"/>
  <c r="M112" i="1"/>
  <c r="M30" i="1"/>
  <c r="O33" i="1"/>
  <c r="N74" i="1"/>
  <c r="L36" i="1"/>
  <c r="L71" i="1"/>
  <c r="L111" i="1"/>
  <c r="O97" i="1"/>
  <c r="O106" i="1"/>
  <c r="M113" i="1"/>
  <c r="M76" i="1"/>
  <c r="K39" i="1"/>
  <c r="K40" i="1" s="1"/>
  <c r="K82" i="1" s="1"/>
  <c r="K116" i="1"/>
  <c r="N97" i="1"/>
  <c r="N35" i="1"/>
  <c r="N73" i="1"/>
  <c r="O32" i="1"/>
  <c r="M115" i="1"/>
  <c r="J36" i="1"/>
  <c r="K71" i="1"/>
  <c r="J111" i="1"/>
  <c r="AJ40" i="1"/>
  <c r="AJ80" i="1"/>
  <c r="H69" i="1"/>
  <c r="G90" i="1"/>
  <c r="F39" i="1"/>
  <c r="F82" i="1" s="1"/>
  <c r="F77" i="1"/>
  <c r="F116" i="1"/>
  <c r="AH116" i="1"/>
  <c r="AH39" i="1"/>
  <c r="AK77" i="1"/>
  <c r="AK39" i="1"/>
  <c r="AK116" i="1"/>
  <c r="AG39" i="1"/>
  <c r="AG80" i="1" s="1"/>
  <c r="U28" i="1"/>
  <c r="U109" i="1"/>
  <c r="G112" i="1"/>
  <c r="G115" i="1"/>
  <c r="G114" i="1"/>
  <c r="G30" i="1"/>
  <c r="H71" i="1" s="1"/>
  <c r="G69" i="1"/>
  <c r="G113" i="1"/>
  <c r="Y116" i="1"/>
  <c r="Y39" i="1"/>
  <c r="T41" i="1"/>
  <c r="H111" i="1"/>
  <c r="H36" i="1"/>
  <c r="I71" i="1"/>
  <c r="S41" i="1"/>
  <c r="R41" i="1"/>
  <c r="W41" i="1"/>
  <c r="AE85" i="1"/>
  <c r="N104" i="1" l="1"/>
  <c r="N25" i="1"/>
  <c r="N61" i="1"/>
  <c r="M66" i="1"/>
  <c r="M109" i="1"/>
  <c r="P103" i="1"/>
  <c r="P20" i="1" s="1"/>
  <c r="O20" i="1"/>
  <c r="G240" i="5"/>
  <c r="F237" i="5"/>
  <c r="E240" i="5"/>
  <c r="D237" i="5"/>
  <c r="F240" i="5"/>
  <c r="E237" i="5"/>
  <c r="G231" i="5"/>
  <c r="G233" i="5"/>
  <c r="G239" i="5"/>
  <c r="F236" i="5"/>
  <c r="E231" i="5"/>
  <c r="E233" i="5"/>
  <c r="E239" i="5"/>
  <c r="D236" i="5"/>
  <c r="F233" i="5"/>
  <c r="F231" i="5"/>
  <c r="E236" i="5"/>
  <c r="F239" i="5"/>
  <c r="G82" i="5"/>
  <c r="G116" i="5"/>
  <c r="G42" i="5"/>
  <c r="F116" i="5"/>
  <c r="F82" i="5"/>
  <c r="F42" i="5"/>
  <c r="E116" i="5"/>
  <c r="E82" i="5"/>
  <c r="E42" i="5"/>
  <c r="E84" i="5" s="1"/>
  <c r="Y82" i="1"/>
  <c r="Y80" i="1"/>
  <c r="AD80" i="1"/>
  <c r="X82" i="1"/>
  <c r="X80" i="1"/>
  <c r="AC80" i="1"/>
  <c r="AH40" i="1"/>
  <c r="AH81" i="1" s="1"/>
  <c r="AH80" i="1"/>
  <c r="X41" i="1"/>
  <c r="X117" i="1" s="1"/>
  <c r="I43" i="1"/>
  <c r="I117" i="1"/>
  <c r="AG41" i="1"/>
  <c r="AG83" i="1" s="1"/>
  <c r="AG82" i="1"/>
  <c r="AJ41" i="1"/>
  <c r="AJ82" i="1"/>
  <c r="N114" i="1"/>
  <c r="N76" i="1"/>
  <c r="N113" i="1"/>
  <c r="O90" i="1"/>
  <c r="O95" i="1"/>
  <c r="O99" i="1"/>
  <c r="O28" i="1"/>
  <c r="O114" i="1" s="1"/>
  <c r="O96" i="1"/>
  <c r="O94" i="1"/>
  <c r="O98" i="1"/>
  <c r="O35" i="1"/>
  <c r="P32" i="1"/>
  <c r="O73" i="1"/>
  <c r="L39" i="1"/>
  <c r="L40" i="1" s="1"/>
  <c r="L82" i="1" s="1"/>
  <c r="L116" i="1"/>
  <c r="L77" i="1"/>
  <c r="M111" i="1"/>
  <c r="M36" i="1"/>
  <c r="M71" i="1"/>
  <c r="P97" i="1"/>
  <c r="N69" i="1"/>
  <c r="N112" i="1"/>
  <c r="N30" i="1"/>
  <c r="P33" i="1"/>
  <c r="O74" i="1"/>
  <c r="K77" i="1"/>
  <c r="J39" i="1"/>
  <c r="K80" i="1" s="1"/>
  <c r="J77" i="1"/>
  <c r="J116" i="1"/>
  <c r="F41" i="1"/>
  <c r="F80" i="1"/>
  <c r="AJ81" i="1"/>
  <c r="AK40" i="1"/>
  <c r="AK80" i="1"/>
  <c r="G71" i="1"/>
  <c r="G36" i="1"/>
  <c r="H77" i="1" s="1"/>
  <c r="G111" i="1"/>
  <c r="T43" i="1"/>
  <c r="T117" i="1"/>
  <c r="Z69" i="1"/>
  <c r="U30" i="1"/>
  <c r="U112" i="1"/>
  <c r="U94" i="1"/>
  <c r="U98" i="1"/>
  <c r="U95" i="1"/>
  <c r="U114" i="1"/>
  <c r="U113" i="1"/>
  <c r="U115" i="1"/>
  <c r="U96" i="1"/>
  <c r="U97" i="1"/>
  <c r="U99" i="1"/>
  <c r="U90" i="1"/>
  <c r="Y41" i="1"/>
  <c r="I77" i="1"/>
  <c r="H116" i="1"/>
  <c r="H39" i="1"/>
  <c r="H82" i="1" s="1"/>
  <c r="X83" i="1"/>
  <c r="X43" i="1"/>
  <c r="S43" i="1"/>
  <c r="S117" i="1"/>
  <c r="W117" i="1"/>
  <c r="W83" i="1"/>
  <c r="W43" i="1"/>
  <c r="R117" i="1"/>
  <c r="R43" i="1"/>
  <c r="AB83" i="1"/>
  <c r="AB117" i="1"/>
  <c r="AB43" i="1"/>
  <c r="AH82" i="1" l="1"/>
  <c r="J40" i="1"/>
  <c r="AC83" i="1"/>
  <c r="N66" i="1"/>
  <c r="N109" i="1"/>
  <c r="O61" i="1"/>
  <c r="O25" i="1"/>
  <c r="O104" i="1"/>
  <c r="P104" i="1"/>
  <c r="P25" i="1"/>
  <c r="P61" i="1"/>
  <c r="F84" i="5"/>
  <c r="G84" i="5"/>
  <c r="O115" i="1"/>
  <c r="J82" i="1"/>
  <c r="AK41" i="1"/>
  <c r="AK82" i="1"/>
  <c r="AH41" i="1"/>
  <c r="AH83" i="1" s="1"/>
  <c r="P35" i="1"/>
  <c r="P73" i="1"/>
  <c r="L41" i="1"/>
  <c r="L80" i="1"/>
  <c r="P74" i="1"/>
  <c r="P90" i="1"/>
  <c r="P28" i="1"/>
  <c r="P114" i="1" s="1"/>
  <c r="P94" i="1"/>
  <c r="P95" i="1"/>
  <c r="P99" i="1"/>
  <c r="P96" i="1"/>
  <c r="P98" i="1"/>
  <c r="O69" i="1"/>
  <c r="O112" i="1"/>
  <c r="O30" i="1"/>
  <c r="N111" i="1"/>
  <c r="N71" i="1"/>
  <c r="N36" i="1"/>
  <c r="M116" i="1"/>
  <c r="M77" i="1"/>
  <c r="M39" i="1"/>
  <c r="M40" i="1" s="1"/>
  <c r="M82" i="1" s="1"/>
  <c r="O76" i="1"/>
  <c r="O113" i="1"/>
  <c r="K41" i="1"/>
  <c r="J80" i="1"/>
  <c r="F117" i="1"/>
  <c r="F43" i="1"/>
  <c r="F85" i="1" s="1"/>
  <c r="F83" i="1"/>
  <c r="AJ117" i="1"/>
  <c r="AJ43" i="1"/>
  <c r="AJ85" i="1" s="1"/>
  <c r="AJ83" i="1"/>
  <c r="AK81" i="1"/>
  <c r="AG117" i="1"/>
  <c r="AG43" i="1"/>
  <c r="AG85" i="1" s="1"/>
  <c r="Y83" i="1"/>
  <c r="AD83" i="1"/>
  <c r="Y117" i="1"/>
  <c r="Y43" i="1"/>
  <c r="G116" i="1"/>
  <c r="G39" i="1"/>
  <c r="G77" i="1"/>
  <c r="U36" i="1"/>
  <c r="Z77" i="1" s="1"/>
  <c r="U111" i="1"/>
  <c r="Z71" i="1"/>
  <c r="H41" i="1"/>
  <c r="I80" i="1"/>
  <c r="X85" i="1"/>
  <c r="AC85" i="1"/>
  <c r="AB85" i="1"/>
  <c r="W85" i="1"/>
  <c r="P66" i="1" l="1"/>
  <c r="O66" i="1"/>
  <c r="O109" i="1"/>
  <c r="P109" i="1"/>
  <c r="H80" i="1"/>
  <c r="G82" i="1"/>
  <c r="P115" i="1"/>
  <c r="L117" i="1"/>
  <c r="L43" i="1"/>
  <c r="L83" i="1"/>
  <c r="K117" i="1"/>
  <c r="K43" i="1"/>
  <c r="L81" i="1"/>
  <c r="N39" i="1"/>
  <c r="N40" i="1" s="1"/>
  <c r="N82" i="1" s="1"/>
  <c r="N77" i="1"/>
  <c r="N116" i="1"/>
  <c r="O36" i="1"/>
  <c r="O111" i="1"/>
  <c r="O71" i="1"/>
  <c r="M81" i="1"/>
  <c r="M80" i="1"/>
  <c r="M41" i="1"/>
  <c r="P30" i="1"/>
  <c r="P112" i="1"/>
  <c r="P69" i="1"/>
  <c r="P76" i="1"/>
  <c r="P113" i="1"/>
  <c r="J81" i="1"/>
  <c r="K81" i="1"/>
  <c r="J41" i="1"/>
  <c r="AK117" i="1"/>
  <c r="AK43" i="1"/>
  <c r="AK85" i="1" s="1"/>
  <c r="AK83" i="1"/>
  <c r="AH117" i="1"/>
  <c r="AH43" i="1"/>
  <c r="AH85" i="1" s="1"/>
  <c r="Y85" i="1"/>
  <c r="AD85" i="1"/>
  <c r="G41" i="1"/>
  <c r="H83" i="1" s="1"/>
  <c r="G80" i="1"/>
  <c r="U39" i="1"/>
  <c r="Z80" i="1" s="1"/>
  <c r="U116" i="1"/>
  <c r="H117" i="1"/>
  <c r="H43" i="1"/>
  <c r="I83" i="1"/>
  <c r="P36" i="1" l="1"/>
  <c r="P71" i="1"/>
  <c r="M83" i="1"/>
  <c r="M117" i="1"/>
  <c r="M43" i="1"/>
  <c r="M85" i="1" s="1"/>
  <c r="N80" i="1"/>
  <c r="O77" i="1"/>
  <c r="O116" i="1"/>
  <c r="O39" i="1"/>
  <c r="O40" i="1" s="1"/>
  <c r="O82" i="1" s="1"/>
  <c r="L85" i="1"/>
  <c r="J117" i="1"/>
  <c r="J43" i="1"/>
  <c r="K83" i="1"/>
  <c r="J83" i="1"/>
  <c r="U41" i="1"/>
  <c r="G117" i="1"/>
  <c r="G43" i="1"/>
  <c r="G85" i="1" s="1"/>
  <c r="G83" i="1"/>
  <c r="I85" i="1"/>
  <c r="O80" i="1" l="1"/>
  <c r="O41" i="1"/>
  <c r="N41" i="1"/>
  <c r="N81" i="1"/>
  <c r="P39" i="1"/>
  <c r="P40" i="1" s="1"/>
  <c r="P82" i="1" s="1"/>
  <c r="P116" i="1"/>
  <c r="P77" i="1"/>
  <c r="J85" i="1"/>
  <c r="K85" i="1"/>
  <c r="H85" i="1"/>
  <c r="U43" i="1"/>
  <c r="Z85" i="1" s="1"/>
  <c r="U117" i="1"/>
  <c r="Z83" i="1"/>
  <c r="P41" i="1" l="1"/>
  <c r="P80" i="1"/>
  <c r="P81" i="1"/>
  <c r="O81" i="1"/>
  <c r="N83" i="1"/>
  <c r="N43" i="1"/>
  <c r="N85" i="1" s="1"/>
  <c r="N117" i="1"/>
  <c r="O83" i="1"/>
  <c r="O43" i="1"/>
  <c r="O117" i="1"/>
  <c r="O85" i="1" l="1"/>
  <c r="P117" i="1"/>
  <c r="P43" i="1"/>
  <c r="P85" i="1" s="1"/>
  <c r="P83" i="1"/>
  <c r="I7" i="2" l="1"/>
  <c r="J7" i="2" l="1"/>
  <c r="C7" i="2" s="1"/>
  <c r="I8" i="2"/>
  <c r="D7" i="2" l="1"/>
  <c r="J8" i="2"/>
  <c r="C8" i="2" s="1"/>
  <c r="H8" i="2"/>
  <c r="I9" i="2"/>
  <c r="J9" i="2" s="1"/>
  <c r="D8" i="2" l="1"/>
  <c r="D9" i="2" s="1"/>
  <c r="C10" i="2"/>
  <c r="C9" i="2"/>
  <c r="E7" i="2"/>
  <c r="H10" i="2"/>
  <c r="H9" i="2"/>
  <c r="F7" i="2" l="1"/>
  <c r="E8" i="2"/>
  <c r="E9" i="2" s="1"/>
  <c r="D10" i="2"/>
  <c r="F8" i="2" l="1"/>
  <c r="F9" i="2" s="1"/>
  <c r="E10" i="2"/>
  <c r="G7" i="2"/>
  <c r="F10" i="2" l="1"/>
  <c r="G8" i="2"/>
  <c r="G10" i="2" s="1"/>
  <c r="G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tc={4B749950-CA8F-A541-A870-E552191ABD36}</author>
  </authors>
  <commentList>
    <comment ref="J111" authorId="0" shapeId="0" xr:uid="{4B749950-CA8F-A541-A870-E552191ABD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Management only expects a 200 basis point increase per 24’Q2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tc={CC995813-C5A5-0E47-A82A-E666B5F69DF5}</author>
  </authors>
  <commentList>
    <comment ref="H110" authorId="0" shapeId="0" xr:uid="{CC995813-C5A5-0E47-A82A-E666B5F69D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Management only expects a 200 basis point increase per 24’Q2
</t>
      </text>
    </comment>
  </commentList>
</comments>
</file>

<file path=xl/sharedStrings.xml><?xml version="1.0" encoding="utf-8"?>
<sst xmlns="http://schemas.openxmlformats.org/spreadsheetml/2006/main" count="539" uniqueCount="221">
  <si>
    <t>Intel</t>
  </si>
  <si>
    <t>Client Computing Group (CCG)</t>
  </si>
  <si>
    <t>Data Center AI (DCAI)</t>
  </si>
  <si>
    <t>Network and Edge (NEX)</t>
  </si>
  <si>
    <t>Intel Foundry Services (IFS)</t>
  </si>
  <si>
    <t>Mobileye (MLBY)</t>
  </si>
  <si>
    <t>Notebook</t>
  </si>
  <si>
    <t>Desktop</t>
  </si>
  <si>
    <t>Other</t>
  </si>
  <si>
    <t>Total Revenues</t>
  </si>
  <si>
    <t>COGS</t>
  </si>
  <si>
    <t>Revenue Segments ($ millions):</t>
  </si>
  <si>
    <t xml:space="preserve">Gross Profit </t>
  </si>
  <si>
    <t>R&amp;D</t>
  </si>
  <si>
    <t>Marketing + SGA</t>
  </si>
  <si>
    <t>Restructuring + other chages</t>
  </si>
  <si>
    <t>Operating Expenses:</t>
  </si>
  <si>
    <t>Total Operating Expenses</t>
  </si>
  <si>
    <t>Operating Income</t>
  </si>
  <si>
    <t>P/L on equity investments, net</t>
  </si>
  <si>
    <t>Interest &amp; other, net</t>
  </si>
  <si>
    <t>Income before taxes</t>
  </si>
  <si>
    <t>Taxes</t>
  </si>
  <si>
    <t>Net Income</t>
  </si>
  <si>
    <t>Q1</t>
  </si>
  <si>
    <t>Q2</t>
  </si>
  <si>
    <t>Q3</t>
  </si>
  <si>
    <t>Q4</t>
  </si>
  <si>
    <t xml:space="preserve">Altera </t>
  </si>
  <si>
    <t>Growth Rates</t>
  </si>
  <si>
    <t>Diluted Shares Outstanding</t>
  </si>
  <si>
    <t>EPS</t>
  </si>
  <si>
    <t>Ratios</t>
  </si>
  <si>
    <t>COGS/Revenues</t>
  </si>
  <si>
    <t>R&amp;D/Revenues</t>
  </si>
  <si>
    <t>Total Operating Expense/Revenues</t>
  </si>
  <si>
    <t>Marketing + SGA/Revenues</t>
  </si>
  <si>
    <t>Operating Margin</t>
  </si>
  <si>
    <t>Net Margin</t>
  </si>
  <si>
    <t>Gross Margin</t>
  </si>
  <si>
    <t>2024 E</t>
  </si>
  <si>
    <t>Q2 E</t>
  </si>
  <si>
    <t>Q3 E</t>
  </si>
  <si>
    <t>Q4 E</t>
  </si>
  <si>
    <t>Net Revenues</t>
  </si>
  <si>
    <t>Total operating segment revenue</t>
  </si>
  <si>
    <t xml:space="preserve">Segment Operating Income: </t>
  </si>
  <si>
    <t>Total segment operating income</t>
  </si>
  <si>
    <t>*Revenue Adjustment</t>
  </si>
  <si>
    <t>Total segment operating margin</t>
  </si>
  <si>
    <t xml:space="preserve">Segment Operating Margin: </t>
  </si>
  <si>
    <t>Foundry Industry Forecast ($ Billions)</t>
  </si>
  <si>
    <t xml:space="preserve">Average Annual Growth </t>
  </si>
  <si>
    <t xml:space="preserve">2024 E </t>
  </si>
  <si>
    <t xml:space="preserve">2025 E </t>
  </si>
  <si>
    <t xml:space="preserve">2026 E </t>
  </si>
  <si>
    <t xml:space="preserve">2027 E </t>
  </si>
  <si>
    <t xml:space="preserve">2028 E </t>
  </si>
  <si>
    <t xml:space="preserve">2029 E </t>
  </si>
  <si>
    <t xml:space="preserve">2030 E </t>
  </si>
  <si>
    <t>Foundry Segment Forecast</t>
  </si>
  <si>
    <t>Total Growth</t>
  </si>
  <si>
    <t>Average Annual Growth</t>
  </si>
  <si>
    <t>Tax Rate</t>
  </si>
  <si>
    <t>Year</t>
  </si>
  <si>
    <t>Foundry Revenue</t>
  </si>
  <si>
    <t>Foundry Expense</t>
  </si>
  <si>
    <t>Foundry Operating Income</t>
  </si>
  <si>
    <t>Expected growth of foundry industry according to INTC 24' Q1</t>
  </si>
  <si>
    <t>Total Intel Products</t>
  </si>
  <si>
    <t>Consolidated Balance Sheets - USD ($) $ in Millions</t>
  </si>
  <si>
    <t>Dec. 30, 2023</t>
  </si>
  <si>
    <t>Dec. 31, 2022</t>
  </si>
  <si>
    <t>Current assets:</t>
  </si>
  <si>
    <t> </t>
  </si>
  <si>
    <t>Cash, Cash Equivalents, Restricted Cash and Restricted Cash Equivalents</t>
  </si>
  <si>
    <t>Short-term investments</t>
  </si>
  <si>
    <t>Accounts receivable, net</t>
  </si>
  <si>
    <t>Inventories</t>
  </si>
  <si>
    <t>Other current assets</t>
  </si>
  <si>
    <t>Total current assets</t>
  </si>
  <si>
    <t>Property, plant, and equipment, net</t>
  </si>
  <si>
    <t>Equity investments</t>
  </si>
  <si>
    <t>Goodwill</t>
  </si>
  <si>
    <t>Identified intangible assets, net</t>
  </si>
  <si>
    <t>Other long-term assets</t>
  </si>
  <si>
    <t>Total assets</t>
  </si>
  <si>
    <t>Current liabilities:</t>
  </si>
  <si>
    <t>Short-term debt</t>
  </si>
  <si>
    <t>Accounts payable</t>
  </si>
  <si>
    <t>Accrued compensation and benefits</t>
  </si>
  <si>
    <t>Income taxes payable</t>
  </si>
  <si>
    <t>Other accrued liabilities</t>
  </si>
  <si>
    <t>Total current liabilities</t>
  </si>
  <si>
    <t>Debt</t>
  </si>
  <si>
    <t>Other long-term liabilities</t>
  </si>
  <si>
    <t>Commitments and Contingencies (Note 19)</t>
  </si>
  <si>
    <t xml:space="preserve"> </t>
  </si>
  <si>
    <t>Stockholders' equity:</t>
  </si>
  <si>
    <t>Preferred stock, $0.001 par value, 50 shares authorized; none issued</t>
  </si>
  <si>
    <t>Common stock, $0.001 par value, 10,000 shares authorized; 4,228 shares issued and outstanding (4,137 issued and outstanding in 2022) and capital in excess of par value</t>
  </si>
  <si>
    <t>Accumulated other comprehensive income (loss)</t>
  </si>
  <si>
    <t>Retained earnings</t>
  </si>
  <si>
    <t>Total Intel stockholders' equity</t>
  </si>
  <si>
    <t>Non-controlling interests</t>
  </si>
  <si>
    <t>Total stockholders' equity</t>
  </si>
  <si>
    <t>Total liabilities and stockholders' equity</t>
  </si>
  <si>
    <t>Consolidated Statements of Cash Flows - USD ($) $ in Millions</t>
  </si>
  <si>
    <t>Statement of Cash Flows [Abstract]</t>
  </si>
  <si>
    <t>Cash and cash equivalents, beginning of period</t>
  </si>
  <si>
    <t>Cash flows provided by (used for) operating activities:</t>
  </si>
  <si>
    <t>Net income</t>
  </si>
  <si>
    <t>Adjustments to reconcile net income to net cash provided by operating activities:</t>
  </si>
  <si>
    <t>Depreciation</t>
  </si>
  <si>
    <t>Share-based compensation</t>
  </si>
  <si>
    <t>Restructuring and other charges</t>
  </si>
  <si>
    <t>Amortization of intangibles</t>
  </si>
  <si>
    <t>(Gains) losses on equity investments, net</t>
  </si>
  <si>
    <t>(Gains) losses on divestitures</t>
  </si>
  <si>
    <t>Changes in assets and liabilities:</t>
  </si>
  <si>
    <t>Accounts receivable</t>
  </si>
  <si>
    <t>Customer deposits and prepaid supply agreements</t>
  </si>
  <si>
    <t>Income taxes</t>
  </si>
  <si>
    <t>Other assets and liabilities</t>
  </si>
  <si>
    <t>Total adjustments</t>
  </si>
  <si>
    <t>Net cash provided by operating activities</t>
  </si>
  <si>
    <t>Cash flows provided by (used for) investing activities:</t>
  </si>
  <si>
    <t>Additions to property, plant, and equipment</t>
  </si>
  <si>
    <t>Additions to held for sale NAND property, plant, and equipment</t>
  </si>
  <si>
    <t>Proceeds From Capital Grants</t>
  </si>
  <si>
    <t>Purchase of short-term investments</t>
  </si>
  <si>
    <t>Maturities and sales of short-term investments</t>
  </si>
  <si>
    <t>Purchases of equity investments</t>
  </si>
  <si>
    <t>Sales of equity investments</t>
  </si>
  <si>
    <t>Proceeds from divestitures</t>
  </si>
  <si>
    <t>Other investing</t>
  </si>
  <si>
    <t>Net cash used for investing activities</t>
  </si>
  <si>
    <t>Cash flows provided by (used for) financing activities:</t>
  </si>
  <si>
    <t>Issuance of commercial paper, net of issuance costs</t>
  </si>
  <si>
    <t>Repayment of commercial paper</t>
  </si>
  <si>
    <t>Payments on finance leases</t>
  </si>
  <si>
    <t>Partner contributions</t>
  </si>
  <si>
    <t>Proceeds from sales of subsidiary shares</t>
  </si>
  <si>
    <t>Issuance of long-term debt, net of issuance costs</t>
  </si>
  <si>
    <t>Repayments of Long-term Debt</t>
  </si>
  <si>
    <t>Proceeds from sales of common stock through employee equity incentive plans</t>
  </si>
  <si>
    <t>Repurchase of common stock</t>
  </si>
  <si>
    <t>Payment of dividends to stockholders</t>
  </si>
  <si>
    <t>Other financing</t>
  </si>
  <si>
    <t>Net cash provided by (used for) financing activities</t>
  </si>
  <si>
    <t>Net increase (decrease) in cash and cash equivalents</t>
  </si>
  <si>
    <t>Cash and cash equivalents, end of period</t>
  </si>
  <si>
    <t>Supplemental disclosures:</t>
  </si>
  <si>
    <t>Acquisition of property, plant, and equipment included in accounts payable and accrued liabilities</t>
  </si>
  <si>
    <t>Interest, net of capitalized interest</t>
  </si>
  <si>
    <t>Income taxes, net of refunds</t>
  </si>
  <si>
    <t>Dec. 25, 2021</t>
  </si>
  <si>
    <t>Dec. 26, 2020</t>
  </si>
  <si>
    <t>Dec. 28, 2019</t>
  </si>
  <si>
    <t>Other long-term investments</t>
  </si>
  <si>
    <t>Assets held for sale</t>
  </si>
  <si>
    <t>Trading assets</t>
  </si>
  <si>
    <t>Contract Liabilities</t>
  </si>
  <si>
    <t>Income taxes payable, non-current</t>
  </si>
  <si>
    <t>Deferred income taxes</t>
  </si>
  <si>
    <t>Acquisition, net of cash acquired</t>
  </si>
  <si>
    <t>Purchases of trading assets</t>
  </si>
  <si>
    <t>Maturities and sales of trading assets</t>
  </si>
  <si>
    <t>Dec. 29, 2018</t>
  </si>
  <si>
    <t>Dec. 30, 2017</t>
  </si>
  <si>
    <t>Dep and amort</t>
  </si>
  <si>
    <t>Changes in working capital</t>
  </si>
  <si>
    <t xml:space="preserve">  Total</t>
  </si>
  <si>
    <t>Capital spending</t>
  </si>
  <si>
    <t>Excess cash flow</t>
  </si>
  <si>
    <t>Excess cash flow/share</t>
  </si>
  <si>
    <t>Acquisitions, net</t>
  </si>
  <si>
    <t>Purchase of treasury shares</t>
  </si>
  <si>
    <t>Addition/reduction in debt</t>
  </si>
  <si>
    <t>Change in marketable securities</t>
  </si>
  <si>
    <t>Funds Flow</t>
  </si>
  <si>
    <t>Dividends, net</t>
  </si>
  <si>
    <t>Operating income</t>
  </si>
  <si>
    <t>NOPAT</t>
  </si>
  <si>
    <t>Pre-tax income</t>
  </si>
  <si>
    <t>Effective tax rate</t>
  </si>
  <si>
    <t>Invested capital</t>
  </si>
  <si>
    <t>Net working capital</t>
  </si>
  <si>
    <t>PP&amp;E</t>
  </si>
  <si>
    <t>Other assets</t>
  </si>
  <si>
    <t>Return on invested capital (ROIC)</t>
  </si>
  <si>
    <t>INTC</t>
  </si>
  <si>
    <t>Ending year end stock price</t>
  </si>
  <si>
    <t>Net debt</t>
  </si>
  <si>
    <t>Market capitalization</t>
  </si>
  <si>
    <t>Total market value</t>
  </si>
  <si>
    <t>EBITD</t>
  </si>
  <si>
    <t>EBITD margin</t>
  </si>
  <si>
    <t>Adj EBITD margin</t>
  </si>
  <si>
    <t>EBITD growth</t>
  </si>
  <si>
    <t>Adj EBITD growth</t>
  </si>
  <si>
    <t>ROIC</t>
  </si>
  <si>
    <t>TMV/EBITD (forward)</t>
  </si>
  <si>
    <t>TMV/EBITD (current)</t>
  </si>
  <si>
    <t>TMV/invested capital</t>
  </si>
  <si>
    <t>Excess cash flow yield</t>
  </si>
  <si>
    <t xml:space="preserve">EBITD + Share Compensation </t>
  </si>
  <si>
    <t>EBITD + Share Compensation - CAPEX - NWC</t>
  </si>
  <si>
    <t>TMV/EBITD + Share Compensation (forward)</t>
  </si>
  <si>
    <t>TMV/EBITD + Share Compensation - CAPEX - NWC (forward)</t>
  </si>
  <si>
    <t>DCF</t>
  </si>
  <si>
    <t>Tax rate</t>
  </si>
  <si>
    <t>Depreciation and amort</t>
  </si>
  <si>
    <t>Free cash flow</t>
  </si>
  <si>
    <t>NPV</t>
  </si>
  <si>
    <t>Assumed growth rate</t>
  </si>
  <si>
    <t>Assumed cost of capital</t>
  </si>
  <si>
    <t>Equity Capitalization</t>
  </si>
  <si>
    <t>Shares outstanding</t>
  </si>
  <si>
    <t>Estimated stock price</t>
  </si>
  <si>
    <t>Quarter as % of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</si>
</sst>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[$$-409]* #,##0_);_([$$-409]* \(#,##0\);_([$$-409]* &quot;-&quot;_);_(@_)"/>
    <numFmt numFmtId="165" formatCode="0.0%"/>
    <numFmt numFmtId="166" formatCode="_([$$-409]* #,##0.00_);_([$$-409]* \(#,##0.00\);_([$$-409]* &quot;-&quot;??_);_(@_)"/>
    <numFmt numFmtId="167" formatCode="_([$$-409]* #,##0_);_([$$-409]* \(#,##0\);_([$$-409]* &quot;-&quot;??_);_(@_)"/>
    <numFmt numFmtId="168" formatCode="[$$-409]#,##0"/>
    <numFmt numFmtId="169" formatCode="_(&quot;$ &quot;#,##0_);_(&quot;$ &quot;\(#,##0\)"/>
    <numFmt numFmtId="170" formatCode="&quot;$&quot;#,##0_);\(&quot;$&quot;#,##0\)"/>
    <numFmt numFmtId="171" formatCode="&quot;$&quot;#,##0;\-&quot;$&quot;#,##0"/>
    <numFmt numFmtId="172" formatCode="[$$-409]#,##0.00"/>
    <numFmt numFmtId="173" formatCode="#,##0.0_);\(#,##0.0\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u/>
      <sz val="12"/>
      <color rgb="FF006100"/>
      <name val="Calibri"/>
      <family val="2"/>
      <scheme val="minor"/>
    </font>
    <font>
      <b/>
      <u val="singleAccounting"/>
      <sz val="12"/>
      <color rgb="FF006100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b/>
      <sz val="11"/>
      <name val="Calibri"/>
      <family val="2"/>
    </font>
    <font>
      <sz val="11"/>
      <name val="Calibri"/>
      <family val="2"/>
    </font>
    <font>
      <sz val="12"/>
      <name val="Calibri"/>
      <family val="2"/>
    </font>
    <font>
      <b/>
      <u/>
      <sz val="12"/>
      <name val="Calibri"/>
      <family val="2"/>
    </font>
    <font>
      <sz val="12"/>
      <name val="Calibri (Body)"/>
    </font>
    <font>
      <sz val="12"/>
      <color rgb="FF006100"/>
      <name val="Calibri (Body)"/>
    </font>
    <font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9" fontId="0" fillId="0" borderId="0" xfId="1" applyFont="1"/>
    <xf numFmtId="164" fontId="5" fillId="0" borderId="0" xfId="0" applyNumberFormat="1" applyFont="1"/>
    <xf numFmtId="0" fontId="0" fillId="0" borderId="0" xfId="0" applyAlignment="1">
      <alignment vertical="center"/>
    </xf>
    <xf numFmtId="165" fontId="0" fillId="0" borderId="0" xfId="1" applyNumberFormat="1" applyFont="1"/>
    <xf numFmtId="1" fontId="0" fillId="0" borderId="0" xfId="0" applyNumberFormat="1"/>
    <xf numFmtId="0" fontId="9" fillId="2" borderId="0" xfId="2" applyFont="1" applyAlignment="1">
      <alignment horizontal="left"/>
    </xf>
    <xf numFmtId="164" fontId="9" fillId="2" borderId="0" xfId="2" applyNumberFormat="1" applyFont="1"/>
    <xf numFmtId="0" fontId="7" fillId="0" borderId="0" xfId="2" applyFill="1"/>
    <xf numFmtId="0" fontId="9" fillId="2" borderId="0" xfId="2" applyFont="1"/>
    <xf numFmtId="164" fontId="10" fillId="2" borderId="0" xfId="2" applyNumberFormat="1" applyFont="1"/>
    <xf numFmtId="164" fontId="11" fillId="0" borderId="0" xfId="0" applyNumberFormat="1" applyFont="1"/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165" fontId="6" fillId="4" borderId="0" xfId="1" applyNumberFormat="1" applyFont="1" applyFill="1"/>
    <xf numFmtId="165" fontId="3" fillId="4" borderId="0" xfId="1" applyNumberFormat="1" applyFont="1" applyFill="1"/>
    <xf numFmtId="0" fontId="3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164" fontId="0" fillId="5" borderId="0" xfId="0" applyNumberFormat="1" applyFill="1"/>
    <xf numFmtId="0" fontId="0" fillId="5" borderId="0" xfId="0" applyFill="1" applyAlignment="1">
      <alignment horizontal="right"/>
    </xf>
    <xf numFmtId="164" fontId="0" fillId="5" borderId="0" xfId="0" applyNumberFormat="1" applyFill="1" applyAlignment="1">
      <alignment horizontal="right"/>
    </xf>
    <xf numFmtId="0" fontId="5" fillId="5" borderId="0" xfId="0" applyFont="1" applyFill="1" applyAlignment="1">
      <alignment horizontal="left"/>
    </xf>
    <xf numFmtId="164" fontId="5" fillId="5" borderId="0" xfId="0" applyNumberFormat="1" applyFont="1" applyFill="1"/>
    <xf numFmtId="9" fontId="5" fillId="5" borderId="0" xfId="1" applyFont="1" applyFill="1" applyAlignment="1">
      <alignment horizontal="right"/>
    </xf>
    <xf numFmtId="0" fontId="5" fillId="5" borderId="0" xfId="0" applyFont="1" applyFill="1"/>
    <xf numFmtId="9" fontId="0" fillId="5" borderId="0" xfId="1" applyFont="1" applyFill="1" applyAlignment="1">
      <alignment horizontal="right"/>
    </xf>
    <xf numFmtId="164" fontId="0" fillId="5" borderId="0" xfId="0" applyNumberFormat="1" applyFill="1" applyAlignment="1">
      <alignment horizontal="center"/>
    </xf>
    <xf numFmtId="164" fontId="5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166" fontId="0" fillId="5" borderId="0" xfId="0" applyNumberFormat="1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165" fontId="6" fillId="5" borderId="0" xfId="1" applyNumberFormat="1" applyFont="1" applyFill="1" applyAlignment="1">
      <alignment vertical="center"/>
    </xf>
    <xf numFmtId="9" fontId="6" fillId="5" borderId="0" xfId="1" applyFont="1" applyFill="1" applyAlignment="1">
      <alignment vertical="center"/>
    </xf>
    <xf numFmtId="165" fontId="6" fillId="5" borderId="0" xfId="1" applyNumberFormat="1" applyFont="1" applyFill="1" applyAlignment="1">
      <alignment horizontal="right"/>
    </xf>
    <xf numFmtId="9" fontId="6" fillId="5" borderId="0" xfId="1" applyFont="1" applyFill="1" applyAlignment="1">
      <alignment horizontal="right"/>
    </xf>
    <xf numFmtId="165" fontId="6" fillId="5" borderId="0" xfId="1" applyNumberFormat="1" applyFont="1" applyFill="1"/>
    <xf numFmtId="9" fontId="6" fillId="5" borderId="0" xfId="1" applyFont="1" applyFill="1"/>
    <xf numFmtId="165" fontId="2" fillId="5" borderId="0" xfId="1" applyNumberFormat="1" applyFont="1" applyFill="1" applyAlignment="1">
      <alignment horizontal="center"/>
    </xf>
    <xf numFmtId="165" fontId="2" fillId="5" borderId="0" xfId="1" applyNumberFormat="1" applyFont="1" applyFill="1" applyAlignment="1">
      <alignment horizontal="right"/>
    </xf>
    <xf numFmtId="9" fontId="0" fillId="5" borderId="0" xfId="1" applyFont="1" applyFill="1"/>
    <xf numFmtId="9" fontId="2" fillId="5" borderId="0" xfId="1" applyFont="1" applyFill="1" applyAlignment="1">
      <alignment horizontal="center" vertical="center"/>
    </xf>
    <xf numFmtId="165" fontId="2" fillId="5" borderId="0" xfId="1" applyNumberFormat="1" applyFont="1" applyFill="1"/>
    <xf numFmtId="0" fontId="0" fillId="0" borderId="0" xfId="0" applyAlignment="1">
      <alignment wrapText="1"/>
    </xf>
    <xf numFmtId="0" fontId="12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64" fontId="5" fillId="5" borderId="0" xfId="0" applyNumberFormat="1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0" fillId="6" borderId="0" xfId="0" applyFill="1"/>
    <xf numFmtId="164" fontId="0" fillId="6" borderId="0" xfId="0" applyNumberFormat="1" applyFill="1"/>
    <xf numFmtId="168" fontId="0" fillId="6" borderId="0" xfId="0" applyNumberFormat="1" applyFill="1"/>
    <xf numFmtId="164" fontId="0" fillId="6" borderId="0" xfId="0" applyNumberFormat="1" applyFill="1" applyAlignment="1">
      <alignment horizontal="right"/>
    </xf>
    <xf numFmtId="168" fontId="0" fillId="6" borderId="0" xfId="0" applyNumberFormat="1" applyFill="1" applyAlignment="1">
      <alignment horizontal="right"/>
    </xf>
    <xf numFmtId="0" fontId="5" fillId="6" borderId="0" xfId="0" applyFont="1" applyFill="1" applyAlignment="1">
      <alignment horizontal="center"/>
    </xf>
    <xf numFmtId="167" fontId="0" fillId="6" borderId="0" xfId="0" applyNumberFormat="1" applyFill="1"/>
    <xf numFmtId="164" fontId="5" fillId="6" borderId="0" xfId="0" applyNumberFormat="1" applyFont="1" applyFill="1"/>
    <xf numFmtId="164" fontId="0" fillId="6" borderId="0" xfId="0" applyNumberFormat="1" applyFill="1" applyAlignment="1">
      <alignment horizontal="center"/>
    </xf>
    <xf numFmtId="164" fontId="5" fillId="6" borderId="0" xfId="0" applyNumberFormat="1" applyFont="1" applyFill="1" applyAlignment="1">
      <alignment horizontal="left"/>
    </xf>
    <xf numFmtId="164" fontId="9" fillId="6" borderId="0" xfId="2" applyNumberFormat="1" applyFont="1" applyFill="1"/>
    <xf numFmtId="164" fontId="8" fillId="6" borderId="0" xfId="3" applyNumberFormat="1" applyFill="1"/>
    <xf numFmtId="0" fontId="8" fillId="6" borderId="0" xfId="3" applyFill="1"/>
    <xf numFmtId="166" fontId="0" fillId="6" borderId="0" xfId="0" applyNumberFormat="1" applyFill="1"/>
    <xf numFmtId="1" fontId="0" fillId="6" borderId="0" xfId="0" applyNumberFormat="1" applyFill="1"/>
    <xf numFmtId="165" fontId="6" fillId="6" borderId="0" xfId="1" applyNumberFormat="1" applyFont="1" applyFill="1" applyAlignment="1">
      <alignment vertical="center"/>
    </xf>
    <xf numFmtId="165" fontId="6" fillId="6" borderId="0" xfId="1" applyNumberFormat="1" applyFont="1" applyFill="1" applyAlignment="1">
      <alignment horizontal="right"/>
    </xf>
    <xf numFmtId="165" fontId="6" fillId="6" borderId="0" xfId="1" applyNumberFormat="1" applyFont="1" applyFill="1"/>
    <xf numFmtId="165" fontId="3" fillId="6" borderId="0" xfId="1" applyNumberFormat="1" applyFont="1" applyFill="1"/>
    <xf numFmtId="0" fontId="3" fillId="6" borderId="0" xfId="0" applyFont="1" applyFill="1"/>
    <xf numFmtId="165" fontId="2" fillId="6" borderId="0" xfId="1" applyNumberFormat="1" applyFont="1" applyFill="1" applyAlignment="1">
      <alignment horizontal="center"/>
    </xf>
    <xf numFmtId="165" fontId="2" fillId="6" borderId="0" xfId="1" applyNumberFormat="1" applyFont="1" applyFill="1" applyAlignment="1">
      <alignment horizontal="right"/>
    </xf>
    <xf numFmtId="9" fontId="0" fillId="6" borderId="0" xfId="1" applyFont="1" applyFill="1"/>
    <xf numFmtId="9" fontId="2" fillId="6" borderId="0" xfId="1" applyFont="1" applyFill="1" applyAlignment="1">
      <alignment horizontal="center" vertical="center"/>
    </xf>
    <xf numFmtId="9" fontId="2" fillId="6" borderId="0" xfId="1" applyFont="1" applyFill="1" applyAlignment="1">
      <alignment horizontal="center"/>
    </xf>
    <xf numFmtId="0" fontId="5" fillId="6" borderId="0" xfId="0" applyFont="1" applyFill="1" applyAlignment="1">
      <alignment horizontal="left"/>
    </xf>
    <xf numFmtId="165" fontId="2" fillId="6" borderId="0" xfId="1" applyNumberFormat="1" applyFont="1" applyFill="1"/>
    <xf numFmtId="164" fontId="10" fillId="6" borderId="0" xfId="2" applyNumberFormat="1" applyFont="1" applyFill="1"/>
    <xf numFmtId="9" fontId="6" fillId="6" borderId="0" xfId="1" applyFont="1" applyFill="1" applyAlignment="1">
      <alignment vertical="center"/>
    </xf>
    <xf numFmtId="9" fontId="6" fillId="6" borderId="0" xfId="1" applyFont="1" applyFill="1" applyAlignment="1">
      <alignment horizontal="right"/>
    </xf>
    <xf numFmtId="9" fontId="6" fillId="6" borderId="0" xfId="1" applyFont="1" applyFill="1"/>
    <xf numFmtId="0" fontId="12" fillId="6" borderId="0" xfId="0" applyFont="1" applyFill="1" applyAlignment="1">
      <alignment horizontal="center"/>
    </xf>
    <xf numFmtId="164" fontId="0" fillId="0" borderId="0" xfId="0" applyNumberFormat="1"/>
    <xf numFmtId="165" fontId="3" fillId="5" borderId="0" xfId="1" applyNumberFormat="1" applyFont="1" applyFill="1"/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169" fontId="14" fillId="0" borderId="0" xfId="0" applyNumberFormat="1" applyFont="1" applyAlignment="1">
      <alignment horizontal="right" vertical="top"/>
    </xf>
    <xf numFmtId="37" fontId="14" fillId="0" borderId="0" xfId="0" applyNumberFormat="1" applyFont="1" applyAlignment="1">
      <alignment horizontal="right" vertical="top"/>
    </xf>
    <xf numFmtId="37" fontId="0" fillId="0" borderId="0" xfId="0" applyNumberFormat="1"/>
    <xf numFmtId="0" fontId="15" fillId="0" borderId="0" xfId="0" applyFont="1"/>
    <xf numFmtId="0" fontId="16" fillId="0" borderId="0" xfId="0" applyFont="1"/>
    <xf numFmtId="166" fontId="0" fillId="0" borderId="0" xfId="0" applyNumberFormat="1"/>
    <xf numFmtId="167" fontId="0" fillId="0" borderId="0" xfId="0" applyNumberFormat="1"/>
    <xf numFmtId="170" fontId="15" fillId="5" borderId="0" xfId="0" applyNumberFormat="1" applyFont="1" applyFill="1" applyAlignment="1">
      <alignment wrapText="1"/>
    </xf>
    <xf numFmtId="0" fontId="15" fillId="5" borderId="0" xfId="0" applyFont="1" applyFill="1" applyAlignment="1">
      <alignment wrapText="1"/>
    </xf>
    <xf numFmtId="171" fontId="15" fillId="5" borderId="0" xfId="0" applyNumberFormat="1" applyFont="1" applyFill="1" applyAlignment="1">
      <alignment wrapText="1"/>
    </xf>
    <xf numFmtId="165" fontId="15" fillId="5" borderId="0" xfId="0" applyNumberFormat="1" applyFont="1" applyFill="1" applyAlignment="1">
      <alignment wrapText="1"/>
    </xf>
    <xf numFmtId="0" fontId="16" fillId="5" borderId="0" xfId="0" applyFont="1" applyFill="1" applyAlignment="1">
      <alignment wrapText="1"/>
    </xf>
    <xf numFmtId="170" fontId="17" fillId="5" borderId="0" xfId="0" applyNumberFormat="1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2" applyFont="1" applyFill="1" applyAlignment="1">
      <alignment wrapText="1"/>
    </xf>
    <xf numFmtId="0" fontId="1" fillId="5" borderId="0" xfId="2" applyFont="1" applyFill="1" applyAlignment="1">
      <alignment wrapText="1"/>
    </xf>
    <xf numFmtId="2" fontId="17" fillId="5" borderId="0" xfId="0" applyNumberFormat="1" applyFont="1" applyFill="1" applyAlignment="1">
      <alignment wrapText="1"/>
    </xf>
    <xf numFmtId="9" fontId="2" fillId="0" borderId="0" xfId="1" applyFont="1"/>
    <xf numFmtId="9" fontId="6" fillId="0" borderId="0" xfId="1" applyFont="1"/>
    <xf numFmtId="9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167" fontId="8" fillId="6" borderId="0" xfId="3" applyNumberFormat="1" applyFill="1"/>
    <xf numFmtId="0" fontId="17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9" fillId="5" borderId="0" xfId="0" applyFont="1" applyFill="1" applyAlignment="1">
      <alignment horizontal="center" vertical="center" wrapText="1"/>
    </xf>
    <xf numFmtId="170" fontId="17" fillId="0" borderId="0" xfId="0" applyNumberFormat="1" applyFont="1" applyAlignment="1">
      <alignment wrapText="1"/>
    </xf>
    <xf numFmtId="37" fontId="19" fillId="5" borderId="0" xfId="0" applyNumberFormat="1" applyFont="1" applyFill="1" applyAlignment="1">
      <alignment horizontal="center" vertical="center" wrapText="1"/>
    </xf>
    <xf numFmtId="3" fontId="17" fillId="0" borderId="0" xfId="0" applyNumberFormat="1" applyFont="1" applyAlignment="1">
      <alignment wrapText="1"/>
    </xf>
    <xf numFmtId="1" fontId="19" fillId="5" borderId="0" xfId="0" applyNumberFormat="1" applyFont="1" applyFill="1" applyAlignment="1">
      <alignment horizontal="center" vertical="center" wrapText="1"/>
    </xf>
    <xf numFmtId="169" fontId="19" fillId="5" borderId="0" xfId="0" applyNumberFormat="1" applyFont="1" applyFill="1" applyAlignment="1">
      <alignment horizontal="center" vertical="center" wrapText="1"/>
    </xf>
    <xf numFmtId="37" fontId="17" fillId="0" borderId="0" xfId="0" applyNumberFormat="1" applyFont="1" applyAlignment="1">
      <alignment wrapText="1"/>
    </xf>
    <xf numFmtId="168" fontId="19" fillId="5" borderId="0" xfId="0" applyNumberFormat="1" applyFont="1" applyFill="1" applyAlignment="1">
      <alignment horizontal="center" vertical="center" wrapText="1"/>
    </xf>
    <xf numFmtId="10" fontId="19" fillId="5" borderId="0" xfId="0" applyNumberFormat="1" applyFont="1" applyFill="1" applyAlignment="1">
      <alignment horizontal="center" vertical="center" wrapText="1"/>
    </xf>
    <xf numFmtId="9" fontId="19" fillId="5" borderId="0" xfId="0" applyNumberFormat="1" applyFont="1" applyFill="1" applyAlignment="1">
      <alignment horizontal="center" vertical="center" wrapText="1"/>
    </xf>
    <xf numFmtId="172" fontId="19" fillId="5" borderId="0" xfId="0" applyNumberFormat="1" applyFont="1" applyFill="1" applyAlignment="1">
      <alignment horizontal="center" vertical="center" wrapText="1"/>
    </xf>
    <xf numFmtId="173" fontId="19" fillId="5" borderId="0" xfId="0" applyNumberFormat="1" applyFont="1" applyFill="1" applyAlignment="1">
      <alignment horizontal="center" vertical="center" wrapText="1"/>
    </xf>
    <xf numFmtId="167" fontId="5" fillId="6" borderId="0" xfId="0" applyNumberFormat="1" applyFont="1" applyFill="1" applyAlignment="1">
      <alignment horizontal="center"/>
    </xf>
    <xf numFmtId="9" fontId="19" fillId="5" borderId="0" xfId="1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/>
    <xf numFmtId="0" fontId="0" fillId="5" borderId="0" xfId="0" applyFill="1" applyAlignment="1">
      <alignment horizontal="center"/>
    </xf>
    <xf numFmtId="164" fontId="9" fillId="6" borderId="0" xfId="2" applyNumberFormat="1" applyFont="1" applyFill="1" applyAlignment="1">
      <alignment horizontal="right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ong, Nam" id="{7AD2CF20-D446-FA4D-8880-D24525FA9F78}" userId="S::namkong@bu.edu::a7f4be3c-5d4f-4af1-8677-ac0199dbe73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1" dT="2024-06-15T17:58:54.31" personId="{7AD2CF20-D446-FA4D-8880-D24525FA9F78}" id="{4B749950-CA8F-A541-A870-E552191ABD36}">
    <text xml:space="preserve">Management only expects a 200 basis point increase per 24’Q2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10" dT="2024-06-15T17:58:54.31" personId="{7AD2CF20-D446-FA4D-8880-D24525FA9F78}" id="{CC995813-C5A5-0E47-A82A-E666B5F69DF5}">
    <text xml:space="preserve">Management only expects a 200 basis point increase per 24’Q2
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D281-E2F5-9E4E-8B49-E701889E5930}">
  <dimension ref="A1:J10"/>
  <sheetViews>
    <sheetView workbookViewId="0">
      <selection activeCell="B7" sqref="B7:H7"/>
    </sheetView>
  </sheetViews>
  <sheetFormatPr baseColWidth="10" defaultRowHeight="16" x14ac:dyDescent="0.2"/>
  <cols>
    <col min="1" max="1" width="32.1640625" bestFit="1" customWidth="1"/>
    <col min="2" max="2" width="6.1640625" bestFit="1" customWidth="1"/>
    <col min="8" max="8" width="6.1640625" bestFit="1" customWidth="1"/>
    <col min="9" max="9" width="21.5" bestFit="1" customWidth="1"/>
    <col min="10" max="10" width="20.83203125" bestFit="1" customWidth="1"/>
  </cols>
  <sheetData>
    <row r="1" spans="1:10" x14ac:dyDescent="0.2">
      <c r="A1" s="3" t="s">
        <v>51</v>
      </c>
    </row>
    <row r="2" spans="1:10" x14ac:dyDescent="0.2">
      <c r="A2" s="2" t="s">
        <v>64</v>
      </c>
      <c r="B2">
        <v>2024</v>
      </c>
      <c r="H2">
        <v>2030</v>
      </c>
      <c r="I2" t="s">
        <v>52</v>
      </c>
    </row>
    <row r="3" spans="1:10" ht="34" x14ac:dyDescent="0.2">
      <c r="A3" s="51" t="s">
        <v>68</v>
      </c>
      <c r="B3">
        <v>110</v>
      </c>
      <c r="H3">
        <v>240</v>
      </c>
      <c r="I3" s="9">
        <f>(1+H3/B3-1)^(1/(H2-B2)) - 1</f>
        <v>0.13885847869524848</v>
      </c>
    </row>
    <row r="5" spans="1:10" x14ac:dyDescent="0.2">
      <c r="A5" s="3" t="s">
        <v>60</v>
      </c>
    </row>
    <row r="6" spans="1:10" x14ac:dyDescent="0.2">
      <c r="A6" s="2" t="s">
        <v>64</v>
      </c>
      <c r="B6">
        <v>2024</v>
      </c>
      <c r="C6">
        <f>B6+1</f>
        <v>2025</v>
      </c>
      <c r="D6">
        <f t="shared" ref="D6:G6" si="0">C6+1</f>
        <v>2026</v>
      </c>
      <c r="E6">
        <f t="shared" si="0"/>
        <v>2027</v>
      </c>
      <c r="F6">
        <f t="shared" si="0"/>
        <v>2028</v>
      </c>
      <c r="G6">
        <f t="shared" si="0"/>
        <v>2029</v>
      </c>
      <c r="H6">
        <f>2030</f>
        <v>2030</v>
      </c>
      <c r="I6" t="s">
        <v>61</v>
      </c>
      <c r="J6" t="s">
        <v>62</v>
      </c>
    </row>
    <row r="7" spans="1:10" x14ac:dyDescent="0.2">
      <c r="A7" s="2" t="s">
        <v>65</v>
      </c>
      <c r="B7">
        <f>'Statement of Operations'!J12</f>
        <v>9589</v>
      </c>
      <c r="C7">
        <f>B7*(1+$J7)</f>
        <v>10331.411076526449</v>
      </c>
      <c r="D7">
        <f t="shared" ref="D7:G7" si="1">C7*(1+$J7)</f>
        <v>11131.30199522092</v>
      </c>
      <c r="E7">
        <f t="shared" si="1"/>
        <v>11993.123029469847</v>
      </c>
      <c r="F7">
        <f t="shared" si="1"/>
        <v>12921.669007071563</v>
      </c>
      <c r="G7">
        <f t="shared" si="1"/>
        <v>13922.105986741857</v>
      </c>
      <c r="H7" s="10">
        <v>15000</v>
      </c>
      <c r="I7" s="6">
        <f>H7/B7-1</f>
        <v>0.56429241839607891</v>
      </c>
      <c r="J7" s="6">
        <f>(1+I7)^(1/6)-1</f>
        <v>7.7423201222906357E-2</v>
      </c>
    </row>
    <row r="8" spans="1:10" x14ac:dyDescent="0.2">
      <c r="A8" s="2" t="s">
        <v>66</v>
      </c>
      <c r="B8">
        <f>B7-'Statement of Operations'!J22</f>
        <v>20193</v>
      </c>
      <c r="C8">
        <f>B8*(1+$J8)</f>
        <v>20781.466460111154</v>
      </c>
      <c r="D8">
        <f t="shared" ref="D8:G8" si="2">C8*(1+$J8)</f>
        <v>21387.082069663986</v>
      </c>
      <c r="E8">
        <f t="shared" si="2"/>
        <v>22010.346590916</v>
      </c>
      <c r="F8">
        <f t="shared" si="2"/>
        <v>22651.774350247255</v>
      </c>
      <c r="G8">
        <f t="shared" si="2"/>
        <v>23311.894662589486</v>
      </c>
      <c r="H8" s="10">
        <f>B8*(1+I8)</f>
        <v>23991.252268224009</v>
      </c>
      <c r="I8" s="6">
        <f>I7/3</f>
        <v>0.18809747279869296</v>
      </c>
      <c r="J8" s="6">
        <f t="shared" ref="J8:J9" si="3">(1+I8)^(1/6)-1</f>
        <v>2.9142101723921954E-2</v>
      </c>
    </row>
    <row r="9" spans="1:10" x14ac:dyDescent="0.2">
      <c r="A9" s="2" t="s">
        <v>67</v>
      </c>
      <c r="B9">
        <f>B7-B8</f>
        <v>-10604</v>
      </c>
      <c r="C9">
        <f t="shared" ref="C9:G9" si="4">C7-C8</f>
        <v>-10450.055383584706</v>
      </c>
      <c r="D9">
        <f t="shared" si="4"/>
        <v>-10255.780074443066</v>
      </c>
      <c r="E9">
        <f t="shared" si="4"/>
        <v>-10017.223561446153</v>
      </c>
      <c r="F9">
        <f t="shared" si="4"/>
        <v>-9730.1053431756918</v>
      </c>
      <c r="G9">
        <f t="shared" si="4"/>
        <v>-9389.7886758476288</v>
      </c>
      <c r="H9" s="10">
        <f t="shared" ref="H9:I9" si="5">H7-H8</f>
        <v>-8991.2522682240087</v>
      </c>
      <c r="I9" s="6">
        <f t="shared" si="5"/>
        <v>0.37619494559738598</v>
      </c>
      <c r="J9" s="6">
        <f t="shared" si="3"/>
        <v>5.4662067913753498E-2</v>
      </c>
    </row>
    <row r="10" spans="1:10" x14ac:dyDescent="0.2">
      <c r="B10">
        <f>B8/B7</f>
        <v>2.1058504536448015</v>
      </c>
      <c r="C10">
        <f t="shared" ref="C10:G10" si="6">C8/C7</f>
        <v>2.0114838434149451</v>
      </c>
      <c r="D10">
        <f t="shared" si="6"/>
        <v>1.9213459556524701</v>
      </c>
      <c r="E10">
        <f t="shared" si="6"/>
        <v>1.8352472943729121</v>
      </c>
      <c r="F10">
        <f t="shared" si="6"/>
        <v>1.7530068552174456</v>
      </c>
      <c r="G10">
        <f t="shared" si="6"/>
        <v>1.6744517449292231</v>
      </c>
      <c r="H10">
        <f>H8/H7</f>
        <v>1.5994168178816006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A07C3-8177-944A-AEF1-C13679FE1A32}">
  <dimension ref="A1:H42"/>
  <sheetViews>
    <sheetView zoomScale="113" workbookViewId="0">
      <pane xSplit="1" ySplit="1" topLeftCell="B27" activePane="bottomRight" state="frozen"/>
      <selection pane="topRight" activeCell="B1" sqref="B1"/>
      <selection pane="bottomLeft" activeCell="A2" sqref="A2"/>
      <selection pane="bottomRight" sqref="A1:G39"/>
    </sheetView>
  </sheetViews>
  <sheetFormatPr baseColWidth="10" defaultRowHeight="16" x14ac:dyDescent="0.2"/>
  <cols>
    <col min="1" max="1" width="25.5" customWidth="1"/>
    <col min="2" max="3" width="14" customWidth="1"/>
    <col min="4" max="5" width="11.6640625" bestFit="1" customWidth="1"/>
    <col min="6" max="7" width="10" bestFit="1" customWidth="1"/>
  </cols>
  <sheetData>
    <row r="1" spans="1:7" ht="32" x14ac:dyDescent="0.2">
      <c r="A1" s="90" t="s">
        <v>70</v>
      </c>
      <c r="B1" s="91" t="s">
        <v>168</v>
      </c>
      <c r="C1" s="91" t="s">
        <v>158</v>
      </c>
      <c r="D1" s="91" t="s">
        <v>157</v>
      </c>
      <c r="E1" s="91" t="s">
        <v>156</v>
      </c>
      <c r="F1" s="91" t="s">
        <v>72</v>
      </c>
      <c r="G1" s="91" t="s">
        <v>71</v>
      </c>
    </row>
    <row r="2" spans="1:7" x14ac:dyDescent="0.2">
      <c r="A2" s="92" t="s">
        <v>73</v>
      </c>
      <c r="F2" s="93" t="s">
        <v>74</v>
      </c>
      <c r="G2" s="93" t="s">
        <v>74</v>
      </c>
    </row>
    <row r="3" spans="1:7" ht="48" x14ac:dyDescent="0.2">
      <c r="A3" s="93" t="s">
        <v>75</v>
      </c>
      <c r="B3" s="94">
        <v>3019</v>
      </c>
      <c r="C3" s="94">
        <v>4194</v>
      </c>
      <c r="D3" s="94">
        <v>5865</v>
      </c>
      <c r="E3" s="94">
        <v>4827</v>
      </c>
      <c r="F3" s="94">
        <v>11144</v>
      </c>
      <c r="G3" s="94">
        <v>7079</v>
      </c>
    </row>
    <row r="4" spans="1:7" x14ac:dyDescent="0.2">
      <c r="A4" s="93" t="s">
        <v>76</v>
      </c>
      <c r="B4" s="95">
        <v>2788</v>
      </c>
      <c r="C4" s="95">
        <v>1082</v>
      </c>
      <c r="D4" s="95">
        <v>2292</v>
      </c>
      <c r="E4" s="95">
        <v>2103</v>
      </c>
      <c r="F4" s="95">
        <v>17194</v>
      </c>
      <c r="G4" s="95">
        <v>17955</v>
      </c>
    </row>
    <row r="5" spans="1:7" x14ac:dyDescent="0.2">
      <c r="A5" s="93" t="s">
        <v>161</v>
      </c>
      <c r="B5" s="95">
        <v>5843</v>
      </c>
      <c r="C5" s="95">
        <v>7847</v>
      </c>
      <c r="D5" s="95">
        <v>15738</v>
      </c>
      <c r="E5" s="95">
        <v>21483</v>
      </c>
      <c r="F5" s="95">
        <v>0</v>
      </c>
      <c r="G5" s="95">
        <v>0</v>
      </c>
    </row>
    <row r="6" spans="1:7" x14ac:dyDescent="0.2">
      <c r="A6" s="93" t="s">
        <v>77</v>
      </c>
      <c r="B6" s="95">
        <v>6722</v>
      </c>
      <c r="C6" s="95">
        <v>7659</v>
      </c>
      <c r="D6" s="95">
        <v>6782</v>
      </c>
      <c r="E6" s="95">
        <v>9457</v>
      </c>
      <c r="F6" s="95">
        <v>4133</v>
      </c>
      <c r="G6" s="95">
        <v>3402</v>
      </c>
    </row>
    <row r="7" spans="1:7" x14ac:dyDescent="0.2">
      <c r="A7" s="93" t="s">
        <v>78</v>
      </c>
      <c r="B7" s="95">
        <v>7253</v>
      </c>
      <c r="C7" s="95">
        <v>8744</v>
      </c>
      <c r="D7" s="95">
        <v>8427</v>
      </c>
      <c r="E7" s="95">
        <v>10776</v>
      </c>
      <c r="F7" s="95">
        <v>13224</v>
      </c>
      <c r="G7" s="95">
        <v>11127</v>
      </c>
    </row>
    <row r="8" spans="1:7" x14ac:dyDescent="0.2">
      <c r="A8" s="93" t="s">
        <v>160</v>
      </c>
      <c r="B8" s="95">
        <v>0</v>
      </c>
      <c r="C8" s="95">
        <v>0</v>
      </c>
      <c r="D8" s="95">
        <v>5400</v>
      </c>
      <c r="E8" s="95">
        <v>6942</v>
      </c>
      <c r="F8" s="95">
        <v>0</v>
      </c>
      <c r="G8" s="95">
        <v>0</v>
      </c>
    </row>
    <row r="9" spans="1:7" x14ac:dyDescent="0.2">
      <c r="A9" s="93" t="s">
        <v>79</v>
      </c>
      <c r="B9" s="95">
        <v>3162</v>
      </c>
      <c r="C9" s="95">
        <v>1713</v>
      </c>
      <c r="D9" s="95">
        <v>2745</v>
      </c>
      <c r="E9" s="95">
        <v>2130</v>
      </c>
      <c r="F9" s="95">
        <v>4712</v>
      </c>
      <c r="G9" s="95">
        <v>3706</v>
      </c>
    </row>
    <row r="10" spans="1:7" x14ac:dyDescent="0.2">
      <c r="A10" s="93" t="s">
        <v>80</v>
      </c>
      <c r="B10" s="95">
        <v>28787</v>
      </c>
      <c r="C10" s="95">
        <v>31239</v>
      </c>
      <c r="D10" s="95">
        <v>47249</v>
      </c>
      <c r="E10" s="95">
        <v>57718</v>
      </c>
      <c r="F10" s="95">
        <v>50407</v>
      </c>
      <c r="G10" s="95">
        <v>43269</v>
      </c>
    </row>
    <row r="11" spans="1:7" ht="32" x14ac:dyDescent="0.2">
      <c r="A11" s="93" t="s">
        <v>81</v>
      </c>
      <c r="B11" s="95">
        <v>48976</v>
      </c>
      <c r="C11" s="95">
        <v>55386</v>
      </c>
      <c r="D11" s="95">
        <v>56584</v>
      </c>
      <c r="E11" s="95">
        <v>63245</v>
      </c>
      <c r="F11" s="95">
        <v>80860</v>
      </c>
      <c r="G11" s="95">
        <v>96647</v>
      </c>
    </row>
    <row r="12" spans="1:7" x14ac:dyDescent="0.2">
      <c r="A12" s="93" t="s">
        <v>82</v>
      </c>
      <c r="B12" s="95">
        <v>6042</v>
      </c>
      <c r="C12" s="95">
        <v>3967</v>
      </c>
      <c r="D12" s="95">
        <v>5152</v>
      </c>
      <c r="E12" s="95">
        <v>6298</v>
      </c>
      <c r="F12" s="95">
        <v>5912</v>
      </c>
      <c r="G12" s="95">
        <v>5829</v>
      </c>
    </row>
    <row r="13" spans="1:7" x14ac:dyDescent="0.2">
      <c r="A13" s="93" t="s">
        <v>159</v>
      </c>
      <c r="B13" s="95">
        <v>3388</v>
      </c>
      <c r="C13" s="95">
        <v>3276</v>
      </c>
      <c r="D13" s="95">
        <v>2192</v>
      </c>
      <c r="E13" s="95">
        <v>840</v>
      </c>
      <c r="F13" s="95"/>
      <c r="G13" s="95"/>
    </row>
    <row r="14" spans="1:7" x14ac:dyDescent="0.2">
      <c r="A14" s="93" t="s">
        <v>83</v>
      </c>
      <c r="B14" s="95">
        <v>24513</v>
      </c>
      <c r="C14" s="95">
        <v>26276</v>
      </c>
      <c r="D14" s="95">
        <v>26971</v>
      </c>
      <c r="E14" s="95">
        <v>26963</v>
      </c>
      <c r="F14" s="95">
        <v>27591</v>
      </c>
      <c r="G14" s="95">
        <v>27591</v>
      </c>
    </row>
    <row r="15" spans="1:7" x14ac:dyDescent="0.2">
      <c r="A15" s="93" t="s">
        <v>84</v>
      </c>
      <c r="B15" s="95">
        <v>11836</v>
      </c>
      <c r="C15" s="95">
        <v>10827</v>
      </c>
      <c r="D15" s="95">
        <v>9026</v>
      </c>
      <c r="E15" s="95">
        <v>7270</v>
      </c>
      <c r="F15" s="95">
        <v>6018</v>
      </c>
      <c r="G15" s="95">
        <v>4589</v>
      </c>
    </row>
    <row r="16" spans="1:7" x14ac:dyDescent="0.2">
      <c r="A16" s="93" t="s">
        <v>85</v>
      </c>
      <c r="B16" s="95">
        <v>4421</v>
      </c>
      <c r="C16" s="95">
        <v>5553</v>
      </c>
      <c r="D16" s="95">
        <v>5917</v>
      </c>
      <c r="E16" s="95">
        <v>6072</v>
      </c>
      <c r="F16" s="95">
        <v>11315</v>
      </c>
      <c r="G16" s="95">
        <v>13647</v>
      </c>
    </row>
    <row r="17" spans="1:7" x14ac:dyDescent="0.2">
      <c r="A17" s="93" t="s">
        <v>86</v>
      </c>
      <c r="B17" s="95">
        <v>127963</v>
      </c>
      <c r="C17" s="95">
        <v>136524</v>
      </c>
      <c r="D17" s="95">
        <v>153091</v>
      </c>
      <c r="E17" s="95">
        <v>168406</v>
      </c>
      <c r="F17" s="95">
        <v>182103</v>
      </c>
      <c r="G17" s="95">
        <v>191572</v>
      </c>
    </row>
    <row r="18" spans="1:7" x14ac:dyDescent="0.2">
      <c r="A18" s="92" t="s">
        <v>87</v>
      </c>
      <c r="F18" s="93" t="s">
        <v>74</v>
      </c>
      <c r="G18" s="93" t="s">
        <v>74</v>
      </c>
    </row>
    <row r="19" spans="1:7" x14ac:dyDescent="0.2">
      <c r="A19" s="93" t="s">
        <v>88</v>
      </c>
      <c r="B19" s="95">
        <v>1261</v>
      </c>
      <c r="C19" s="95">
        <v>3693</v>
      </c>
      <c r="D19" s="95">
        <v>2504</v>
      </c>
      <c r="E19" s="95">
        <v>4591</v>
      </c>
      <c r="F19" s="95">
        <v>4367</v>
      </c>
      <c r="G19" s="95">
        <v>2288</v>
      </c>
    </row>
    <row r="20" spans="1:7" x14ac:dyDescent="0.2">
      <c r="A20" s="93" t="s">
        <v>89</v>
      </c>
      <c r="B20" s="95">
        <v>3824</v>
      </c>
      <c r="C20" s="95">
        <v>4128</v>
      </c>
      <c r="D20" s="95">
        <v>5581</v>
      </c>
      <c r="E20" s="95">
        <v>5747</v>
      </c>
      <c r="F20" s="95">
        <v>9595</v>
      </c>
      <c r="G20" s="95">
        <v>8578</v>
      </c>
    </row>
    <row r="21" spans="1:7" ht="32" x14ac:dyDescent="0.2">
      <c r="A21" s="93" t="s">
        <v>90</v>
      </c>
      <c r="B21" s="95">
        <v>3622</v>
      </c>
      <c r="C21" s="95">
        <v>3853</v>
      </c>
      <c r="D21" s="95">
        <v>3999</v>
      </c>
      <c r="E21" s="95">
        <v>4535</v>
      </c>
      <c r="F21" s="95">
        <v>4084</v>
      </c>
      <c r="G21" s="95">
        <v>3655</v>
      </c>
    </row>
    <row r="22" spans="1:7" x14ac:dyDescent="0.2">
      <c r="A22" s="93" t="s">
        <v>91</v>
      </c>
      <c r="B22" s="95">
        <v>7919</v>
      </c>
      <c r="C22" s="95">
        <v>10636</v>
      </c>
      <c r="D22" s="95">
        <v>0</v>
      </c>
      <c r="E22" s="95">
        <v>0</v>
      </c>
      <c r="F22" s="95">
        <v>2251</v>
      </c>
      <c r="G22" s="95">
        <v>1107</v>
      </c>
    </row>
    <row r="23" spans="1:7" x14ac:dyDescent="0.2">
      <c r="A23" s="93" t="s">
        <v>92</v>
      </c>
      <c r="B23" s="95">
        <v>16626</v>
      </c>
      <c r="C23" s="95">
        <v>22310</v>
      </c>
      <c r="D23" s="95">
        <v>12670</v>
      </c>
      <c r="E23" s="95">
        <v>12589</v>
      </c>
      <c r="F23" s="95">
        <v>11858</v>
      </c>
      <c r="G23" s="95">
        <v>12425</v>
      </c>
    </row>
    <row r="24" spans="1:7" x14ac:dyDescent="0.2">
      <c r="A24" s="93" t="s">
        <v>93</v>
      </c>
      <c r="B24" s="95">
        <v>25098</v>
      </c>
      <c r="C24" s="95">
        <v>25308</v>
      </c>
      <c r="D24" s="95">
        <v>24754</v>
      </c>
      <c r="E24" s="95">
        <v>27462</v>
      </c>
      <c r="F24" s="95">
        <v>32155</v>
      </c>
      <c r="G24" s="95">
        <v>28053</v>
      </c>
    </row>
    <row r="25" spans="1:7" x14ac:dyDescent="0.2">
      <c r="A25" s="93" t="s">
        <v>94</v>
      </c>
      <c r="B25" s="95">
        <v>2049</v>
      </c>
      <c r="C25" s="95">
        <v>1368</v>
      </c>
      <c r="D25" s="95">
        <v>33897</v>
      </c>
      <c r="E25" s="95">
        <v>33510</v>
      </c>
      <c r="F25" s="95">
        <v>37684</v>
      </c>
      <c r="G25" s="95">
        <v>46978</v>
      </c>
    </row>
    <row r="26" spans="1:7" x14ac:dyDescent="0.2">
      <c r="A26" s="93" t="s">
        <v>162</v>
      </c>
      <c r="B26" s="95">
        <v>4897</v>
      </c>
      <c r="C26" s="95">
        <v>4919</v>
      </c>
      <c r="D26" s="95">
        <v>1367</v>
      </c>
      <c r="E26" s="95">
        <v>185</v>
      </c>
      <c r="F26" s="95">
        <v>0</v>
      </c>
      <c r="G26" s="95">
        <v>0</v>
      </c>
    </row>
    <row r="27" spans="1:7" ht="32" x14ac:dyDescent="0.2">
      <c r="A27" s="93" t="s">
        <v>163</v>
      </c>
      <c r="B27" s="95">
        <v>1665</v>
      </c>
      <c r="C27" s="95">
        <v>2044</v>
      </c>
      <c r="D27" s="95">
        <v>4578</v>
      </c>
      <c r="E27" s="95">
        <v>4305</v>
      </c>
      <c r="F27" s="95">
        <v>0</v>
      </c>
      <c r="G27" s="95">
        <v>0</v>
      </c>
    </row>
    <row r="28" spans="1:7" x14ac:dyDescent="0.2">
      <c r="A28" s="93" t="s">
        <v>164</v>
      </c>
      <c r="B28" s="95">
        <v>2646</v>
      </c>
      <c r="C28" s="95">
        <v>2916</v>
      </c>
      <c r="D28" s="95">
        <v>3843</v>
      </c>
      <c r="E28" s="95">
        <v>2667</v>
      </c>
      <c r="F28" s="95">
        <v>0</v>
      </c>
      <c r="G28" s="95">
        <v>0</v>
      </c>
    </row>
    <row r="29" spans="1:7" x14ac:dyDescent="0.2">
      <c r="A29" s="93" t="s">
        <v>95</v>
      </c>
      <c r="B29" s="93" t="s">
        <v>97</v>
      </c>
      <c r="C29" s="93" t="s">
        <v>97</v>
      </c>
      <c r="D29" s="95">
        <v>3614</v>
      </c>
      <c r="E29" s="95">
        <v>4886</v>
      </c>
      <c r="F29" s="95">
        <v>8978</v>
      </c>
      <c r="G29" s="95">
        <v>6576</v>
      </c>
    </row>
    <row r="30" spans="1:7" ht="32" x14ac:dyDescent="0.2">
      <c r="A30" s="93" t="s">
        <v>96</v>
      </c>
      <c r="B30" s="95">
        <v>419</v>
      </c>
      <c r="C30" s="95">
        <v>155</v>
      </c>
      <c r="D30" s="93" t="s">
        <v>97</v>
      </c>
      <c r="E30" s="93" t="s">
        <v>97</v>
      </c>
      <c r="F30" s="93" t="s">
        <v>97</v>
      </c>
      <c r="G30" s="93" t="s">
        <v>97</v>
      </c>
    </row>
    <row r="31" spans="1:7" x14ac:dyDescent="0.2">
      <c r="A31" s="92" t="s">
        <v>98</v>
      </c>
      <c r="F31" s="93" t="s">
        <v>74</v>
      </c>
      <c r="G31" s="93" t="s">
        <v>74</v>
      </c>
    </row>
    <row r="32" spans="1:7" ht="48" x14ac:dyDescent="0.2">
      <c r="A32" s="93" t="s">
        <v>99</v>
      </c>
      <c r="B32" s="95">
        <v>0</v>
      </c>
      <c r="C32" s="95">
        <v>0</v>
      </c>
      <c r="D32" s="95">
        <v>0</v>
      </c>
      <c r="E32" s="95">
        <v>0</v>
      </c>
      <c r="F32" s="95">
        <v>0</v>
      </c>
      <c r="G32" s="95">
        <v>0</v>
      </c>
    </row>
    <row r="33" spans="1:8" ht="96" x14ac:dyDescent="0.2">
      <c r="A33" s="93" t="s">
        <v>100</v>
      </c>
      <c r="B33" s="95">
        <v>25365</v>
      </c>
      <c r="C33" s="95">
        <v>25261</v>
      </c>
      <c r="D33" s="95">
        <v>25556</v>
      </c>
      <c r="E33" s="95">
        <v>28006</v>
      </c>
      <c r="F33" s="95">
        <v>31580</v>
      </c>
      <c r="G33" s="95">
        <v>36649</v>
      </c>
    </row>
    <row r="34" spans="1:8" ht="32" x14ac:dyDescent="0.2">
      <c r="A34" s="93" t="s">
        <v>101</v>
      </c>
      <c r="B34" s="95">
        <v>-974</v>
      </c>
      <c r="C34" s="95">
        <v>-1280</v>
      </c>
      <c r="D34" s="95">
        <v>-751</v>
      </c>
      <c r="E34" s="95">
        <v>-880</v>
      </c>
      <c r="F34" s="95">
        <v>-562</v>
      </c>
      <c r="G34" s="95">
        <v>-215</v>
      </c>
    </row>
    <row r="35" spans="1:8" x14ac:dyDescent="0.2">
      <c r="A35" s="93" t="s">
        <v>102</v>
      </c>
      <c r="B35" s="95">
        <v>50172</v>
      </c>
      <c r="C35" s="95">
        <v>53523</v>
      </c>
      <c r="D35" s="95">
        <v>56233</v>
      </c>
      <c r="E35" s="95">
        <v>68265</v>
      </c>
      <c r="F35" s="95">
        <v>70405</v>
      </c>
      <c r="G35" s="95">
        <v>69156</v>
      </c>
    </row>
    <row r="36" spans="1:8" x14ac:dyDescent="0.2">
      <c r="A36" s="93" t="s">
        <v>103</v>
      </c>
      <c r="B36" s="95">
        <v>74563</v>
      </c>
      <c r="C36" s="95">
        <v>77504</v>
      </c>
      <c r="D36" s="95">
        <v>81038</v>
      </c>
      <c r="E36" s="95">
        <v>95391</v>
      </c>
      <c r="F36" s="95">
        <v>101423</v>
      </c>
      <c r="G36" s="95">
        <v>105590</v>
      </c>
    </row>
    <row r="37" spans="1:8" x14ac:dyDescent="0.2">
      <c r="A37" s="93" t="s">
        <v>104</v>
      </c>
      <c r="B37" s="94">
        <v>0</v>
      </c>
      <c r="C37" s="94">
        <v>0</v>
      </c>
      <c r="D37" s="94">
        <v>0</v>
      </c>
      <c r="E37" s="94">
        <v>0</v>
      </c>
      <c r="F37" s="95">
        <v>1863</v>
      </c>
      <c r="G37" s="95">
        <v>4375</v>
      </c>
    </row>
    <row r="38" spans="1:8" x14ac:dyDescent="0.2">
      <c r="A38" s="93" t="s">
        <v>105</v>
      </c>
      <c r="B38" s="95">
        <v>74563</v>
      </c>
      <c r="C38" s="95">
        <v>77504</v>
      </c>
      <c r="D38" s="95">
        <v>81038</v>
      </c>
      <c r="E38" s="95">
        <v>95391</v>
      </c>
      <c r="F38" s="95">
        <v>103286</v>
      </c>
      <c r="G38" s="95">
        <v>109965</v>
      </c>
      <c r="H38" s="96"/>
    </row>
    <row r="39" spans="1:8" ht="32" x14ac:dyDescent="0.2">
      <c r="A39" s="93" t="s">
        <v>106</v>
      </c>
      <c r="B39" s="94">
        <v>127963</v>
      </c>
      <c r="C39" s="94">
        <v>136524</v>
      </c>
      <c r="D39" s="94">
        <v>153091</v>
      </c>
      <c r="E39" s="94">
        <v>168406</v>
      </c>
      <c r="F39" s="94">
        <v>182103</v>
      </c>
      <c r="G39" s="94">
        <v>191572</v>
      </c>
      <c r="H39" s="96"/>
    </row>
    <row r="40" spans="1:8" x14ac:dyDescent="0.2">
      <c r="D40" s="94"/>
      <c r="E40" s="94"/>
    </row>
    <row r="41" spans="1:8" x14ac:dyDescent="0.2">
      <c r="D41" s="94"/>
      <c r="E41" s="94"/>
    </row>
    <row r="42" spans="1:8" x14ac:dyDescent="0.2">
      <c r="D42" s="94"/>
      <c r="E42" s="9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1E86D-5B59-3B49-A732-35996EBD6FF7}">
  <dimension ref="A1:AA77"/>
  <sheetViews>
    <sheetView zoomScale="75" workbookViewId="0">
      <pane xSplit="1" ySplit="3" topLeftCell="B36" activePane="bottomRight" state="frozen"/>
      <selection pane="topRight" activeCell="B1" sqref="B1"/>
      <selection pane="bottomLeft" activeCell="A4" sqref="A4"/>
      <selection pane="bottomRight" activeCell="A58" sqref="A58:H77"/>
    </sheetView>
  </sheetViews>
  <sheetFormatPr baseColWidth="10" defaultRowHeight="16" x14ac:dyDescent="0.2"/>
  <cols>
    <col min="1" max="1" width="41" customWidth="1"/>
    <col min="2" max="3" width="14" customWidth="1"/>
    <col min="4" max="8" width="11.6640625" bestFit="1" customWidth="1"/>
  </cols>
  <sheetData>
    <row r="1" spans="1:8" x14ac:dyDescent="0.2">
      <c r="A1" s="133" t="s">
        <v>107</v>
      </c>
      <c r="B1" s="90"/>
      <c r="C1" s="90"/>
      <c r="D1" s="90"/>
      <c r="E1" s="90"/>
    </row>
    <row r="2" spans="1:8" x14ac:dyDescent="0.2">
      <c r="A2" s="134"/>
      <c r="B2" s="91" t="s">
        <v>169</v>
      </c>
      <c r="C2" s="91" t="s">
        <v>168</v>
      </c>
      <c r="D2" s="91" t="s">
        <v>158</v>
      </c>
      <c r="E2" s="91" t="s">
        <v>157</v>
      </c>
      <c r="F2" s="91" t="s">
        <v>156</v>
      </c>
      <c r="G2" s="91" t="s">
        <v>72</v>
      </c>
      <c r="H2" s="91" t="s">
        <v>71</v>
      </c>
    </row>
    <row r="3" spans="1:8" x14ac:dyDescent="0.2">
      <c r="A3" s="92" t="s">
        <v>108</v>
      </c>
      <c r="F3" s="93" t="s">
        <v>74</v>
      </c>
      <c r="G3" s="93" t="s">
        <v>74</v>
      </c>
      <c r="H3" s="93" t="s">
        <v>74</v>
      </c>
    </row>
    <row r="4" spans="1:8" x14ac:dyDescent="0.2">
      <c r="A4" s="93" t="s">
        <v>109</v>
      </c>
      <c r="B4" s="94">
        <v>5560</v>
      </c>
      <c r="C4" s="94">
        <v>3433</v>
      </c>
      <c r="D4" s="94">
        <v>3019</v>
      </c>
      <c r="E4" s="94">
        <v>4194</v>
      </c>
      <c r="F4" s="94">
        <v>5865</v>
      </c>
      <c r="G4" s="94">
        <v>4827</v>
      </c>
      <c r="H4" s="94">
        <v>11144</v>
      </c>
    </row>
    <row r="5" spans="1:8" ht="32" x14ac:dyDescent="0.2">
      <c r="A5" s="92" t="s">
        <v>110</v>
      </c>
      <c r="F5" s="93" t="s">
        <v>74</v>
      </c>
      <c r="G5" s="93" t="s">
        <v>74</v>
      </c>
      <c r="H5" s="93" t="s">
        <v>74</v>
      </c>
    </row>
    <row r="6" spans="1:8" x14ac:dyDescent="0.2">
      <c r="A6" s="93" t="s">
        <v>111</v>
      </c>
      <c r="B6" s="95">
        <v>9601</v>
      </c>
      <c r="C6" s="95">
        <v>21053</v>
      </c>
      <c r="D6" s="95">
        <v>21048</v>
      </c>
      <c r="E6" s="95">
        <v>20899</v>
      </c>
      <c r="F6" s="95">
        <v>19868</v>
      </c>
      <c r="G6" s="95">
        <v>8017</v>
      </c>
      <c r="H6" s="95">
        <v>1675</v>
      </c>
    </row>
    <row r="7" spans="1:8" ht="32" x14ac:dyDescent="0.2">
      <c r="A7" s="92" t="s">
        <v>112</v>
      </c>
      <c r="F7" s="93" t="s">
        <v>74</v>
      </c>
      <c r="G7" s="93" t="s">
        <v>74</v>
      </c>
      <c r="H7" s="93" t="s">
        <v>74</v>
      </c>
    </row>
    <row r="8" spans="1:8" x14ac:dyDescent="0.2">
      <c r="A8" s="93" t="s">
        <v>113</v>
      </c>
      <c r="B8" s="95">
        <v>6752</v>
      </c>
      <c r="C8" s="95">
        <v>7520</v>
      </c>
      <c r="D8" s="95">
        <v>9204</v>
      </c>
      <c r="E8" s="95">
        <v>10482</v>
      </c>
      <c r="F8" s="95">
        <v>9953</v>
      </c>
      <c r="G8" s="95">
        <v>11128</v>
      </c>
      <c r="H8" s="95">
        <v>7847</v>
      </c>
    </row>
    <row r="9" spans="1:8" x14ac:dyDescent="0.2">
      <c r="A9" s="93" t="s">
        <v>114</v>
      </c>
      <c r="B9" s="95">
        <v>1358</v>
      </c>
      <c r="C9" s="95">
        <v>1546</v>
      </c>
      <c r="D9" s="95">
        <v>1705</v>
      </c>
      <c r="E9" s="95">
        <v>1854</v>
      </c>
      <c r="F9" s="95">
        <v>2036</v>
      </c>
      <c r="G9" s="95">
        <v>3128</v>
      </c>
      <c r="H9" s="95">
        <v>3229</v>
      </c>
    </row>
    <row r="10" spans="1:8" x14ac:dyDescent="0.2">
      <c r="A10" s="93" t="s">
        <v>115</v>
      </c>
      <c r="B10" s="95">
        <v>0</v>
      </c>
      <c r="C10" s="95">
        <v>0</v>
      </c>
      <c r="D10" s="95">
        <v>393</v>
      </c>
      <c r="E10" s="95">
        <v>198</v>
      </c>
      <c r="F10" s="95">
        <v>2626</v>
      </c>
      <c r="G10" s="95">
        <v>1074</v>
      </c>
      <c r="H10" s="95">
        <v>-424</v>
      </c>
    </row>
    <row r="11" spans="1:8" x14ac:dyDescent="0.2">
      <c r="A11" s="93" t="s">
        <v>116</v>
      </c>
      <c r="B11" s="95">
        <v>1377</v>
      </c>
      <c r="C11" s="95">
        <v>1565</v>
      </c>
      <c r="D11" s="95">
        <v>1622</v>
      </c>
      <c r="E11" s="95">
        <v>1757</v>
      </c>
      <c r="F11" s="95">
        <v>1839</v>
      </c>
      <c r="G11" s="95">
        <v>1907</v>
      </c>
      <c r="H11" s="95">
        <v>1755</v>
      </c>
    </row>
    <row r="12" spans="1:8" x14ac:dyDescent="0.2">
      <c r="A12" s="93" t="s">
        <v>117</v>
      </c>
      <c r="B12" s="95">
        <v>2583</v>
      </c>
      <c r="C12" s="95">
        <v>-155</v>
      </c>
      <c r="D12" s="95">
        <v>-892</v>
      </c>
      <c r="E12" s="95">
        <v>-1757</v>
      </c>
      <c r="F12" s="95">
        <v>-1458</v>
      </c>
      <c r="G12" s="95">
        <v>-4254</v>
      </c>
      <c r="H12" s="95">
        <v>-42</v>
      </c>
    </row>
    <row r="13" spans="1:8" x14ac:dyDescent="0.2">
      <c r="A13" s="93" t="s">
        <v>118</v>
      </c>
      <c r="B13" s="95">
        <v>387</v>
      </c>
      <c r="C13" s="95">
        <v>497</v>
      </c>
      <c r="D13" s="95">
        <v>0</v>
      </c>
      <c r="E13" s="95">
        <v>0</v>
      </c>
      <c r="F13" s="95">
        <v>0</v>
      </c>
      <c r="G13" s="95">
        <v>-1059</v>
      </c>
      <c r="H13" s="95">
        <v>0</v>
      </c>
    </row>
    <row r="14" spans="1:8" x14ac:dyDescent="0.2">
      <c r="A14" s="92" t="s">
        <v>119</v>
      </c>
      <c r="D14" s="95"/>
      <c r="E14" s="95"/>
      <c r="F14" s="93" t="s">
        <v>74</v>
      </c>
      <c r="G14" s="93" t="s">
        <v>74</v>
      </c>
      <c r="H14" s="93" t="s">
        <v>74</v>
      </c>
    </row>
    <row r="15" spans="1:8" x14ac:dyDescent="0.2">
      <c r="A15" s="93" t="s">
        <v>120</v>
      </c>
      <c r="B15" s="95">
        <v>-781</v>
      </c>
      <c r="C15" s="95">
        <v>-1714</v>
      </c>
      <c r="D15" s="95">
        <v>-935</v>
      </c>
      <c r="E15" s="95">
        <v>883</v>
      </c>
      <c r="F15" s="95">
        <v>-2674</v>
      </c>
      <c r="G15" s="95">
        <v>5327</v>
      </c>
      <c r="H15" s="95">
        <v>731</v>
      </c>
    </row>
    <row r="16" spans="1:8" x14ac:dyDescent="0.2">
      <c r="A16" s="93" t="s">
        <v>78</v>
      </c>
      <c r="B16" s="95">
        <v>-1300</v>
      </c>
      <c r="C16" s="95">
        <v>-214</v>
      </c>
      <c r="D16" s="95">
        <v>-1481</v>
      </c>
      <c r="E16" s="95">
        <v>-687</v>
      </c>
      <c r="F16" s="95">
        <v>-2339</v>
      </c>
      <c r="G16" s="95">
        <v>-2436</v>
      </c>
      <c r="H16" s="95">
        <v>2097</v>
      </c>
    </row>
    <row r="17" spans="1:27" x14ac:dyDescent="0.2">
      <c r="A17" s="93" t="s">
        <v>89</v>
      </c>
      <c r="B17" s="95">
        <v>191</v>
      </c>
      <c r="C17" s="95">
        <v>211</v>
      </c>
      <c r="D17" s="95">
        <v>696</v>
      </c>
      <c r="E17" s="95">
        <v>405</v>
      </c>
      <c r="F17" s="95">
        <v>1190</v>
      </c>
      <c r="G17" s="95">
        <v>-29</v>
      </c>
      <c r="H17" s="95">
        <v>-801</v>
      </c>
    </row>
    <row r="18" spans="1:27" x14ac:dyDescent="0.2">
      <c r="A18" s="93" t="s">
        <v>90</v>
      </c>
      <c r="B18" s="95">
        <v>311</v>
      </c>
      <c r="C18" s="95">
        <v>-260</v>
      </c>
      <c r="D18" s="95">
        <v>-260</v>
      </c>
      <c r="E18" s="95">
        <v>348</v>
      </c>
      <c r="F18" s="95">
        <v>515</v>
      </c>
      <c r="G18" s="95">
        <v>-1533</v>
      </c>
      <c r="H18" s="95">
        <v>-614</v>
      </c>
    </row>
    <row r="19" spans="1:27" x14ac:dyDescent="0.2">
      <c r="A19" s="93" t="s">
        <v>121</v>
      </c>
      <c r="B19" s="95">
        <v>1105</v>
      </c>
      <c r="C19" s="95">
        <v>1367</v>
      </c>
      <c r="D19" s="95">
        <v>-782</v>
      </c>
      <c r="E19" s="95">
        <v>-181</v>
      </c>
      <c r="F19" s="95">
        <v>-1583</v>
      </c>
      <c r="G19" s="95">
        <v>-24</v>
      </c>
      <c r="H19" s="95">
        <v>0</v>
      </c>
    </row>
    <row r="20" spans="1:27" x14ac:dyDescent="0.2">
      <c r="A20" s="93" t="s">
        <v>122</v>
      </c>
      <c r="B20" s="95">
        <v>6778</v>
      </c>
      <c r="C20" s="95">
        <v>-1601</v>
      </c>
      <c r="D20" s="95">
        <v>885</v>
      </c>
      <c r="E20" s="95">
        <v>1620</v>
      </c>
      <c r="F20" s="95">
        <v>-441</v>
      </c>
      <c r="G20" s="95">
        <v>-4535</v>
      </c>
      <c r="H20" s="95">
        <v>-3531</v>
      </c>
    </row>
    <row r="21" spans="1:27" x14ac:dyDescent="0.2">
      <c r="A21" s="93" t="s">
        <v>123</v>
      </c>
      <c r="B21" s="95">
        <v>-312</v>
      </c>
      <c r="C21" s="95">
        <v>301</v>
      </c>
      <c r="D21" s="95">
        <v>1942</v>
      </c>
      <c r="E21" s="95">
        <v>-437</v>
      </c>
      <c r="F21" s="95">
        <v>-76</v>
      </c>
      <c r="G21" s="95">
        <v>-1278</v>
      </c>
      <c r="H21" s="95">
        <v>-451</v>
      </c>
    </row>
    <row r="22" spans="1:27" x14ac:dyDescent="0.2">
      <c r="A22" s="93" t="s">
        <v>124</v>
      </c>
      <c r="B22" s="95">
        <v>12509</v>
      </c>
      <c r="C22" s="95">
        <v>8379</v>
      </c>
      <c r="D22" s="95">
        <v>12097</v>
      </c>
      <c r="E22" s="95">
        <v>14485</v>
      </c>
      <c r="F22" s="95">
        <v>9588</v>
      </c>
      <c r="G22" s="95">
        <v>7416</v>
      </c>
      <c r="H22" s="95">
        <v>9796</v>
      </c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</row>
    <row r="23" spans="1:27" x14ac:dyDescent="0.2">
      <c r="A23" s="93" t="s">
        <v>125</v>
      </c>
      <c r="B23" s="95">
        <v>22110</v>
      </c>
      <c r="C23" s="95">
        <v>29432</v>
      </c>
      <c r="D23" s="95">
        <v>33145</v>
      </c>
      <c r="E23" s="95">
        <v>35384</v>
      </c>
      <c r="F23" s="95">
        <v>29456</v>
      </c>
      <c r="G23" s="95">
        <v>15433</v>
      </c>
      <c r="H23" s="95">
        <v>11471</v>
      </c>
      <c r="I23" s="96"/>
    </row>
    <row r="24" spans="1:27" ht="32" x14ac:dyDescent="0.2">
      <c r="A24" s="92" t="s">
        <v>126</v>
      </c>
      <c r="F24" s="93" t="s">
        <v>74</v>
      </c>
      <c r="G24" s="93" t="s">
        <v>74</v>
      </c>
      <c r="H24" s="93" t="s">
        <v>74</v>
      </c>
    </row>
    <row r="25" spans="1:27" x14ac:dyDescent="0.2">
      <c r="A25" s="93" t="s">
        <v>127</v>
      </c>
      <c r="B25" s="95">
        <v>-11778</v>
      </c>
      <c r="C25" s="95">
        <v>-15181</v>
      </c>
      <c r="D25" s="95">
        <v>-16213</v>
      </c>
      <c r="E25" s="95">
        <v>-14259</v>
      </c>
      <c r="F25" s="95">
        <v>-18733</v>
      </c>
      <c r="G25" s="95">
        <v>-24844</v>
      </c>
      <c r="H25" s="95">
        <v>-25750</v>
      </c>
    </row>
    <row r="26" spans="1:27" ht="32" x14ac:dyDescent="0.2">
      <c r="A26" s="93" t="s">
        <v>128</v>
      </c>
      <c r="B26" s="95">
        <v>0</v>
      </c>
      <c r="C26" s="95">
        <v>0</v>
      </c>
      <c r="D26" s="95">
        <v>0</v>
      </c>
      <c r="E26" s="95">
        <v>194</v>
      </c>
      <c r="F26" s="95">
        <v>1596</v>
      </c>
      <c r="G26" s="95">
        <v>206</v>
      </c>
      <c r="H26" s="95">
        <v>0</v>
      </c>
    </row>
    <row r="27" spans="1:27" x14ac:dyDescent="0.2">
      <c r="A27" s="93" t="s">
        <v>165</v>
      </c>
      <c r="B27" s="95">
        <v>-14499</v>
      </c>
      <c r="C27" s="95">
        <v>-190</v>
      </c>
      <c r="D27" s="95">
        <v>-1958</v>
      </c>
      <c r="E27" s="95">
        <v>-837</v>
      </c>
      <c r="F27" s="95">
        <v>0</v>
      </c>
      <c r="G27" s="95">
        <v>0</v>
      </c>
      <c r="H27" s="95">
        <v>0</v>
      </c>
    </row>
    <row r="28" spans="1:27" x14ac:dyDescent="0.2">
      <c r="A28" s="93" t="s">
        <v>129</v>
      </c>
      <c r="B28" s="95">
        <v>-2746</v>
      </c>
      <c r="C28" s="95">
        <v>-3843</v>
      </c>
      <c r="D28" s="95">
        <v>0</v>
      </c>
      <c r="E28" s="95">
        <v>0</v>
      </c>
      <c r="F28" s="95">
        <v>166</v>
      </c>
      <c r="G28" s="95">
        <v>246</v>
      </c>
      <c r="H28" s="95">
        <v>1011</v>
      </c>
    </row>
    <row r="29" spans="1:27" x14ac:dyDescent="0.2">
      <c r="A29" s="93" t="s">
        <v>130</v>
      </c>
      <c r="B29" s="95">
        <v>1833</v>
      </c>
      <c r="C29" s="95">
        <v>195</v>
      </c>
      <c r="D29" s="95">
        <v>-2268</v>
      </c>
      <c r="E29" s="95">
        <v>-6862</v>
      </c>
      <c r="F29" s="95">
        <v>-40554</v>
      </c>
      <c r="G29" s="95">
        <v>-43647</v>
      </c>
      <c r="H29" s="95">
        <v>-44414</v>
      </c>
    </row>
    <row r="30" spans="1:27" x14ac:dyDescent="0.2">
      <c r="A30" s="93" t="s">
        <v>131</v>
      </c>
      <c r="B30" s="95">
        <v>3687</v>
      </c>
      <c r="C30" s="95">
        <v>2968</v>
      </c>
      <c r="D30" s="95">
        <v>4226</v>
      </c>
      <c r="E30" s="95">
        <v>6781</v>
      </c>
      <c r="F30" s="95">
        <v>35299</v>
      </c>
      <c r="G30" s="95">
        <v>48730</v>
      </c>
      <c r="H30" s="95">
        <v>44077</v>
      </c>
    </row>
    <row r="31" spans="1:27" x14ac:dyDescent="0.2">
      <c r="A31" s="93" t="s">
        <v>166</v>
      </c>
      <c r="B31" s="95">
        <v>-13700</v>
      </c>
      <c r="C31" s="95">
        <v>-9503</v>
      </c>
      <c r="D31" s="95">
        <v>-9162</v>
      </c>
      <c r="E31" s="95">
        <v>-22377</v>
      </c>
      <c r="F31" s="95">
        <v>0</v>
      </c>
      <c r="G31" s="95">
        <v>0</v>
      </c>
      <c r="H31" s="95">
        <v>0</v>
      </c>
    </row>
    <row r="32" spans="1:27" x14ac:dyDescent="0.2">
      <c r="A32" s="93" t="s">
        <v>167</v>
      </c>
      <c r="B32" s="95">
        <v>13970</v>
      </c>
      <c r="C32" s="95">
        <v>12111</v>
      </c>
      <c r="D32" s="95">
        <v>7178</v>
      </c>
      <c r="E32" s="95">
        <v>15377</v>
      </c>
      <c r="F32" s="95">
        <v>0</v>
      </c>
      <c r="G32" s="95">
        <v>0</v>
      </c>
      <c r="H32" s="95">
        <v>0</v>
      </c>
    </row>
    <row r="33" spans="1:8" x14ac:dyDescent="0.2">
      <c r="A33" s="93" t="s">
        <v>132</v>
      </c>
      <c r="B33" s="95">
        <v>-1619</v>
      </c>
      <c r="C33" s="95">
        <v>-874</v>
      </c>
      <c r="D33" s="95">
        <v>-522</v>
      </c>
      <c r="E33" s="95">
        <v>-720</v>
      </c>
      <c r="F33" s="95">
        <v>-613</v>
      </c>
      <c r="G33" s="95">
        <v>-510</v>
      </c>
      <c r="H33" s="95">
        <v>-399</v>
      </c>
    </row>
    <row r="34" spans="1:8" x14ac:dyDescent="0.2">
      <c r="A34" s="93" t="s">
        <v>133</v>
      </c>
      <c r="B34" s="95">
        <v>5236</v>
      </c>
      <c r="C34" s="95">
        <v>2802</v>
      </c>
      <c r="D34" s="95">
        <v>2688</v>
      </c>
      <c r="E34" s="95">
        <v>910</v>
      </c>
      <c r="F34" s="95">
        <v>581</v>
      </c>
      <c r="G34" s="95">
        <v>4961</v>
      </c>
      <c r="H34" s="95">
        <v>472</v>
      </c>
    </row>
    <row r="35" spans="1:8" x14ac:dyDescent="0.2">
      <c r="A35" s="93" t="s">
        <v>134</v>
      </c>
      <c r="B35" s="95">
        <v>3124</v>
      </c>
      <c r="C35" s="95">
        <v>548</v>
      </c>
      <c r="D35" s="95">
        <v>0</v>
      </c>
      <c r="E35" s="95">
        <v>0</v>
      </c>
      <c r="F35" s="95">
        <v>0</v>
      </c>
      <c r="G35" s="95">
        <v>6579</v>
      </c>
      <c r="H35" s="95">
        <v>0</v>
      </c>
    </row>
    <row r="36" spans="1:8" x14ac:dyDescent="0.2">
      <c r="A36" s="93" t="s">
        <v>135</v>
      </c>
      <c r="B36" s="95">
        <v>730</v>
      </c>
      <c r="C36" s="95">
        <v>-272</v>
      </c>
      <c r="D36" s="95">
        <v>1626</v>
      </c>
      <c r="E36" s="95">
        <v>1385</v>
      </c>
      <c r="F36" s="95">
        <v>1167</v>
      </c>
      <c r="G36" s="95">
        <v>-1540</v>
      </c>
      <c r="H36" s="95">
        <v>962</v>
      </c>
    </row>
    <row r="37" spans="1:8" x14ac:dyDescent="0.2">
      <c r="A37" s="93" t="s">
        <v>136</v>
      </c>
      <c r="B37" s="95">
        <v>-15762</v>
      </c>
      <c r="C37" s="95">
        <v>-11239</v>
      </c>
      <c r="D37" s="95">
        <v>-14405</v>
      </c>
      <c r="E37" s="95">
        <v>-20796</v>
      </c>
      <c r="F37" s="95">
        <v>-24283</v>
      </c>
      <c r="G37" s="95">
        <v>-10231</v>
      </c>
      <c r="H37" s="95">
        <v>-24041</v>
      </c>
    </row>
    <row r="38" spans="1:8" ht="32" x14ac:dyDescent="0.2">
      <c r="A38" s="92" t="s">
        <v>137</v>
      </c>
      <c r="F38" s="93" t="s">
        <v>74</v>
      </c>
      <c r="G38" s="93" t="s">
        <v>74</v>
      </c>
      <c r="H38" s="93" t="s">
        <v>74</v>
      </c>
    </row>
    <row r="39" spans="1:8" x14ac:dyDescent="0.2">
      <c r="A39" s="93" t="s">
        <v>138</v>
      </c>
      <c r="B39" s="95">
        <v>7716</v>
      </c>
      <c r="C39" s="95">
        <v>423</v>
      </c>
      <c r="D39" s="95">
        <v>3392</v>
      </c>
      <c r="E39" s="95">
        <v>10247</v>
      </c>
      <c r="F39" s="95">
        <v>0</v>
      </c>
      <c r="G39" s="95">
        <v>3945</v>
      </c>
      <c r="H39" s="95">
        <v>0</v>
      </c>
    </row>
    <row r="40" spans="1:8" x14ac:dyDescent="0.2">
      <c r="A40" s="93" t="s">
        <v>139</v>
      </c>
      <c r="B40" s="95">
        <v>0</v>
      </c>
      <c r="C40" s="95">
        <v>0</v>
      </c>
      <c r="D40" s="95">
        <v>0</v>
      </c>
      <c r="E40" s="95">
        <v>0</v>
      </c>
      <c r="F40" s="95">
        <v>0</v>
      </c>
      <c r="G40" s="95">
        <v>0</v>
      </c>
      <c r="H40" s="95">
        <v>-3944</v>
      </c>
    </row>
    <row r="41" spans="1:8" x14ac:dyDescent="0.2">
      <c r="A41" s="93" t="s">
        <v>140</v>
      </c>
      <c r="B41" s="95">
        <v>0</v>
      </c>
      <c r="C41" s="95">
        <v>0</v>
      </c>
      <c r="D41" s="95">
        <v>0</v>
      </c>
      <c r="E41" s="95">
        <v>0</v>
      </c>
      <c r="F41" s="95">
        <v>0</v>
      </c>
      <c r="G41" s="95">
        <v>-345</v>
      </c>
      <c r="H41" s="95">
        <v>-96</v>
      </c>
    </row>
    <row r="42" spans="1:8" x14ac:dyDescent="0.2">
      <c r="A42" s="93" t="s">
        <v>141</v>
      </c>
      <c r="B42" s="95">
        <v>0</v>
      </c>
      <c r="C42" s="95">
        <v>0</v>
      </c>
      <c r="D42" s="95">
        <v>0</v>
      </c>
      <c r="E42" s="95">
        <v>0</v>
      </c>
      <c r="F42" s="95">
        <v>0</v>
      </c>
      <c r="G42" s="95">
        <v>874</v>
      </c>
      <c r="H42" s="95">
        <v>1511</v>
      </c>
    </row>
    <row r="43" spans="1:8" x14ac:dyDescent="0.2">
      <c r="A43" s="93" t="s">
        <v>142</v>
      </c>
      <c r="B43" s="95">
        <v>0</v>
      </c>
      <c r="C43" s="95">
        <v>0</v>
      </c>
      <c r="D43" s="95">
        <v>0</v>
      </c>
      <c r="E43" s="95">
        <v>0</v>
      </c>
      <c r="F43" s="95">
        <v>0</v>
      </c>
      <c r="G43" s="95">
        <v>1032</v>
      </c>
      <c r="H43" s="95">
        <v>2959</v>
      </c>
    </row>
    <row r="44" spans="1:8" x14ac:dyDescent="0.2">
      <c r="A44" s="93" t="s">
        <v>143</v>
      </c>
      <c r="B44" s="95">
        <v>0</v>
      </c>
      <c r="C44" s="95">
        <v>0</v>
      </c>
      <c r="D44" s="95">
        <v>0</v>
      </c>
      <c r="E44" s="95">
        <v>0</v>
      </c>
      <c r="F44" s="95">
        <v>4974</v>
      </c>
      <c r="G44" s="95">
        <v>6548</v>
      </c>
      <c r="H44" s="95">
        <v>11391</v>
      </c>
    </row>
    <row r="45" spans="1:8" x14ac:dyDescent="0.2">
      <c r="A45" s="93" t="s">
        <v>144</v>
      </c>
      <c r="B45" s="95">
        <v>-8080</v>
      </c>
      <c r="C45" s="95">
        <v>-3026</v>
      </c>
      <c r="D45" s="95">
        <v>-2627</v>
      </c>
      <c r="E45" s="95">
        <v>-4525</v>
      </c>
      <c r="F45" s="95">
        <v>-2500</v>
      </c>
      <c r="G45" s="95">
        <v>-4984</v>
      </c>
      <c r="H45" s="95">
        <v>-423</v>
      </c>
    </row>
    <row r="46" spans="1:8" ht="32" x14ac:dyDescent="0.2">
      <c r="A46" s="93" t="s">
        <v>145</v>
      </c>
      <c r="B46" s="95">
        <v>770</v>
      </c>
      <c r="C46" s="95">
        <v>555</v>
      </c>
      <c r="D46" s="95">
        <v>750</v>
      </c>
      <c r="E46" s="95">
        <v>897</v>
      </c>
      <c r="F46" s="95">
        <v>1020</v>
      </c>
      <c r="G46" s="95">
        <v>977</v>
      </c>
      <c r="H46" s="95">
        <v>1042</v>
      </c>
    </row>
    <row r="47" spans="1:8" x14ac:dyDescent="0.2">
      <c r="A47" s="93" t="s">
        <v>146</v>
      </c>
      <c r="B47" s="95">
        <v>-3615</v>
      </c>
      <c r="C47" s="95">
        <v>-10730</v>
      </c>
      <c r="D47" s="95">
        <v>-13576</v>
      </c>
      <c r="E47" s="95">
        <v>-14229</v>
      </c>
      <c r="F47" s="95">
        <v>-2415</v>
      </c>
      <c r="G47" s="95">
        <v>0</v>
      </c>
      <c r="H47" s="95">
        <v>0</v>
      </c>
    </row>
    <row r="48" spans="1:8" x14ac:dyDescent="0.2">
      <c r="A48" s="93" t="s">
        <v>147</v>
      </c>
      <c r="B48" s="95">
        <v>-5072</v>
      </c>
      <c r="C48" s="95">
        <v>-5541</v>
      </c>
      <c r="D48" s="95">
        <v>-5576</v>
      </c>
      <c r="E48" s="95">
        <v>-5568</v>
      </c>
      <c r="F48" s="95">
        <v>-5644</v>
      </c>
      <c r="G48" s="95">
        <v>-5997</v>
      </c>
      <c r="H48" s="95">
        <v>-3088</v>
      </c>
    </row>
    <row r="49" spans="1:8" x14ac:dyDescent="0.2">
      <c r="A49" s="93" t="s">
        <v>148</v>
      </c>
      <c r="B49" s="95">
        <v>-194</v>
      </c>
      <c r="C49" s="95">
        <v>-288</v>
      </c>
      <c r="D49" s="95">
        <v>72</v>
      </c>
      <c r="E49" s="95">
        <v>261</v>
      </c>
      <c r="F49" s="95">
        <v>-1646</v>
      </c>
      <c r="G49" s="95">
        <v>-935</v>
      </c>
      <c r="H49" s="95">
        <v>-847</v>
      </c>
    </row>
    <row r="50" spans="1:8" x14ac:dyDescent="0.2">
      <c r="A50" s="93" t="s">
        <v>149</v>
      </c>
      <c r="B50" s="95">
        <v>-8475</v>
      </c>
      <c r="C50" s="95">
        <v>-18607</v>
      </c>
      <c r="D50" s="95">
        <v>-17565</v>
      </c>
      <c r="E50" s="95">
        <v>-12917</v>
      </c>
      <c r="F50" s="95">
        <v>-6211</v>
      </c>
      <c r="G50" s="95">
        <v>1115</v>
      </c>
      <c r="H50" s="95">
        <v>8505</v>
      </c>
    </row>
    <row r="51" spans="1:8" x14ac:dyDescent="0.2">
      <c r="A51" s="93" t="s">
        <v>150</v>
      </c>
      <c r="B51" s="95">
        <v>-2127</v>
      </c>
      <c r="C51" s="95">
        <v>-414</v>
      </c>
      <c r="D51" s="95">
        <v>1175</v>
      </c>
      <c r="E51" s="95">
        <v>1671</v>
      </c>
      <c r="F51" s="95">
        <v>-1038</v>
      </c>
      <c r="G51" s="95">
        <v>6317</v>
      </c>
      <c r="H51" s="95">
        <v>-4065</v>
      </c>
    </row>
    <row r="52" spans="1:8" x14ac:dyDescent="0.2">
      <c r="A52" s="93" t="s">
        <v>151</v>
      </c>
      <c r="B52" s="95">
        <v>3433</v>
      </c>
      <c r="C52" s="95">
        <v>3019</v>
      </c>
      <c r="D52" s="95">
        <v>4194</v>
      </c>
      <c r="E52" s="95">
        <v>5865</v>
      </c>
      <c r="F52" s="95">
        <v>4827</v>
      </c>
      <c r="G52" s="95">
        <v>11144</v>
      </c>
      <c r="H52" s="95">
        <v>7079</v>
      </c>
    </row>
    <row r="53" spans="1:8" x14ac:dyDescent="0.2">
      <c r="A53" s="92" t="s">
        <v>152</v>
      </c>
      <c r="F53" s="93" t="s">
        <v>74</v>
      </c>
      <c r="G53" s="93" t="s">
        <v>74</v>
      </c>
      <c r="H53" s="93" t="s">
        <v>74</v>
      </c>
    </row>
    <row r="54" spans="1:8" ht="32" x14ac:dyDescent="0.2">
      <c r="A54" s="93" t="s">
        <v>153</v>
      </c>
      <c r="B54" s="95">
        <v>1417</v>
      </c>
      <c r="C54" s="95">
        <v>2340</v>
      </c>
      <c r="D54" s="95">
        <v>1761</v>
      </c>
      <c r="E54" s="95">
        <v>2973</v>
      </c>
      <c r="F54" s="95">
        <v>1619</v>
      </c>
      <c r="G54" s="95">
        <v>5431</v>
      </c>
      <c r="H54" s="95">
        <v>4804</v>
      </c>
    </row>
    <row r="55" spans="1:8" x14ac:dyDescent="0.2">
      <c r="A55" s="93" t="s">
        <v>154</v>
      </c>
      <c r="B55" s="95">
        <v>624</v>
      </c>
      <c r="C55" s="95">
        <v>448</v>
      </c>
      <c r="D55" s="95">
        <v>469</v>
      </c>
      <c r="E55" s="95">
        <v>594</v>
      </c>
      <c r="F55" s="95">
        <v>545</v>
      </c>
      <c r="G55" s="95">
        <v>459</v>
      </c>
      <c r="H55" s="95">
        <v>613</v>
      </c>
    </row>
    <row r="56" spans="1:8" x14ac:dyDescent="0.2">
      <c r="A56" s="93" t="s">
        <v>155</v>
      </c>
      <c r="B56" s="94">
        <v>3824</v>
      </c>
      <c r="C56" s="94">
        <v>3813</v>
      </c>
      <c r="D56" s="94">
        <v>2110</v>
      </c>
      <c r="E56" s="94">
        <v>2436</v>
      </c>
      <c r="F56" s="94">
        <v>2263</v>
      </c>
      <c r="G56" s="94">
        <v>4282</v>
      </c>
      <c r="H56" s="94">
        <v>2621</v>
      </c>
    </row>
    <row r="58" spans="1:8" x14ac:dyDescent="0.2">
      <c r="A58" s="98" t="s">
        <v>180</v>
      </c>
    </row>
    <row r="60" spans="1:8" x14ac:dyDescent="0.2">
      <c r="A60" s="97" t="s">
        <v>111</v>
      </c>
      <c r="B60" s="96">
        <f>B6</f>
        <v>9601</v>
      </c>
      <c r="C60" s="96">
        <f t="shared" ref="C60:H60" si="0">C6</f>
        <v>21053</v>
      </c>
      <c r="D60" s="96">
        <f t="shared" si="0"/>
        <v>21048</v>
      </c>
      <c r="E60" s="96">
        <f t="shared" si="0"/>
        <v>20899</v>
      </c>
      <c r="F60" s="96">
        <f t="shared" si="0"/>
        <v>19868</v>
      </c>
      <c r="G60" s="96">
        <f t="shared" si="0"/>
        <v>8017</v>
      </c>
      <c r="H60" s="96">
        <f t="shared" si="0"/>
        <v>1675</v>
      </c>
    </row>
    <row r="61" spans="1:8" x14ac:dyDescent="0.2">
      <c r="A61" s="97" t="s">
        <v>170</v>
      </c>
      <c r="B61" s="96">
        <f>B8+B11</f>
        <v>8129</v>
      </c>
      <c r="C61" s="96">
        <f t="shared" ref="C61:H61" si="1">C8+C11</f>
        <v>9085</v>
      </c>
      <c r="D61" s="96">
        <f t="shared" si="1"/>
        <v>10826</v>
      </c>
      <c r="E61" s="96">
        <f t="shared" si="1"/>
        <v>12239</v>
      </c>
      <c r="F61" s="96">
        <f t="shared" si="1"/>
        <v>11792</v>
      </c>
      <c r="G61" s="96">
        <f t="shared" si="1"/>
        <v>13035</v>
      </c>
      <c r="H61" s="96">
        <f t="shared" si="1"/>
        <v>9602</v>
      </c>
    </row>
    <row r="62" spans="1:8" x14ac:dyDescent="0.2">
      <c r="A62" s="93" t="s">
        <v>114</v>
      </c>
      <c r="B62" s="96">
        <f>B9</f>
        <v>1358</v>
      </c>
      <c r="C62" s="96">
        <f t="shared" ref="C62:H62" si="2">C9</f>
        <v>1546</v>
      </c>
      <c r="D62" s="96">
        <f t="shared" si="2"/>
        <v>1705</v>
      </c>
      <c r="E62" s="96">
        <f t="shared" si="2"/>
        <v>1854</v>
      </c>
      <c r="F62" s="96">
        <f t="shared" si="2"/>
        <v>2036</v>
      </c>
      <c r="G62" s="96">
        <f t="shared" si="2"/>
        <v>3128</v>
      </c>
      <c r="H62" s="96">
        <f t="shared" si="2"/>
        <v>3229</v>
      </c>
    </row>
    <row r="63" spans="1:8" x14ac:dyDescent="0.2">
      <c r="A63" s="97" t="s">
        <v>8</v>
      </c>
      <c r="B63" s="96">
        <f>SUM(B12:B13)+B10</f>
        <v>2970</v>
      </c>
      <c r="C63" s="96">
        <f t="shared" ref="C63:H63" si="3">SUM(C12:C13)+C10</f>
        <v>342</v>
      </c>
      <c r="D63" s="96">
        <f t="shared" si="3"/>
        <v>-499</v>
      </c>
      <c r="E63" s="96">
        <f t="shared" si="3"/>
        <v>-1559</v>
      </c>
      <c r="F63" s="96">
        <f t="shared" si="3"/>
        <v>1168</v>
      </c>
      <c r="G63" s="96">
        <f t="shared" si="3"/>
        <v>-4239</v>
      </c>
      <c r="H63" s="96">
        <f t="shared" si="3"/>
        <v>-466</v>
      </c>
    </row>
    <row r="64" spans="1:8" x14ac:dyDescent="0.2">
      <c r="A64" s="97" t="s">
        <v>171</v>
      </c>
      <c r="B64" s="96">
        <f>SUM(B15:B21)</f>
        <v>5992</v>
      </c>
      <c r="C64" s="96">
        <f t="shared" ref="C64:G64" si="4">SUM(C15:C21)</f>
        <v>-1910</v>
      </c>
      <c r="D64" s="96">
        <f t="shared" si="4"/>
        <v>65</v>
      </c>
      <c r="E64" s="96">
        <f t="shared" si="4"/>
        <v>1951</v>
      </c>
      <c r="F64" s="96">
        <f t="shared" si="4"/>
        <v>-5408</v>
      </c>
      <c r="G64" s="96">
        <f t="shared" si="4"/>
        <v>-4508</v>
      </c>
      <c r="H64" s="96">
        <f>SUM(H15:H21)</f>
        <v>-2569</v>
      </c>
    </row>
    <row r="65" spans="1:9" x14ac:dyDescent="0.2">
      <c r="A65" s="97" t="s">
        <v>172</v>
      </c>
      <c r="B65" s="96">
        <f>SUM(B60:B64)</f>
        <v>28050</v>
      </c>
      <c r="C65" s="96">
        <f>SUM(C60:C64)</f>
        <v>30116</v>
      </c>
      <c r="D65" s="96">
        <f t="shared" ref="D65:H65" si="5">SUM(D60:D64)</f>
        <v>33145</v>
      </c>
      <c r="E65" s="96">
        <f t="shared" si="5"/>
        <v>35384</v>
      </c>
      <c r="F65" s="96">
        <f t="shared" si="5"/>
        <v>29456</v>
      </c>
      <c r="G65" s="96">
        <f t="shared" si="5"/>
        <v>15433</v>
      </c>
      <c r="H65" s="96">
        <f t="shared" si="5"/>
        <v>11471</v>
      </c>
    </row>
    <row r="66" spans="1:9" x14ac:dyDescent="0.2">
      <c r="A66" s="97" t="s">
        <v>173</v>
      </c>
      <c r="B66" s="96">
        <f>B25</f>
        <v>-11778</v>
      </c>
      <c r="C66" s="96">
        <f t="shared" ref="C66:H66" si="6">C25</f>
        <v>-15181</v>
      </c>
      <c r="D66" s="96">
        <f t="shared" si="6"/>
        <v>-16213</v>
      </c>
      <c r="E66" s="96">
        <f t="shared" si="6"/>
        <v>-14259</v>
      </c>
      <c r="F66" s="96">
        <f>F25</f>
        <v>-18733</v>
      </c>
      <c r="G66" s="96">
        <f t="shared" si="6"/>
        <v>-24844</v>
      </c>
      <c r="H66" s="96">
        <f t="shared" si="6"/>
        <v>-25750</v>
      </c>
    </row>
    <row r="67" spans="1:9" x14ac:dyDescent="0.2">
      <c r="A67" s="97" t="s">
        <v>174</v>
      </c>
      <c r="B67" s="96">
        <f>SUM(B65:B66)</f>
        <v>16272</v>
      </c>
      <c r="C67" s="96">
        <f t="shared" ref="C67:H67" si="7">SUM(C65:C66)</f>
        <v>14935</v>
      </c>
      <c r="D67" s="96">
        <f t="shared" si="7"/>
        <v>16932</v>
      </c>
      <c r="E67" s="96">
        <f t="shared" si="7"/>
        <v>21125</v>
      </c>
      <c r="F67" s="96">
        <f t="shared" si="7"/>
        <v>10723</v>
      </c>
      <c r="G67" s="96">
        <f t="shared" si="7"/>
        <v>-9411</v>
      </c>
      <c r="H67" s="96">
        <f t="shared" si="7"/>
        <v>-14279</v>
      </c>
    </row>
    <row r="68" spans="1:9" x14ac:dyDescent="0.2">
      <c r="A68" s="97" t="s">
        <v>175</v>
      </c>
      <c r="B68" s="99" t="e">
        <f>B67/'Statement of Operations'!C44</f>
        <v>#DIV/0!</v>
      </c>
      <c r="C68" s="99">
        <f>C67/'Statement of Operations'!D44</f>
        <v>3.1769836205062751</v>
      </c>
      <c r="D68" s="99">
        <f>D67/'Statement of Operations'!E44</f>
        <v>3.7853789403085178</v>
      </c>
      <c r="E68" s="99">
        <f>E67/'Statement of Operations'!F44</f>
        <v>4.9917296786389418</v>
      </c>
      <c r="F68" s="99">
        <f>F67/'Statement of Operations'!G44</f>
        <v>2.6217603911980438</v>
      </c>
      <c r="G68" s="99">
        <f>G67/'Statement of Operations'!H44</f>
        <v>-2.2825612418142129</v>
      </c>
      <c r="H68" s="99">
        <f>H67/'Statement of Operations'!I44</f>
        <v>-3.3900759734093069</v>
      </c>
    </row>
    <row r="69" spans="1:9" x14ac:dyDescent="0.2">
      <c r="A69" s="97" t="s">
        <v>176</v>
      </c>
      <c r="B69" s="96">
        <f>B27</f>
        <v>-14499</v>
      </c>
      <c r="C69" s="96">
        <f t="shared" ref="C69:H69" si="8">C27</f>
        <v>-190</v>
      </c>
      <c r="D69" s="96">
        <f t="shared" si="8"/>
        <v>-1958</v>
      </c>
      <c r="E69" s="96">
        <f t="shared" si="8"/>
        <v>-837</v>
      </c>
      <c r="F69" s="96">
        <f t="shared" si="8"/>
        <v>0</v>
      </c>
      <c r="G69" s="96">
        <f t="shared" si="8"/>
        <v>0</v>
      </c>
      <c r="H69" s="96">
        <f t="shared" si="8"/>
        <v>0</v>
      </c>
    </row>
    <row r="70" spans="1:9" x14ac:dyDescent="0.2">
      <c r="A70" s="97" t="s">
        <v>177</v>
      </c>
      <c r="B70" s="96">
        <f>B47</f>
        <v>-3615</v>
      </c>
      <c r="C70" s="96">
        <f t="shared" ref="C70:G70" si="9">C47</f>
        <v>-10730</v>
      </c>
      <c r="D70" s="96">
        <f t="shared" si="9"/>
        <v>-13576</v>
      </c>
      <c r="E70" s="96">
        <f t="shared" si="9"/>
        <v>-14229</v>
      </c>
      <c r="F70" s="96">
        <f t="shared" si="9"/>
        <v>-2415</v>
      </c>
      <c r="G70" s="96">
        <f t="shared" si="9"/>
        <v>0</v>
      </c>
      <c r="H70" s="96">
        <f>H47</f>
        <v>0</v>
      </c>
    </row>
    <row r="71" spans="1:9" x14ac:dyDescent="0.2">
      <c r="A71" s="97" t="s">
        <v>178</v>
      </c>
      <c r="B71" s="96">
        <f>B39+B40+B41+B44+B45</f>
        <v>-364</v>
      </c>
      <c r="C71" s="96">
        <f t="shared" ref="C71:H71" si="10">C39+C40+C41+C44+C45</f>
        <v>-2603</v>
      </c>
      <c r="D71" s="96">
        <f t="shared" si="10"/>
        <v>765</v>
      </c>
      <c r="E71" s="96">
        <f t="shared" si="10"/>
        <v>5722</v>
      </c>
      <c r="F71" s="96">
        <f t="shared" si="10"/>
        <v>2474</v>
      </c>
      <c r="G71" s="96">
        <f t="shared" si="10"/>
        <v>5164</v>
      </c>
      <c r="H71" s="96">
        <f t="shared" si="10"/>
        <v>6928</v>
      </c>
    </row>
    <row r="72" spans="1:9" x14ac:dyDescent="0.2">
      <c r="A72" s="97" t="s">
        <v>179</v>
      </c>
      <c r="B72" s="96">
        <f>SUM(B29:B36)</f>
        <v>13261</v>
      </c>
      <c r="C72" s="96">
        <f>SUM(C29:C36)</f>
        <v>7975</v>
      </c>
      <c r="D72" s="96">
        <f t="shared" ref="D72:H72" si="11">SUM(D29:D36)</f>
        <v>3766</v>
      </c>
      <c r="E72" s="96">
        <f t="shared" si="11"/>
        <v>-5506</v>
      </c>
      <c r="F72" s="96">
        <f>SUM(F29:F36)</f>
        <v>-4120</v>
      </c>
      <c r="G72" s="96">
        <f t="shared" si="11"/>
        <v>14573</v>
      </c>
      <c r="H72" s="96">
        <f t="shared" si="11"/>
        <v>698</v>
      </c>
    </row>
    <row r="73" spans="1:9" x14ac:dyDescent="0.2">
      <c r="A73" s="97" t="s">
        <v>181</v>
      </c>
      <c r="B73" s="96">
        <f>B48</f>
        <v>-5072</v>
      </c>
      <c r="C73" s="96">
        <f t="shared" ref="C73:H73" si="12">C48</f>
        <v>-5541</v>
      </c>
      <c r="D73" s="96">
        <f t="shared" si="12"/>
        <v>-5576</v>
      </c>
      <c r="E73" s="96">
        <f t="shared" si="12"/>
        <v>-5568</v>
      </c>
      <c r="F73" s="96">
        <f t="shared" si="12"/>
        <v>-5644</v>
      </c>
      <c r="G73" s="96">
        <f t="shared" si="12"/>
        <v>-5997</v>
      </c>
      <c r="H73" s="96">
        <f t="shared" si="12"/>
        <v>-3088</v>
      </c>
      <c r="I73" s="96"/>
    </row>
    <row r="74" spans="1:9" x14ac:dyDescent="0.2">
      <c r="A74" s="97" t="s">
        <v>8</v>
      </c>
      <c r="B74" s="96">
        <f>B49+B42+B43+B46+B28</f>
        <v>-2170</v>
      </c>
      <c r="C74" s="96">
        <f t="shared" ref="C74:H74" si="13">C49+C42+C43+C46+C28</f>
        <v>-3576</v>
      </c>
      <c r="D74" s="96">
        <f t="shared" si="13"/>
        <v>822</v>
      </c>
      <c r="E74" s="96">
        <f t="shared" si="13"/>
        <v>1158</v>
      </c>
      <c r="F74" s="96">
        <f>F49+F42+F43+F46+F28</f>
        <v>-460</v>
      </c>
      <c r="G74" s="96">
        <f t="shared" si="13"/>
        <v>2194</v>
      </c>
      <c r="H74" s="96">
        <f t="shared" si="13"/>
        <v>5676</v>
      </c>
      <c r="I74" s="96"/>
    </row>
    <row r="75" spans="1:9" x14ac:dyDescent="0.2">
      <c r="A75" s="97" t="s">
        <v>172</v>
      </c>
      <c r="B75" s="96">
        <f>SUM(B69:B74)+B67</f>
        <v>3813</v>
      </c>
      <c r="C75" s="96">
        <f t="shared" ref="C75:H75" si="14">SUM(C69:C74)+C67</f>
        <v>270</v>
      </c>
      <c r="D75" s="96">
        <f t="shared" si="14"/>
        <v>1175</v>
      </c>
      <c r="E75" s="96">
        <f t="shared" si="14"/>
        <v>1865</v>
      </c>
      <c r="F75" s="96">
        <f>SUM(F69:F74)+F67</f>
        <v>558</v>
      </c>
      <c r="G75" s="96">
        <f t="shared" si="14"/>
        <v>6523</v>
      </c>
      <c r="H75" s="96">
        <f t="shared" si="14"/>
        <v>-4065</v>
      </c>
      <c r="I75" s="96"/>
    </row>
    <row r="77" spans="1:9" x14ac:dyDescent="0.2">
      <c r="A77" s="93" t="s">
        <v>150</v>
      </c>
      <c r="B77" s="95">
        <v>-2127</v>
      </c>
      <c r="C77" s="95">
        <v>-414</v>
      </c>
      <c r="D77" s="95">
        <v>1175</v>
      </c>
      <c r="E77" s="95">
        <v>1671</v>
      </c>
      <c r="F77" s="95">
        <v>-1038</v>
      </c>
      <c r="G77" s="95">
        <v>6317</v>
      </c>
      <c r="H77" s="95">
        <v>-4065</v>
      </c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C594-FF61-0744-B139-DFA5C2274B2D}">
  <dimension ref="A1:AM117"/>
  <sheetViews>
    <sheetView tabSelected="1" zoomScale="75" workbookViewId="0">
      <pane xSplit="1" ySplit="2" topLeftCell="G83" activePane="bottomRight" state="frozen"/>
      <selection pane="topRight" activeCell="B1" sqref="B1"/>
      <selection pane="bottomLeft" activeCell="A3" sqref="A3"/>
      <selection pane="bottomRight" activeCell="Q122" sqref="Q122"/>
    </sheetView>
  </sheetViews>
  <sheetFormatPr baseColWidth="10" defaultRowHeight="16" outlineLevelRow="1" outlineLevelCol="1" x14ac:dyDescent="0.2"/>
  <cols>
    <col min="1" max="1" width="30.33203125" bestFit="1" customWidth="1"/>
    <col min="2" max="4" width="9.33203125" customWidth="1" outlineLevel="1"/>
    <col min="5" max="7" width="14.1640625" bestFit="1" customWidth="1"/>
    <col min="8" max="9" width="13.6640625" bestFit="1" customWidth="1"/>
    <col min="10" max="16" width="14.1640625" bestFit="1" customWidth="1"/>
    <col min="17" max="17" width="13.6640625" customWidth="1"/>
    <col min="18" max="21" width="9.33203125" customWidth="1" outlineLevel="1"/>
    <col min="22" max="22" width="10.83203125" customWidth="1"/>
    <col min="23" max="23" width="13.1640625" bestFit="1" customWidth="1"/>
    <col min="24" max="26" width="13.6640625" bestFit="1" customWidth="1"/>
    <col min="28" max="30" width="13.6640625" bestFit="1" customWidth="1"/>
    <col min="31" max="31" width="13.1640625" bestFit="1" customWidth="1"/>
    <col min="33" max="34" width="13.6640625" bestFit="1" customWidth="1"/>
    <col min="35" max="35" width="13.6640625" customWidth="1"/>
    <col min="36" max="37" width="13.6640625" bestFit="1" customWidth="1"/>
  </cols>
  <sheetData>
    <row r="1" spans="1:38" x14ac:dyDescent="0.2">
      <c r="A1" s="22" t="s">
        <v>0</v>
      </c>
      <c r="B1" s="22"/>
      <c r="C1" s="23"/>
      <c r="D1" s="23"/>
      <c r="E1" s="23"/>
      <c r="F1" s="23"/>
      <c r="G1" s="23"/>
      <c r="H1" s="23"/>
      <c r="I1" s="23"/>
      <c r="J1" s="56"/>
      <c r="K1" s="56"/>
      <c r="L1" s="56"/>
      <c r="M1" s="56"/>
      <c r="N1" s="56"/>
      <c r="O1" s="56"/>
      <c r="P1" s="56"/>
      <c r="Q1" s="23"/>
      <c r="R1" s="135">
        <v>2021</v>
      </c>
      <c r="S1" s="135"/>
      <c r="T1" s="135"/>
      <c r="U1" s="135"/>
      <c r="V1" s="23"/>
      <c r="W1" s="135">
        <v>2022</v>
      </c>
      <c r="X1" s="135"/>
      <c r="Y1" s="135"/>
      <c r="Z1" s="135"/>
      <c r="AA1" s="23"/>
      <c r="AB1" s="135">
        <f>W1+1</f>
        <v>2023</v>
      </c>
      <c r="AC1" s="135"/>
      <c r="AD1" s="135"/>
      <c r="AE1" s="135"/>
      <c r="AF1" s="23"/>
      <c r="AG1" s="135" t="s">
        <v>40</v>
      </c>
      <c r="AH1" s="135"/>
      <c r="AI1" s="135"/>
      <c r="AJ1" s="135"/>
      <c r="AK1" s="135"/>
    </row>
    <row r="2" spans="1:38" x14ac:dyDescent="0.2">
      <c r="A2" s="23"/>
      <c r="B2" s="23">
        <f t="shared" ref="B2:G2" si="0">C2-1</f>
        <v>2016</v>
      </c>
      <c r="C2" s="23">
        <f t="shared" si="0"/>
        <v>2017</v>
      </c>
      <c r="D2" s="23">
        <f t="shared" si="0"/>
        <v>2018</v>
      </c>
      <c r="E2" s="23">
        <f t="shared" si="0"/>
        <v>2019</v>
      </c>
      <c r="F2" s="23">
        <f t="shared" si="0"/>
        <v>2020</v>
      </c>
      <c r="G2" s="23">
        <f t="shared" si="0"/>
        <v>2021</v>
      </c>
      <c r="H2" s="23">
        <f>I2-1</f>
        <v>2022</v>
      </c>
      <c r="I2" s="23">
        <v>2023</v>
      </c>
      <c r="J2" s="56" t="s">
        <v>53</v>
      </c>
      <c r="K2" s="56" t="s">
        <v>54</v>
      </c>
      <c r="L2" s="56" t="s">
        <v>55</v>
      </c>
      <c r="M2" s="56" t="s">
        <v>56</v>
      </c>
      <c r="N2" s="56" t="s">
        <v>57</v>
      </c>
      <c r="O2" s="56" t="s">
        <v>58</v>
      </c>
      <c r="P2" s="56" t="s">
        <v>59</v>
      </c>
      <c r="Q2" s="23"/>
      <c r="R2" s="23" t="s">
        <v>24</v>
      </c>
      <c r="S2" s="23" t="s">
        <v>25</v>
      </c>
      <c r="T2" s="23" t="s">
        <v>26</v>
      </c>
      <c r="U2" s="23" t="s">
        <v>27</v>
      </c>
      <c r="V2" s="23"/>
      <c r="W2" s="23" t="s">
        <v>24</v>
      </c>
      <c r="X2" s="23" t="s">
        <v>25</v>
      </c>
      <c r="Y2" s="23" t="s">
        <v>26</v>
      </c>
      <c r="Z2" s="23" t="s">
        <v>27</v>
      </c>
      <c r="AA2" s="23"/>
      <c r="AB2" s="23" t="s">
        <v>24</v>
      </c>
      <c r="AC2" s="23" t="s">
        <v>25</v>
      </c>
      <c r="AD2" s="23" t="s">
        <v>26</v>
      </c>
      <c r="AE2" s="23" t="s">
        <v>27</v>
      </c>
      <c r="AF2" s="23"/>
      <c r="AG2" s="23" t="s">
        <v>24</v>
      </c>
      <c r="AH2" s="56" t="s">
        <v>41</v>
      </c>
      <c r="AI2" s="23" t="s">
        <v>25</v>
      </c>
      <c r="AJ2" s="56" t="s">
        <v>42</v>
      </c>
      <c r="AK2" s="56" t="s">
        <v>43</v>
      </c>
    </row>
    <row r="3" spans="1:38" x14ac:dyDescent="0.2">
      <c r="A3" s="22" t="s">
        <v>11</v>
      </c>
      <c r="B3" s="22"/>
      <c r="C3" s="23"/>
      <c r="D3" s="23"/>
      <c r="E3" s="23"/>
      <c r="F3" s="23"/>
      <c r="G3" s="23"/>
      <c r="H3" s="23"/>
      <c r="I3" s="23"/>
      <c r="J3" s="56"/>
      <c r="K3" s="56"/>
      <c r="L3" s="56"/>
      <c r="M3" s="56"/>
      <c r="N3" s="56"/>
      <c r="O3" s="56"/>
      <c r="P3" s="56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56"/>
      <c r="AI3" s="23"/>
      <c r="AJ3" s="56"/>
      <c r="AK3" s="56"/>
    </row>
    <row r="4" spans="1:38" x14ac:dyDescent="0.2">
      <c r="A4" s="24" t="s">
        <v>1</v>
      </c>
      <c r="B4" s="24">
        <v>32900</v>
      </c>
      <c r="C4" s="25">
        <v>34003</v>
      </c>
      <c r="D4" s="25">
        <v>37004</v>
      </c>
      <c r="E4" s="25">
        <v>37146</v>
      </c>
      <c r="F4" s="25">
        <f t="shared" ref="F4:H4" si="1">SUM(F5:F7)</f>
        <v>40535</v>
      </c>
      <c r="G4" s="25">
        <f t="shared" si="1"/>
        <v>41067</v>
      </c>
      <c r="H4" s="25">
        <f t="shared" si="1"/>
        <v>31773</v>
      </c>
      <c r="I4" s="25">
        <f>SUM(I5:I7)</f>
        <v>29258</v>
      </c>
      <c r="J4" s="57">
        <f>SUM(J5:J7)</f>
        <v>31943</v>
      </c>
      <c r="K4" s="58">
        <f>J4*1.04</f>
        <v>33220.720000000001</v>
      </c>
      <c r="L4" s="58">
        <f t="shared" ref="L4:O4" si="2">K4*1.04</f>
        <v>34549.548800000004</v>
      </c>
      <c r="M4" s="58">
        <f t="shared" si="2"/>
        <v>35931.530752000006</v>
      </c>
      <c r="N4" s="58">
        <f t="shared" si="2"/>
        <v>37368.791982080009</v>
      </c>
      <c r="O4" s="58">
        <f t="shared" si="2"/>
        <v>38863.543661363212</v>
      </c>
      <c r="P4" s="58">
        <v>40000</v>
      </c>
      <c r="Q4" s="25"/>
      <c r="R4" s="25">
        <f t="shared" ref="R4:T4" si="3">SUM(R5:R7)</f>
        <v>10723</v>
      </c>
      <c r="S4" s="25">
        <f t="shared" si="3"/>
        <v>10253</v>
      </c>
      <c r="T4" s="25">
        <f t="shared" si="3"/>
        <v>9788</v>
      </c>
      <c r="U4" s="25">
        <f t="shared" ref="U4:U9" si="4">G4-SUM(R4:T4)</f>
        <v>10303</v>
      </c>
      <c r="V4" s="23"/>
      <c r="W4" s="25">
        <f t="shared" ref="W4:Y4" si="5">SUM(W5:W7)</f>
        <v>9294</v>
      </c>
      <c r="X4" s="25">
        <f t="shared" si="5"/>
        <v>7665</v>
      </c>
      <c r="Y4" s="25">
        <f t="shared" si="5"/>
        <v>8124</v>
      </c>
      <c r="Z4" s="25">
        <f>SUM(Z5:Z7)</f>
        <v>6625</v>
      </c>
      <c r="AA4" s="25"/>
      <c r="AB4" s="25">
        <f>SUM(AB5:AB7)</f>
        <v>5767</v>
      </c>
      <c r="AC4" s="25">
        <f t="shared" ref="AC4:AD4" si="6">SUM(AC5:AC7)</f>
        <v>6780</v>
      </c>
      <c r="AD4" s="25">
        <f t="shared" si="6"/>
        <v>7867</v>
      </c>
      <c r="AE4" s="25">
        <f>SUM(AE5:AE7)</f>
        <v>8844</v>
      </c>
      <c r="AF4" s="25"/>
      <c r="AG4" s="25">
        <f>SUM(AG5:AG7)</f>
        <v>7533</v>
      </c>
      <c r="AH4" s="57">
        <f t="shared" ref="AH4:AK4" si="7">SUM(AH5:AH7)</f>
        <v>7750</v>
      </c>
      <c r="AI4" s="88">
        <f t="shared" si="7"/>
        <v>7410</v>
      </c>
      <c r="AJ4" s="57">
        <f t="shared" si="7"/>
        <v>8250</v>
      </c>
      <c r="AK4" s="57">
        <f t="shared" si="7"/>
        <v>8750</v>
      </c>
    </row>
    <row r="5" spans="1:38" s="2" customFormat="1" x14ac:dyDescent="0.2">
      <c r="A5" s="26" t="s">
        <v>6</v>
      </c>
      <c r="B5" s="26"/>
      <c r="C5" s="27"/>
      <c r="D5" s="27"/>
      <c r="E5" s="27"/>
      <c r="F5" s="27">
        <v>24897</v>
      </c>
      <c r="G5" s="27">
        <v>25443</v>
      </c>
      <c r="H5" s="27">
        <v>18781</v>
      </c>
      <c r="I5" s="27">
        <v>16990</v>
      </c>
      <c r="J5" s="59">
        <f>AG5+SUM(AI5:AK5)</f>
        <v>18961</v>
      </c>
      <c r="K5" s="60"/>
      <c r="L5" s="60"/>
      <c r="M5" s="60"/>
      <c r="N5" s="60"/>
      <c r="O5" s="60"/>
      <c r="P5" s="60"/>
      <c r="Q5" s="27"/>
      <c r="R5" s="27">
        <v>6956</v>
      </c>
      <c r="S5" s="26">
        <v>6734</v>
      </c>
      <c r="T5" s="26">
        <v>5944</v>
      </c>
      <c r="U5" s="27">
        <f t="shared" si="4"/>
        <v>5809</v>
      </c>
      <c r="V5" s="26"/>
      <c r="W5" s="27">
        <v>5959</v>
      </c>
      <c r="X5" s="27">
        <v>2289</v>
      </c>
      <c r="Y5" s="27">
        <v>4410</v>
      </c>
      <c r="Z5" s="27">
        <v>3663</v>
      </c>
      <c r="AA5" s="27"/>
      <c r="AB5" s="27">
        <v>3407</v>
      </c>
      <c r="AC5" s="27">
        <v>3896</v>
      </c>
      <c r="AD5" s="27">
        <v>4503</v>
      </c>
      <c r="AE5" s="27">
        <v>5185</v>
      </c>
      <c r="AF5" s="27"/>
      <c r="AG5" s="27">
        <v>4681</v>
      </c>
      <c r="AH5" s="59">
        <v>4700</v>
      </c>
      <c r="AI5" s="27">
        <v>4480</v>
      </c>
      <c r="AJ5" s="59">
        <v>4800</v>
      </c>
      <c r="AK5" s="59">
        <v>5000</v>
      </c>
    </row>
    <row r="6" spans="1:38" s="2" customFormat="1" x14ac:dyDescent="0.2">
      <c r="A6" s="26" t="s">
        <v>7</v>
      </c>
      <c r="B6" s="26"/>
      <c r="C6" s="27"/>
      <c r="D6" s="27"/>
      <c r="E6" s="27"/>
      <c r="F6" s="27">
        <v>11179</v>
      </c>
      <c r="G6" s="27">
        <v>12437</v>
      </c>
      <c r="H6" s="27">
        <v>10661</v>
      </c>
      <c r="I6" s="27">
        <v>10166</v>
      </c>
      <c r="J6" s="59">
        <f t="shared" ref="J6:J15" si="8">AG6+SUM(AI6:AK6)</f>
        <v>11088</v>
      </c>
      <c r="K6" s="60"/>
      <c r="L6" s="60"/>
      <c r="M6" s="60"/>
      <c r="N6" s="60"/>
      <c r="O6" s="60"/>
      <c r="P6" s="60"/>
      <c r="Q6" s="27"/>
      <c r="R6" s="27">
        <v>2770</v>
      </c>
      <c r="S6" s="26">
        <v>2792</v>
      </c>
      <c r="T6" s="26">
        <v>3119</v>
      </c>
      <c r="U6" s="27">
        <f t="shared" si="4"/>
        <v>3756</v>
      </c>
      <c r="V6" s="26"/>
      <c r="W6" s="27">
        <v>2641</v>
      </c>
      <c r="X6" s="27">
        <v>4751</v>
      </c>
      <c r="Y6" s="27">
        <v>3222</v>
      </c>
      <c r="Z6" s="27">
        <v>2509</v>
      </c>
      <c r="AA6" s="27"/>
      <c r="AB6" s="27">
        <v>1879</v>
      </c>
      <c r="AC6" s="27">
        <v>2370</v>
      </c>
      <c r="AD6" s="27">
        <v>2753</v>
      </c>
      <c r="AE6" s="27">
        <v>3164</v>
      </c>
      <c r="AF6" s="27"/>
      <c r="AG6" s="27">
        <v>2461</v>
      </c>
      <c r="AH6" s="59">
        <v>2600</v>
      </c>
      <c r="AI6" s="27">
        <v>2527</v>
      </c>
      <c r="AJ6" s="59">
        <v>2900</v>
      </c>
      <c r="AK6" s="59">
        <v>3200</v>
      </c>
    </row>
    <row r="7" spans="1:38" s="2" customFormat="1" x14ac:dyDescent="0.2">
      <c r="A7" s="26" t="s">
        <v>8</v>
      </c>
      <c r="B7" s="26"/>
      <c r="C7" s="27"/>
      <c r="D7" s="27"/>
      <c r="E7" s="27"/>
      <c r="F7" s="27">
        <v>4459</v>
      </c>
      <c r="G7" s="27">
        <v>3187</v>
      </c>
      <c r="H7" s="27">
        <v>2331</v>
      </c>
      <c r="I7" s="27">
        <v>2102</v>
      </c>
      <c r="J7" s="59">
        <f t="shared" si="8"/>
        <v>1894</v>
      </c>
      <c r="K7" s="60"/>
      <c r="L7" s="60"/>
      <c r="M7" s="60"/>
      <c r="N7" s="60"/>
      <c r="O7" s="60"/>
      <c r="P7" s="60"/>
      <c r="Q7" s="27"/>
      <c r="R7" s="27">
        <v>997</v>
      </c>
      <c r="S7" s="26">
        <v>727</v>
      </c>
      <c r="T7" s="26">
        <v>725</v>
      </c>
      <c r="U7" s="27">
        <f t="shared" si="4"/>
        <v>738</v>
      </c>
      <c r="V7" s="26"/>
      <c r="W7" s="27">
        <v>694</v>
      </c>
      <c r="X7" s="27">
        <v>625</v>
      </c>
      <c r="Y7" s="27">
        <v>492</v>
      </c>
      <c r="Z7" s="27">
        <v>453</v>
      </c>
      <c r="AA7" s="27"/>
      <c r="AB7" s="27">
        <v>481</v>
      </c>
      <c r="AC7" s="27">
        <v>514</v>
      </c>
      <c r="AD7" s="27">
        <v>611</v>
      </c>
      <c r="AE7" s="27">
        <v>495</v>
      </c>
      <c r="AF7" s="27"/>
      <c r="AG7" s="27">
        <v>391</v>
      </c>
      <c r="AH7" s="59">
        <v>450</v>
      </c>
      <c r="AI7" s="27">
        <v>403</v>
      </c>
      <c r="AJ7" s="59">
        <v>550</v>
      </c>
      <c r="AK7" s="59">
        <v>550</v>
      </c>
    </row>
    <row r="8" spans="1:38" x14ac:dyDescent="0.2">
      <c r="A8" s="24" t="s">
        <v>2</v>
      </c>
      <c r="B8" s="24">
        <v>17200</v>
      </c>
      <c r="C8" s="25">
        <v>19064</v>
      </c>
      <c r="D8" s="25">
        <v>22991</v>
      </c>
      <c r="E8" s="25">
        <v>23481</v>
      </c>
      <c r="F8" s="25">
        <v>23413</v>
      </c>
      <c r="G8" s="27">
        <v>22691</v>
      </c>
      <c r="H8" s="27">
        <v>19445</v>
      </c>
      <c r="I8" s="27">
        <v>15521</v>
      </c>
      <c r="J8" s="59">
        <f>AG8+SUM(AI8:AK8)</f>
        <v>14131</v>
      </c>
      <c r="K8" s="59">
        <f>J8*1.02</f>
        <v>14413.62</v>
      </c>
      <c r="L8" s="59">
        <f t="shared" ref="L8:O8" si="9">K8*1.02</f>
        <v>14701.892400000001</v>
      </c>
      <c r="M8" s="59">
        <f t="shared" si="9"/>
        <v>14995.930248000001</v>
      </c>
      <c r="N8" s="59">
        <f t="shared" si="9"/>
        <v>15295.848852960002</v>
      </c>
      <c r="O8" s="59">
        <f t="shared" si="9"/>
        <v>15601.765830019202</v>
      </c>
      <c r="P8" s="59">
        <f>O8*1.02</f>
        <v>15913.801146619586</v>
      </c>
      <c r="Q8" s="27"/>
      <c r="R8" s="27">
        <v>4940</v>
      </c>
      <c r="S8" s="26">
        <v>5547</v>
      </c>
      <c r="T8" s="26">
        <v>5778</v>
      </c>
      <c r="U8" s="25">
        <f t="shared" si="4"/>
        <v>6426</v>
      </c>
      <c r="V8" s="23"/>
      <c r="W8" s="25">
        <v>6034</v>
      </c>
      <c r="X8" s="25">
        <v>4649</v>
      </c>
      <c r="Y8" s="25">
        <v>4209</v>
      </c>
      <c r="Z8" s="27">
        <v>4304</v>
      </c>
      <c r="AA8" s="25"/>
      <c r="AB8" s="27">
        <v>3718</v>
      </c>
      <c r="AC8" s="25">
        <v>4004</v>
      </c>
      <c r="AD8" s="25">
        <v>3814</v>
      </c>
      <c r="AE8" s="27">
        <v>3985</v>
      </c>
      <c r="AF8" s="25"/>
      <c r="AG8" s="27">
        <v>3036</v>
      </c>
      <c r="AH8" s="57">
        <v>3500</v>
      </c>
      <c r="AI8" s="25">
        <v>3045</v>
      </c>
      <c r="AJ8" s="57">
        <v>4000</v>
      </c>
      <c r="AK8" s="57">
        <v>4050</v>
      </c>
    </row>
    <row r="9" spans="1:38" x14ac:dyDescent="0.2">
      <c r="A9" s="24" t="s">
        <v>3</v>
      </c>
      <c r="B9" s="24"/>
      <c r="C9" s="25"/>
      <c r="D9" s="25"/>
      <c r="E9" s="25"/>
      <c r="F9" s="25">
        <v>7132</v>
      </c>
      <c r="G9" s="27">
        <v>7976</v>
      </c>
      <c r="H9" s="27">
        <v>8409</v>
      </c>
      <c r="I9" s="27">
        <v>5774</v>
      </c>
      <c r="J9" s="59">
        <f t="shared" si="8"/>
        <v>5758</v>
      </c>
      <c r="K9" s="59">
        <v>5900</v>
      </c>
      <c r="L9" s="59">
        <v>6200</v>
      </c>
      <c r="M9" s="59">
        <v>6400</v>
      </c>
      <c r="N9" s="59">
        <v>6600</v>
      </c>
      <c r="O9" s="59">
        <v>6800</v>
      </c>
      <c r="P9" s="59">
        <v>7000</v>
      </c>
      <c r="Q9" s="27"/>
      <c r="R9" s="27">
        <v>1799</v>
      </c>
      <c r="S9" s="26">
        <v>2105</v>
      </c>
      <c r="T9" s="26">
        <v>1986</v>
      </c>
      <c r="U9" s="25">
        <f t="shared" si="4"/>
        <v>2086</v>
      </c>
      <c r="V9" s="23"/>
      <c r="W9" s="25">
        <v>2213</v>
      </c>
      <c r="X9" s="25">
        <v>2333</v>
      </c>
      <c r="Y9" s="25">
        <v>2266</v>
      </c>
      <c r="Z9" s="27">
        <v>2061</v>
      </c>
      <c r="AA9" s="25"/>
      <c r="AB9" s="27">
        <v>1489</v>
      </c>
      <c r="AC9" s="25">
        <v>1364</v>
      </c>
      <c r="AD9" s="25">
        <v>1450</v>
      </c>
      <c r="AE9" s="27">
        <v>1471</v>
      </c>
      <c r="AF9" s="25"/>
      <c r="AG9" s="27">
        <v>1364</v>
      </c>
      <c r="AH9" s="57">
        <v>1400</v>
      </c>
      <c r="AI9" s="25">
        <v>1344</v>
      </c>
      <c r="AJ9" s="57">
        <v>1500</v>
      </c>
      <c r="AK9" s="57">
        <v>1550</v>
      </c>
    </row>
    <row r="10" spans="1:38" x14ac:dyDescent="0.2">
      <c r="A10" s="52" t="s">
        <v>69</v>
      </c>
      <c r="B10" s="53">
        <f>SUM(B8:B9)+B4</f>
        <v>50100</v>
      </c>
      <c r="C10" s="53">
        <f t="shared" ref="C10:P10" si="10">SUM(C8:C9)+C4</f>
        <v>53067</v>
      </c>
      <c r="D10" s="53">
        <f t="shared" si="10"/>
        <v>59995</v>
      </c>
      <c r="E10" s="53">
        <f t="shared" si="10"/>
        <v>60627</v>
      </c>
      <c r="F10" s="53">
        <f t="shared" si="10"/>
        <v>71080</v>
      </c>
      <c r="G10" s="53">
        <f t="shared" si="10"/>
        <v>71734</v>
      </c>
      <c r="H10" s="53">
        <f t="shared" si="10"/>
        <v>59627</v>
      </c>
      <c r="I10" s="53">
        <f t="shared" si="10"/>
        <v>50553</v>
      </c>
      <c r="J10" s="131">
        <f>SUM(J8:J9)+J4</f>
        <v>51832</v>
      </c>
      <c r="K10" s="131">
        <f t="shared" si="10"/>
        <v>53534.340000000004</v>
      </c>
      <c r="L10" s="131">
        <f t="shared" si="10"/>
        <v>55451.441200000001</v>
      </c>
      <c r="M10" s="131">
        <f t="shared" si="10"/>
        <v>57327.46100000001</v>
      </c>
      <c r="N10" s="131">
        <f t="shared" si="10"/>
        <v>59264.640835040009</v>
      </c>
      <c r="O10" s="131">
        <f t="shared" si="10"/>
        <v>61265.309491382417</v>
      </c>
      <c r="P10" s="131">
        <f t="shared" si="10"/>
        <v>62913.801146619589</v>
      </c>
      <c r="Q10" s="53"/>
      <c r="R10" s="53">
        <f t="shared" ref="R10" si="11">SUM(R8:R9)+R4</f>
        <v>17462</v>
      </c>
      <c r="S10" s="53">
        <f t="shared" ref="S10" si="12">SUM(S8:S9)+S4</f>
        <v>17905</v>
      </c>
      <c r="T10" s="53">
        <f t="shared" ref="T10" si="13">SUM(T8:T9)+T4</f>
        <v>17552</v>
      </c>
      <c r="U10" s="53">
        <f t="shared" ref="U10" si="14">SUM(U8:U9)+U4</f>
        <v>18815</v>
      </c>
      <c r="V10" s="53"/>
      <c r="W10" s="53">
        <f t="shared" ref="W10" si="15">SUM(W8:W9)+W4</f>
        <v>17541</v>
      </c>
      <c r="X10" s="53">
        <f t="shared" ref="X10" si="16">SUM(X8:X9)+X4</f>
        <v>14647</v>
      </c>
      <c r="Y10" s="53">
        <f t="shared" ref="Y10" si="17">SUM(Y8:Y9)+Y4</f>
        <v>14599</v>
      </c>
      <c r="Z10" s="53">
        <f t="shared" ref="Z10" si="18">SUM(Z8:Z9)+Z4</f>
        <v>12990</v>
      </c>
      <c r="AA10" s="53"/>
      <c r="AB10" s="53">
        <f t="shared" ref="AB10" si="19">SUM(AB8:AB9)+AB4</f>
        <v>10974</v>
      </c>
      <c r="AC10" s="53">
        <f t="shared" ref="AC10" si="20">SUM(AC8:AC9)+AC4</f>
        <v>12148</v>
      </c>
      <c r="AD10" s="53">
        <f t="shared" ref="AD10" si="21">SUM(AD8:AD9)+AD4</f>
        <v>13131</v>
      </c>
      <c r="AE10" s="53">
        <f t="shared" ref="AE10" si="22">SUM(AE8:AE9)+AE4</f>
        <v>14300</v>
      </c>
      <c r="AF10" s="53"/>
      <c r="AG10" s="54">
        <f>SUM(AG8:AG9)+AG4</f>
        <v>11933</v>
      </c>
      <c r="AH10" s="61">
        <f t="shared" ref="AH10" si="23">SUM(AH8:AH9)+AH4</f>
        <v>12650</v>
      </c>
      <c r="AI10" s="54">
        <f>SUM(AI8:AI9)+AI4</f>
        <v>11799</v>
      </c>
      <c r="AJ10" s="61">
        <f t="shared" ref="AJ10" si="24">SUM(AJ8:AJ9)+AJ4</f>
        <v>13750</v>
      </c>
      <c r="AK10" s="61">
        <f t="shared" ref="AK10" si="25">SUM(AK8:AK9)+AK4</f>
        <v>14350</v>
      </c>
    </row>
    <row r="11" spans="1:38" x14ac:dyDescent="0.2">
      <c r="A11" s="24" t="s">
        <v>5</v>
      </c>
      <c r="B11" s="24"/>
      <c r="C11" s="25">
        <v>210</v>
      </c>
      <c r="D11" s="25">
        <v>698</v>
      </c>
      <c r="E11" s="25">
        <v>879</v>
      </c>
      <c r="F11" s="25">
        <v>967</v>
      </c>
      <c r="G11" s="27">
        <v>1386</v>
      </c>
      <c r="H11" s="27">
        <v>1869</v>
      </c>
      <c r="I11" s="27">
        <v>2079</v>
      </c>
      <c r="J11" s="59">
        <f>AG11+SUM(AI11:AK11)</f>
        <v>1429</v>
      </c>
      <c r="K11" s="59">
        <v>1600</v>
      </c>
      <c r="L11" s="59">
        <v>1900</v>
      </c>
      <c r="M11" s="59">
        <v>2300</v>
      </c>
      <c r="N11" s="59">
        <v>2500</v>
      </c>
      <c r="O11" s="59">
        <v>2700</v>
      </c>
      <c r="P11" s="59">
        <v>2900</v>
      </c>
      <c r="Q11" s="27"/>
      <c r="R11" s="27">
        <v>377</v>
      </c>
      <c r="S11" s="26">
        <v>327</v>
      </c>
      <c r="T11" s="26">
        <v>326</v>
      </c>
      <c r="U11" s="25">
        <f>G11-SUM(R11:T11)</f>
        <v>356</v>
      </c>
      <c r="V11" s="23"/>
      <c r="W11" s="25">
        <v>394</v>
      </c>
      <c r="X11" s="25">
        <v>460</v>
      </c>
      <c r="Y11" s="25">
        <v>450</v>
      </c>
      <c r="Z11" s="27">
        <v>565</v>
      </c>
      <c r="AA11" s="25"/>
      <c r="AB11" s="27">
        <v>458</v>
      </c>
      <c r="AC11" s="25">
        <v>454</v>
      </c>
      <c r="AD11" s="25">
        <v>530</v>
      </c>
      <c r="AE11" s="27">
        <v>637</v>
      </c>
      <c r="AF11" s="25"/>
      <c r="AG11" s="27">
        <v>239</v>
      </c>
      <c r="AH11" s="57">
        <v>300</v>
      </c>
      <c r="AI11" s="25">
        <v>440</v>
      </c>
      <c r="AJ11" s="57">
        <v>350</v>
      </c>
      <c r="AK11" s="57">
        <v>400</v>
      </c>
    </row>
    <row r="12" spans="1:38" x14ac:dyDescent="0.2">
      <c r="A12" s="24" t="s">
        <v>4</v>
      </c>
      <c r="B12" s="24"/>
      <c r="C12" s="25"/>
      <c r="D12" s="25"/>
      <c r="E12" s="25"/>
      <c r="F12" s="25">
        <v>715</v>
      </c>
      <c r="G12" s="27">
        <v>786</v>
      </c>
      <c r="H12" s="27">
        <v>469</v>
      </c>
      <c r="I12" s="27">
        <v>952</v>
      </c>
      <c r="J12" s="59">
        <f>AG12+SUM(AI12:AK12)</f>
        <v>9589</v>
      </c>
      <c r="K12" s="62">
        <v>10000</v>
      </c>
      <c r="L12" s="62">
        <f>K12*1.06</f>
        <v>10600</v>
      </c>
      <c r="M12" s="62">
        <f t="shared" ref="M12:N12" si="26">L12*1.06</f>
        <v>11236</v>
      </c>
      <c r="N12" s="62">
        <f t="shared" si="26"/>
        <v>11910.16</v>
      </c>
      <c r="O12" s="62">
        <v>12791.637368134529</v>
      </c>
      <c r="P12" s="62">
        <v>15000</v>
      </c>
      <c r="Q12" s="27"/>
      <c r="R12" s="27">
        <v>103</v>
      </c>
      <c r="S12" s="26">
        <v>264</v>
      </c>
      <c r="T12" s="26">
        <v>174</v>
      </c>
      <c r="U12" s="25">
        <f>G12-SUM(R12:T12)</f>
        <v>245</v>
      </c>
      <c r="V12" s="23"/>
      <c r="W12" s="25">
        <v>283</v>
      </c>
      <c r="X12" s="25">
        <v>122</v>
      </c>
      <c r="Y12" s="25">
        <v>171</v>
      </c>
      <c r="Z12" s="27">
        <v>319</v>
      </c>
      <c r="AA12" s="25"/>
      <c r="AB12" s="27">
        <v>118</v>
      </c>
      <c r="AC12" s="25">
        <v>232</v>
      </c>
      <c r="AD12" s="25">
        <v>311</v>
      </c>
      <c r="AE12" s="27">
        <v>291</v>
      </c>
      <c r="AF12" s="25"/>
      <c r="AG12" s="27">
        <v>4369</v>
      </c>
      <c r="AH12" s="57">
        <v>400</v>
      </c>
      <c r="AI12" s="25">
        <v>4320</v>
      </c>
      <c r="AJ12" s="57">
        <v>400</v>
      </c>
      <c r="AK12" s="57">
        <v>500</v>
      </c>
      <c r="AL12" s="88"/>
    </row>
    <row r="13" spans="1:38" x14ac:dyDescent="0.2">
      <c r="A13" s="26" t="s">
        <v>220</v>
      </c>
      <c r="B13" s="24"/>
      <c r="C13" s="25"/>
      <c r="D13" s="25"/>
      <c r="E13" s="25"/>
      <c r="F13" s="25"/>
      <c r="G13" s="27"/>
      <c r="H13" s="27"/>
      <c r="I13" s="27"/>
      <c r="J13" s="59"/>
      <c r="K13" s="62"/>
      <c r="L13" s="62"/>
      <c r="M13" s="62"/>
      <c r="N13" s="62"/>
      <c r="O13" s="62"/>
      <c r="P13" s="62"/>
      <c r="Q13" s="27"/>
      <c r="R13" s="32">
        <f>R12/SUM($R12:$U12)</f>
        <v>0.13104325699745548</v>
      </c>
      <c r="S13" s="32">
        <f t="shared" ref="S13:U13" si="27">S12/SUM($R12:$U12)</f>
        <v>0.33587786259541985</v>
      </c>
      <c r="T13" s="32">
        <f t="shared" si="27"/>
        <v>0.22137404580152673</v>
      </c>
      <c r="U13" s="32">
        <f t="shared" si="27"/>
        <v>0.31170483460559795</v>
      </c>
      <c r="V13" s="23"/>
      <c r="W13" s="32">
        <f>W12/SUM($W12:$Z12)</f>
        <v>0.31620111731843575</v>
      </c>
      <c r="X13" s="32">
        <f t="shared" ref="X13" si="28">X12/SUM($R12:$U12)</f>
        <v>0.15521628498727735</v>
      </c>
      <c r="Y13" s="32">
        <f t="shared" ref="Y13" si="29">Y12/SUM($R12:$U12)</f>
        <v>0.21755725190839695</v>
      </c>
      <c r="Z13" s="32">
        <f t="shared" ref="Z13" si="30">Z12/SUM($R12:$U12)</f>
        <v>0.40585241730279897</v>
      </c>
      <c r="AA13" s="25"/>
      <c r="AB13" s="32">
        <f>AB12/SUM($AB12:$AE12)</f>
        <v>0.12394957983193278</v>
      </c>
      <c r="AC13" s="32">
        <f t="shared" ref="AC13" si="31">AC12/SUM($R12:$U12)</f>
        <v>0.2951653944020356</v>
      </c>
      <c r="AD13" s="32">
        <f t="shared" ref="AD13" si="32">AD12/SUM($R12:$U12)</f>
        <v>0.39567430025445294</v>
      </c>
      <c r="AE13" s="32">
        <f t="shared" ref="AE13" si="33">AE12/SUM($R12:$U12)</f>
        <v>0.37022900763358779</v>
      </c>
      <c r="AF13" s="25"/>
      <c r="AG13" s="32">
        <f>AG12/(AG12+SUM(AI12:AK12))</f>
        <v>0.45562623839816457</v>
      </c>
      <c r="AH13" s="32">
        <f>AH12/(SUM(AG12:AH12)+SUM(AJ12:AK12))</f>
        <v>7.055918151349444E-2</v>
      </c>
      <c r="AI13" s="32">
        <f>AI12/($AG12+SUM($AI12:$AK12))</f>
        <v>0.45051621649807072</v>
      </c>
      <c r="AJ13" s="32">
        <f>AJ12/($AG12+SUM($AI12:$AK12))</f>
        <v>4.1714464490562105E-2</v>
      </c>
      <c r="AK13" s="32">
        <f>AK12/($AG12+SUM($AI12:$AK12))</f>
        <v>5.2143080613202629E-2</v>
      </c>
    </row>
    <row r="14" spans="1:38" x14ac:dyDescent="0.2">
      <c r="A14" s="24" t="s">
        <v>28</v>
      </c>
      <c r="B14" s="24"/>
      <c r="C14" s="25"/>
      <c r="D14" s="25"/>
      <c r="E14" s="25"/>
      <c r="F14" s="25"/>
      <c r="G14" s="27"/>
      <c r="H14" s="27"/>
      <c r="I14" s="27"/>
      <c r="J14" s="59">
        <f t="shared" si="8"/>
        <v>1811</v>
      </c>
      <c r="K14" s="56">
        <v>2500</v>
      </c>
      <c r="L14" s="56">
        <v>3000</v>
      </c>
      <c r="M14" s="56">
        <v>3500</v>
      </c>
      <c r="N14" s="56">
        <v>4000</v>
      </c>
      <c r="O14" s="56">
        <v>4500</v>
      </c>
      <c r="P14" s="56">
        <v>5000</v>
      </c>
      <c r="Q14" s="27"/>
      <c r="R14" s="27"/>
      <c r="S14" s="23"/>
      <c r="T14" s="23"/>
      <c r="U14" s="25">
        <f>G14-SUM(R14:T14)</f>
        <v>0</v>
      </c>
      <c r="V14" s="23"/>
      <c r="W14" s="25"/>
      <c r="X14" s="25"/>
      <c r="Y14" s="25"/>
      <c r="Z14" s="27"/>
      <c r="AA14" s="25"/>
      <c r="AB14" s="27"/>
      <c r="AC14" s="25"/>
      <c r="AD14" s="25"/>
      <c r="AE14" s="27"/>
      <c r="AF14" s="25"/>
      <c r="AG14" s="27">
        <v>342</v>
      </c>
      <c r="AH14" s="57">
        <v>550</v>
      </c>
      <c r="AI14" s="25">
        <v>361</v>
      </c>
      <c r="AJ14" s="57">
        <v>558</v>
      </c>
      <c r="AK14" s="57">
        <v>550</v>
      </c>
    </row>
    <row r="15" spans="1:38" x14ac:dyDescent="0.2">
      <c r="A15" s="24" t="s">
        <v>8</v>
      </c>
      <c r="B15" s="24"/>
      <c r="C15" s="25"/>
      <c r="D15" s="25"/>
      <c r="E15" s="25"/>
      <c r="F15" s="25">
        <f>5091+651</f>
        <v>5742</v>
      </c>
      <c r="G15" s="27">
        <f>5019+774</f>
        <v>5793</v>
      </c>
      <c r="H15" s="27">
        <v>1089</v>
      </c>
      <c r="I15" s="27">
        <v>644</v>
      </c>
      <c r="J15" s="59">
        <f t="shared" si="8"/>
        <v>746</v>
      </c>
      <c r="K15" s="56"/>
      <c r="L15" s="56"/>
      <c r="M15" s="56"/>
      <c r="N15" s="56"/>
      <c r="O15" s="56"/>
      <c r="P15" s="56"/>
      <c r="Q15" s="27"/>
      <c r="R15" s="27">
        <f>1724+181</f>
        <v>1905</v>
      </c>
      <c r="S15" s="23">
        <f>177+1129</f>
        <v>1306</v>
      </c>
      <c r="T15" s="23">
        <f>1133+171</f>
        <v>1304</v>
      </c>
      <c r="U15" s="25">
        <f>G15-SUM(R15:T15)</f>
        <v>1278</v>
      </c>
      <c r="V15" s="23"/>
      <c r="W15" s="25">
        <f>67+219</f>
        <v>286</v>
      </c>
      <c r="X15" s="25">
        <f>32+186</f>
        <v>218</v>
      </c>
      <c r="Y15" s="25">
        <f>67+185</f>
        <v>252</v>
      </c>
      <c r="Z15" s="27">
        <f>30+247</f>
        <v>277</v>
      </c>
      <c r="AA15" s="25"/>
      <c r="AB15" s="27">
        <v>165</v>
      </c>
      <c r="AC15" s="25">
        <v>115</v>
      </c>
      <c r="AD15" s="25">
        <v>186</v>
      </c>
      <c r="AE15" s="27">
        <v>178</v>
      </c>
      <c r="AF15" s="25"/>
      <c r="AG15" s="27">
        <v>194</v>
      </c>
      <c r="AH15" s="57">
        <v>150</v>
      </c>
      <c r="AI15" s="25">
        <v>167</v>
      </c>
      <c r="AJ15" s="57">
        <v>190</v>
      </c>
      <c r="AK15" s="57">
        <v>195</v>
      </c>
    </row>
    <row r="16" spans="1:38" s="4" customFormat="1" x14ac:dyDescent="0.2">
      <c r="A16" s="28" t="s">
        <v>45</v>
      </c>
      <c r="B16" s="29">
        <f>SUM(B11:B15)+B10</f>
        <v>50100</v>
      </c>
      <c r="C16" s="29">
        <f t="shared" ref="C16:O16" si="34">SUM(C11:C15)+C10</f>
        <v>53277</v>
      </c>
      <c r="D16" s="29">
        <f t="shared" si="34"/>
        <v>60693</v>
      </c>
      <c r="E16" s="29">
        <f t="shared" si="34"/>
        <v>61506</v>
      </c>
      <c r="F16" s="29">
        <f t="shared" si="34"/>
        <v>78504</v>
      </c>
      <c r="G16" s="29">
        <f t="shared" si="34"/>
        <v>79699</v>
      </c>
      <c r="H16" s="29">
        <f t="shared" si="34"/>
        <v>63054</v>
      </c>
      <c r="I16" s="29">
        <f t="shared" si="34"/>
        <v>54228</v>
      </c>
      <c r="J16" s="63">
        <f>SUM(J11:J15)+J10</f>
        <v>65407</v>
      </c>
      <c r="K16" s="63">
        <f t="shared" si="34"/>
        <v>67634.34</v>
      </c>
      <c r="L16" s="63">
        <f t="shared" si="34"/>
        <v>70951.441200000001</v>
      </c>
      <c r="M16" s="63">
        <f t="shared" si="34"/>
        <v>74363.46100000001</v>
      </c>
      <c r="N16" s="63">
        <f t="shared" si="34"/>
        <v>77674.800835040005</v>
      </c>
      <c r="O16" s="63">
        <f t="shared" si="34"/>
        <v>81256.946859516946</v>
      </c>
      <c r="P16" s="63">
        <f>SUM(P11:P15)+P10</f>
        <v>85813.801146619589</v>
      </c>
      <c r="Q16" s="30"/>
      <c r="R16" s="29">
        <f t="shared" ref="R16" si="35">SUM(R8:R15)+R4</f>
        <v>37309.131043257003</v>
      </c>
      <c r="S16" s="29">
        <f t="shared" ref="S16" si="36">SUM(S8:S15)+S4</f>
        <v>37707.335877862599</v>
      </c>
      <c r="T16" s="29">
        <f t="shared" ref="T16" si="37">SUM(T8:T15)+T4</f>
        <v>36908.221374045803</v>
      </c>
      <c r="U16" s="29">
        <f t="shared" ref="U16" si="38">SUM(U8:U15)+U4</f>
        <v>39509.311704834603</v>
      </c>
      <c r="V16" s="31"/>
      <c r="W16" s="29">
        <f>SUM(W11:W15)+W10</f>
        <v>18504.316201117319</v>
      </c>
      <c r="X16" s="29">
        <f t="shared" ref="X16:Z16" si="39">SUM(X11:X15)+X10</f>
        <v>15447.155216284988</v>
      </c>
      <c r="Y16" s="29">
        <f t="shared" si="39"/>
        <v>15472.217557251908</v>
      </c>
      <c r="Z16" s="29">
        <f t="shared" si="39"/>
        <v>14151.405852417303</v>
      </c>
      <c r="AA16" s="29"/>
      <c r="AB16" s="29">
        <f>SUM(AB11:AB15)+AB10</f>
        <v>11715.123949579833</v>
      </c>
      <c r="AC16" s="29">
        <f t="shared" ref="AC16" si="40">SUM(AC11:AC15)+AC10</f>
        <v>12949.295165394402</v>
      </c>
      <c r="AD16" s="29">
        <f t="shared" ref="AD16" si="41">SUM(AD11:AD15)+AD10</f>
        <v>14158.395674300255</v>
      </c>
      <c r="AE16" s="29">
        <f t="shared" ref="AE16" si="42">SUM(AE11:AE15)+AE10</f>
        <v>15406.370229007633</v>
      </c>
      <c r="AF16" s="29"/>
      <c r="AG16" s="29">
        <f>SUM(AG11:AG15)+AG10</f>
        <v>17077.455626238399</v>
      </c>
      <c r="AH16" s="63">
        <f t="shared" ref="AH16" si="43">SUM(AH11:AH15)+AH10</f>
        <v>14050.070559181513</v>
      </c>
      <c r="AI16" s="29">
        <f>SUM(AI10:AI15)</f>
        <v>17087.450516216497</v>
      </c>
      <c r="AJ16" s="63">
        <f t="shared" ref="AJ16" si="44">SUM(AJ11:AJ15)+AJ10</f>
        <v>15248.041714464491</v>
      </c>
      <c r="AK16" s="63">
        <f t="shared" ref="AK16" si="45">SUM(AK11:AK15)+AK10</f>
        <v>15995.052143080613</v>
      </c>
    </row>
    <row r="17" spans="1:37" x14ac:dyDescent="0.2">
      <c r="A17" s="28" t="s">
        <v>46</v>
      </c>
      <c r="B17" s="25"/>
      <c r="C17" s="25"/>
      <c r="D17" s="25"/>
      <c r="E17" s="25"/>
      <c r="F17" s="25"/>
      <c r="G17" s="25"/>
      <c r="H17" s="25"/>
      <c r="I17" s="25"/>
      <c r="J17" s="57"/>
      <c r="K17" s="56"/>
      <c r="L17" s="56"/>
      <c r="M17" s="56"/>
      <c r="N17" s="56"/>
      <c r="O17" s="56"/>
      <c r="P17" s="56"/>
      <c r="Q17" s="32"/>
      <c r="R17" s="25"/>
      <c r="S17" s="25"/>
      <c r="T17" s="25"/>
      <c r="U17" s="25"/>
      <c r="V17" s="23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57"/>
      <c r="AI17" s="25"/>
      <c r="AJ17" s="57"/>
      <c r="AK17" s="57"/>
    </row>
    <row r="18" spans="1:37" s="1" customFormat="1" x14ac:dyDescent="0.2">
      <c r="A18" s="24" t="s">
        <v>1</v>
      </c>
      <c r="B18" s="24"/>
      <c r="C18" s="24">
        <v>12919</v>
      </c>
      <c r="D18" s="24">
        <v>14222</v>
      </c>
      <c r="E18" s="33">
        <v>15292</v>
      </c>
      <c r="F18" s="33">
        <v>15800</v>
      </c>
      <c r="G18" s="33">
        <v>15704</v>
      </c>
      <c r="H18" s="33">
        <v>5569</v>
      </c>
      <c r="I18" s="33">
        <v>6520</v>
      </c>
      <c r="J18" s="59">
        <f t="shared" ref="J18:J24" si="46">AG18+SUM(AI18:AK18)</f>
        <v>10942</v>
      </c>
      <c r="K18" s="64">
        <f>K4*0.37</f>
        <v>12291.6664</v>
      </c>
      <c r="L18" s="64">
        <f>L4*0.38</f>
        <v>13128.828544000002</v>
      </c>
      <c r="M18" s="64">
        <f>M4*0.39</f>
        <v>14013.296993280002</v>
      </c>
      <c r="N18" s="64">
        <f>N4*0.4</f>
        <v>14947.516792832004</v>
      </c>
      <c r="O18" s="64">
        <f>O4*0.405</f>
        <v>15739.735182852102</v>
      </c>
      <c r="P18" s="64">
        <f>P4*0.41</f>
        <v>16400</v>
      </c>
      <c r="Q18" s="33"/>
      <c r="R18" s="25">
        <v>4288</v>
      </c>
      <c r="S18" s="25">
        <v>4029</v>
      </c>
      <c r="T18" s="25">
        <v>3592</v>
      </c>
      <c r="U18" s="25">
        <f>G18-SUM(R18:T18)</f>
        <v>3795</v>
      </c>
      <c r="V18" s="33"/>
      <c r="W18" s="25">
        <v>2827</v>
      </c>
      <c r="X18" s="25">
        <v>1085</v>
      </c>
      <c r="Y18" s="25">
        <v>1655</v>
      </c>
      <c r="Z18" s="25">
        <v>699</v>
      </c>
      <c r="AA18" s="33"/>
      <c r="AB18" s="33">
        <v>1180</v>
      </c>
      <c r="AC18" s="33">
        <v>1039</v>
      </c>
      <c r="AD18" s="33">
        <v>2073</v>
      </c>
      <c r="AE18" s="33">
        <v>2888</v>
      </c>
      <c r="AF18" s="33"/>
      <c r="AG18" s="33">
        <v>2645</v>
      </c>
      <c r="AH18" s="64">
        <v>2700</v>
      </c>
      <c r="AI18" s="33">
        <v>2497</v>
      </c>
      <c r="AJ18" s="64">
        <v>2800</v>
      </c>
      <c r="AK18" s="64">
        <v>3000</v>
      </c>
    </row>
    <row r="19" spans="1:37" s="1" customFormat="1" x14ac:dyDescent="0.2">
      <c r="A19" s="24" t="s">
        <v>2</v>
      </c>
      <c r="B19" s="24"/>
      <c r="C19" s="24">
        <v>8395</v>
      </c>
      <c r="D19" s="24">
        <v>11476</v>
      </c>
      <c r="E19" s="33">
        <v>10227</v>
      </c>
      <c r="F19" s="33">
        <v>11076</v>
      </c>
      <c r="G19" s="33">
        <v>8439</v>
      </c>
      <c r="H19" s="33">
        <v>1300</v>
      </c>
      <c r="I19" s="33">
        <v>-530</v>
      </c>
      <c r="J19" s="59">
        <f t="shared" si="46"/>
        <v>1508</v>
      </c>
      <c r="K19" s="64">
        <f>K8*0.2</f>
        <v>2882.7240000000002</v>
      </c>
      <c r="L19" s="64">
        <f>L8*0.22</f>
        <v>3234.4163280000002</v>
      </c>
      <c r="M19" s="64">
        <f>M8*0.24</f>
        <v>3599.02325952</v>
      </c>
      <c r="N19" s="64">
        <f>N8*0.26</f>
        <v>3976.9207017696008</v>
      </c>
      <c r="O19" s="64">
        <f>O8*0.28</f>
        <v>4368.4944324053768</v>
      </c>
      <c r="P19" s="64">
        <f>P8*0.3</f>
        <v>4774.1403439858759</v>
      </c>
      <c r="Q19" s="33"/>
      <c r="R19" s="33">
        <v>1706</v>
      </c>
      <c r="S19" s="33">
        <v>2090</v>
      </c>
      <c r="T19" s="33">
        <v>2293</v>
      </c>
      <c r="U19" s="25">
        <f>G19-SUM(R19:T19)</f>
        <v>2350</v>
      </c>
      <c r="V19" s="33"/>
      <c r="W19" s="33">
        <v>1686</v>
      </c>
      <c r="X19" s="33">
        <v>214</v>
      </c>
      <c r="Y19" s="33">
        <v>17</v>
      </c>
      <c r="Z19" s="33">
        <v>371</v>
      </c>
      <c r="AA19" s="33"/>
      <c r="AB19" s="33">
        <v>22</v>
      </c>
      <c r="AC19" s="33">
        <v>-161</v>
      </c>
      <c r="AD19" s="33">
        <v>71</v>
      </c>
      <c r="AE19" s="33">
        <v>78</v>
      </c>
      <c r="AF19" s="33"/>
      <c r="AG19" s="33">
        <v>482</v>
      </c>
      <c r="AH19" s="64">
        <v>500</v>
      </c>
      <c r="AI19" s="33">
        <v>276</v>
      </c>
      <c r="AJ19" s="64">
        <v>350</v>
      </c>
      <c r="AK19" s="64">
        <v>400</v>
      </c>
    </row>
    <row r="20" spans="1:37" s="1" customFormat="1" x14ac:dyDescent="0.2">
      <c r="A20" s="24" t="s">
        <v>3</v>
      </c>
      <c r="B20" s="24"/>
      <c r="C20" s="24"/>
      <c r="D20" s="24"/>
      <c r="E20" s="33"/>
      <c r="F20" s="33">
        <v>846</v>
      </c>
      <c r="G20" s="33">
        <v>1711</v>
      </c>
      <c r="H20" s="33">
        <v>1033</v>
      </c>
      <c r="I20" s="33">
        <v>-482</v>
      </c>
      <c r="J20" s="59">
        <f t="shared" si="46"/>
        <v>688</v>
      </c>
      <c r="K20" s="64">
        <f>K9*K103</f>
        <v>810.71205279610979</v>
      </c>
      <c r="L20" s="64">
        <f t="shared" ref="L20:P20" si="47">L9*L103</f>
        <v>979.72490448072244</v>
      </c>
      <c r="M20" s="64">
        <f t="shared" si="47"/>
        <v>1163.0282737061477</v>
      </c>
      <c r="N20" s="64">
        <f t="shared" si="47"/>
        <v>1379.2788433483845</v>
      </c>
      <c r="O20" s="64">
        <f t="shared" si="47"/>
        <v>1634.2364477249041</v>
      </c>
      <c r="P20" s="64">
        <f t="shared" si="47"/>
        <v>1934.6475594390406</v>
      </c>
      <c r="Q20" s="33"/>
      <c r="R20" s="33">
        <v>243</v>
      </c>
      <c r="S20" s="33">
        <v>605</v>
      </c>
      <c r="T20" s="33">
        <v>511</v>
      </c>
      <c r="U20" s="25">
        <f>G20-SUM(R20:T20)</f>
        <v>352</v>
      </c>
      <c r="V20" s="33"/>
      <c r="W20" s="33">
        <v>366</v>
      </c>
      <c r="X20" s="33">
        <v>241</v>
      </c>
      <c r="Y20" s="33">
        <v>75</v>
      </c>
      <c r="Z20" s="33">
        <v>58</v>
      </c>
      <c r="AA20" s="33"/>
      <c r="AB20" s="33">
        <v>-69</v>
      </c>
      <c r="AC20" s="33">
        <v>-187</v>
      </c>
      <c r="AD20" s="33">
        <v>17</v>
      </c>
      <c r="AE20" s="33">
        <v>-12</v>
      </c>
      <c r="AF20" s="33"/>
      <c r="AG20" s="33">
        <v>184</v>
      </c>
      <c r="AH20" s="64">
        <v>190</v>
      </c>
      <c r="AI20" s="33">
        <v>139</v>
      </c>
      <c r="AJ20" s="64">
        <v>175</v>
      </c>
      <c r="AK20" s="64">
        <v>190</v>
      </c>
    </row>
    <row r="21" spans="1:37" s="1" customFormat="1" x14ac:dyDescent="0.2">
      <c r="A21" s="24" t="s">
        <v>5</v>
      </c>
      <c r="B21" s="24"/>
      <c r="C21" s="24">
        <v>-28</v>
      </c>
      <c r="D21" s="24">
        <v>143</v>
      </c>
      <c r="E21" s="33">
        <v>245</v>
      </c>
      <c r="F21" s="33">
        <v>323</v>
      </c>
      <c r="G21" s="33">
        <v>554</v>
      </c>
      <c r="H21" s="33">
        <v>690</v>
      </c>
      <c r="I21" s="33">
        <v>664</v>
      </c>
      <c r="J21" s="59">
        <f t="shared" si="46"/>
        <v>179</v>
      </c>
      <c r="K21" s="64">
        <f>K11*0.3</f>
        <v>480</v>
      </c>
      <c r="L21" s="64">
        <f>L11*0.31</f>
        <v>589</v>
      </c>
      <c r="M21" s="64">
        <f>M11*0.32</f>
        <v>736</v>
      </c>
      <c r="N21" s="64">
        <f>N11*0.33</f>
        <v>825</v>
      </c>
      <c r="O21" s="64">
        <f>O11*0.34</f>
        <v>918.00000000000011</v>
      </c>
      <c r="P21" s="64">
        <f>P11*0.35</f>
        <v>1014.9999999999999</v>
      </c>
      <c r="Q21" s="33"/>
      <c r="R21" s="33">
        <v>171</v>
      </c>
      <c r="S21" s="33">
        <v>133</v>
      </c>
      <c r="T21" s="33">
        <v>127</v>
      </c>
      <c r="U21" s="25">
        <f>G21-SUM(R21:T21)</f>
        <v>123</v>
      </c>
      <c r="V21" s="33"/>
      <c r="W21" s="33">
        <v>148</v>
      </c>
      <c r="X21" s="33">
        <v>190</v>
      </c>
      <c r="Y21" s="33">
        <v>142</v>
      </c>
      <c r="Z21" s="33">
        <v>210</v>
      </c>
      <c r="AA21" s="33"/>
      <c r="AB21" s="33">
        <v>123</v>
      </c>
      <c r="AC21" s="33">
        <v>129</v>
      </c>
      <c r="AD21" s="33">
        <v>170</v>
      </c>
      <c r="AE21" s="33">
        <v>242</v>
      </c>
      <c r="AF21" s="33"/>
      <c r="AG21" s="33">
        <v>-68</v>
      </c>
      <c r="AH21" s="64">
        <v>0</v>
      </c>
      <c r="AI21" s="33">
        <v>72</v>
      </c>
      <c r="AJ21" s="64">
        <v>85</v>
      </c>
      <c r="AK21" s="64">
        <v>90</v>
      </c>
    </row>
    <row r="22" spans="1:37" s="1" customFormat="1" x14ac:dyDescent="0.2">
      <c r="A22" s="24" t="s">
        <v>4</v>
      </c>
      <c r="B22" s="24"/>
      <c r="C22" s="24"/>
      <c r="D22" s="24"/>
      <c r="E22" s="33"/>
      <c r="F22" s="33">
        <v>45</v>
      </c>
      <c r="G22" s="33">
        <v>-23</v>
      </c>
      <c r="H22" s="33">
        <v>-281</v>
      </c>
      <c r="I22" s="33">
        <v>-482</v>
      </c>
      <c r="J22" s="59">
        <f>AG22+SUM(AI22:AK22)</f>
        <v>-10604</v>
      </c>
      <c r="K22" s="64">
        <v>-7000</v>
      </c>
      <c r="L22" s="64">
        <v>-3500</v>
      </c>
      <c r="M22" s="64">
        <v>-1000</v>
      </c>
      <c r="N22" s="64">
        <v>0</v>
      </c>
      <c r="O22" s="64">
        <f>O12*0.25</f>
        <v>3197.9093420336321</v>
      </c>
      <c r="P22" s="64">
        <f>P12*0.27</f>
        <v>4050.0000000000005</v>
      </c>
      <c r="Q22" s="33"/>
      <c r="R22" s="33">
        <v>-34</v>
      </c>
      <c r="S22" s="33">
        <v>52</v>
      </c>
      <c r="T22" s="33">
        <v>-44</v>
      </c>
      <c r="U22" s="25">
        <f>G22-SUM(R22:T22)</f>
        <v>3</v>
      </c>
      <c r="V22" s="33"/>
      <c r="W22" s="33">
        <v>-31</v>
      </c>
      <c r="X22" s="33">
        <v>-155</v>
      </c>
      <c r="Y22" s="33">
        <v>-103</v>
      </c>
      <c r="Z22" s="33">
        <v>-31</v>
      </c>
      <c r="AA22" s="33"/>
      <c r="AB22" s="33">
        <v>-2360</v>
      </c>
      <c r="AC22" s="33">
        <v>-143</v>
      </c>
      <c r="AD22" s="33">
        <v>-86</v>
      </c>
      <c r="AE22" s="33">
        <v>-113</v>
      </c>
      <c r="AF22" s="33"/>
      <c r="AG22" s="33">
        <v>-2474</v>
      </c>
      <c r="AH22" s="64">
        <v>-2500</v>
      </c>
      <c r="AI22" s="33">
        <v>-2830</v>
      </c>
      <c r="AJ22" s="64">
        <v>-2700</v>
      </c>
      <c r="AK22" s="64">
        <v>-2600</v>
      </c>
    </row>
    <row r="23" spans="1:37" s="1" customFormat="1" x14ac:dyDescent="0.2">
      <c r="A23" s="24" t="s">
        <v>28</v>
      </c>
      <c r="B23" s="24"/>
      <c r="C23" s="24"/>
      <c r="D23" s="24"/>
      <c r="E23" s="33"/>
      <c r="F23" s="33"/>
      <c r="G23" s="33"/>
      <c r="H23" s="33"/>
      <c r="I23" s="33"/>
      <c r="J23" s="59">
        <f t="shared" si="46"/>
        <v>-4</v>
      </c>
      <c r="K23" s="64">
        <v>200</v>
      </c>
      <c r="L23" s="64">
        <v>300</v>
      </c>
      <c r="M23" s="64">
        <v>400</v>
      </c>
      <c r="N23" s="64">
        <v>500</v>
      </c>
      <c r="O23" s="64">
        <v>600</v>
      </c>
      <c r="P23" s="64">
        <v>700</v>
      </c>
      <c r="Q23" s="33"/>
      <c r="R23" s="33"/>
      <c r="S23" s="33"/>
      <c r="T23" s="33"/>
      <c r="U23" s="25"/>
      <c r="V23" s="33"/>
      <c r="W23" s="33"/>
      <c r="X23" s="33"/>
      <c r="Y23" s="33"/>
      <c r="Z23" s="33"/>
      <c r="AA23" s="33"/>
      <c r="AB23" s="33">
        <v>290</v>
      </c>
      <c r="AC23" s="33"/>
      <c r="AD23" s="33"/>
      <c r="AE23" s="33"/>
      <c r="AF23" s="33"/>
      <c r="AG23" s="33">
        <v>-39</v>
      </c>
      <c r="AH23" s="64">
        <v>0</v>
      </c>
      <c r="AI23" s="33">
        <v>-25</v>
      </c>
      <c r="AJ23" s="64">
        <v>10</v>
      </c>
      <c r="AK23" s="64">
        <v>50</v>
      </c>
    </row>
    <row r="24" spans="1:37" s="1" customFormat="1" x14ac:dyDescent="0.2">
      <c r="A24" s="24" t="s">
        <v>8</v>
      </c>
      <c r="B24" s="24"/>
      <c r="C24" s="24"/>
      <c r="D24" s="24"/>
      <c r="E24" s="33"/>
      <c r="F24" s="33">
        <f>-4009-403</f>
        <v>-4412</v>
      </c>
      <c r="G24" s="33">
        <f>-5722-1207</f>
        <v>-6929</v>
      </c>
      <c r="H24" s="33">
        <v>-5977</v>
      </c>
      <c r="I24" s="33">
        <v>-5597</v>
      </c>
      <c r="J24" s="59">
        <f t="shared" si="46"/>
        <v>-5798</v>
      </c>
      <c r="K24" s="64"/>
      <c r="L24" s="64"/>
      <c r="M24" s="64"/>
      <c r="N24" s="64"/>
      <c r="O24" s="64"/>
      <c r="P24" s="64"/>
      <c r="Q24" s="33"/>
      <c r="R24" s="33">
        <f>-2504-176</f>
        <v>-2680</v>
      </c>
      <c r="S24" s="33">
        <f>-1195-168</f>
        <v>-1363</v>
      </c>
      <c r="T24" s="33">
        <f>-1030-222</f>
        <v>-1252</v>
      </c>
      <c r="U24" s="25">
        <f>G24-SUM(R24:T24)</f>
        <v>-1634</v>
      </c>
      <c r="V24" s="33"/>
      <c r="W24" s="33">
        <f>-265-390</f>
        <v>-655</v>
      </c>
      <c r="X24" s="33">
        <f>-1768-507</f>
        <v>-2275</v>
      </c>
      <c r="Y24" s="33">
        <f>-1583-378</f>
        <v>-1961</v>
      </c>
      <c r="Z24" s="33">
        <f>-1998-441</f>
        <v>-2439</v>
      </c>
      <c r="AA24" s="33"/>
      <c r="AB24" s="33">
        <v>-66</v>
      </c>
      <c r="AC24" s="33">
        <f>-1693</f>
        <v>-1693</v>
      </c>
      <c r="AD24" s="33">
        <v>-2253</v>
      </c>
      <c r="AE24" s="33">
        <f>-498</f>
        <v>-498</v>
      </c>
      <c r="AF24" s="33"/>
      <c r="AG24" s="33">
        <v>-105</v>
      </c>
      <c r="AH24" s="64">
        <v>-1500</v>
      </c>
      <c r="AI24" s="33">
        <f>-82-291-1720</f>
        <v>-2093</v>
      </c>
      <c r="AJ24" s="64">
        <v>-1800</v>
      </c>
      <c r="AK24" s="64">
        <v>-1800</v>
      </c>
    </row>
    <row r="25" spans="1:37" s="5" customFormat="1" x14ac:dyDescent="0.2">
      <c r="A25" s="28" t="s">
        <v>47</v>
      </c>
      <c r="B25" s="28">
        <f t="shared" ref="B25:J25" si="48">SUM(B19:B24)+B18</f>
        <v>0</v>
      </c>
      <c r="C25" s="28">
        <f t="shared" si="48"/>
        <v>21286</v>
      </c>
      <c r="D25" s="28">
        <f t="shared" si="48"/>
        <v>25841</v>
      </c>
      <c r="E25" s="34">
        <f t="shared" si="48"/>
        <v>25764</v>
      </c>
      <c r="F25" s="34">
        <f t="shared" si="48"/>
        <v>23678</v>
      </c>
      <c r="G25" s="34">
        <f t="shared" si="48"/>
        <v>19456</v>
      </c>
      <c r="H25" s="34">
        <f t="shared" si="48"/>
        <v>2334</v>
      </c>
      <c r="I25" s="34">
        <f t="shared" si="48"/>
        <v>93</v>
      </c>
      <c r="J25" s="65">
        <f t="shared" si="48"/>
        <v>-3089</v>
      </c>
      <c r="K25" s="65">
        <f t="shared" ref="K25" si="49">SUM(K19:K24)+K18</f>
        <v>9665.102452796109</v>
      </c>
      <c r="L25" s="65">
        <f t="shared" ref="L25" si="50">SUM(L19:L24)+L18</f>
        <v>14731.969776480724</v>
      </c>
      <c r="M25" s="65">
        <f t="shared" ref="M25" si="51">SUM(M19:M24)+M18</f>
        <v>18911.34852650615</v>
      </c>
      <c r="N25" s="65">
        <f t="shared" ref="N25" si="52">SUM(N19:N24)+N18</f>
        <v>21628.716337949991</v>
      </c>
      <c r="O25" s="65">
        <f t="shared" ref="O25" si="53">SUM(O19:O24)+O18</f>
        <v>26458.375405016013</v>
      </c>
      <c r="P25" s="65">
        <f t="shared" ref="P25" si="54">SUM(P19:P24)+P18</f>
        <v>28873.787903424916</v>
      </c>
      <c r="Q25" s="34"/>
      <c r="R25" s="34">
        <f>SUM(R19:R24)+R18</f>
        <v>3694</v>
      </c>
      <c r="S25" s="34">
        <f>SUM(S19:S24)+S18</f>
        <v>5546</v>
      </c>
      <c r="T25" s="34">
        <f>SUM(T19:T24)+T18</f>
        <v>5227</v>
      </c>
      <c r="U25" s="34">
        <f>SUM(U19:U24)+U18</f>
        <v>4989</v>
      </c>
      <c r="V25" s="34"/>
      <c r="W25" s="34">
        <f>SUM(W19:W24)+W18</f>
        <v>4341</v>
      </c>
      <c r="X25" s="34">
        <f>SUM(X19:X24)+X18</f>
        <v>-700</v>
      </c>
      <c r="Y25" s="34">
        <f>SUM(Y19:Y24)+Y18</f>
        <v>-175</v>
      </c>
      <c r="Z25" s="34">
        <f>SUM(Z19:Z24)+Z18</f>
        <v>-1132</v>
      </c>
      <c r="AA25" s="34"/>
      <c r="AB25" s="34">
        <f t="shared" ref="AB25:AC25" si="55">SUM(AB19:AB24)+AB18</f>
        <v>-880</v>
      </c>
      <c r="AC25" s="34">
        <f t="shared" si="55"/>
        <v>-1016</v>
      </c>
      <c r="AD25" s="34">
        <f>SUM(AD19:AD24)+AD18</f>
        <v>-8</v>
      </c>
      <c r="AE25" s="34">
        <f>SUM(AE19:AE24)+AE18</f>
        <v>2585</v>
      </c>
      <c r="AF25" s="34"/>
      <c r="AG25" s="34">
        <f t="shared" ref="AG25" si="56">SUM(AG19:AG24)+AG18</f>
        <v>625</v>
      </c>
      <c r="AH25" s="65">
        <f t="shared" ref="AH25" si="57">SUM(AH19:AH24)+AH18</f>
        <v>-610</v>
      </c>
      <c r="AI25" s="34">
        <f>SUM(AI18:AI24)</f>
        <v>-1964</v>
      </c>
      <c r="AJ25" s="65">
        <f t="shared" ref="AJ25" si="58">SUM(AJ19:AJ24)+AJ18</f>
        <v>-1080</v>
      </c>
      <c r="AK25" s="65">
        <f>SUM(AK19:AK24)+AK18</f>
        <v>-670</v>
      </c>
    </row>
    <row r="26" spans="1:37" x14ac:dyDescent="0.2">
      <c r="A26" s="24"/>
      <c r="B26" s="24"/>
      <c r="C26" s="25"/>
      <c r="D26" s="25"/>
      <c r="E26" s="25"/>
      <c r="F26" s="25"/>
      <c r="G26" s="27"/>
      <c r="H26" s="27"/>
      <c r="I26" s="27"/>
      <c r="J26" s="57"/>
      <c r="K26" s="56"/>
      <c r="L26" s="56"/>
      <c r="M26" s="56"/>
      <c r="N26" s="56"/>
      <c r="O26" s="56"/>
      <c r="P26" s="56"/>
      <c r="R26" s="27"/>
      <c r="S26" s="23"/>
      <c r="T26" s="23"/>
      <c r="U26" s="23"/>
      <c r="V26" s="23"/>
      <c r="W26" s="25"/>
      <c r="X26" s="25"/>
      <c r="Y26" s="25"/>
      <c r="Z26" s="27"/>
      <c r="AA26" s="25"/>
      <c r="AB26" s="27"/>
      <c r="AC26" s="25"/>
      <c r="AD26" s="25"/>
      <c r="AE26" s="27"/>
      <c r="AF26" s="25"/>
      <c r="AG26" s="27"/>
      <c r="AH26" s="57"/>
      <c r="AI26" s="25"/>
      <c r="AJ26" s="57"/>
      <c r="AK26" s="57"/>
    </row>
    <row r="27" spans="1:37" x14ac:dyDescent="0.2">
      <c r="A27" s="35" t="s">
        <v>48</v>
      </c>
      <c r="B27" s="24"/>
      <c r="C27" s="25"/>
      <c r="D27" s="25"/>
      <c r="E27" s="25"/>
      <c r="F27" s="25">
        <v>-637</v>
      </c>
      <c r="G27" s="27">
        <v>-675</v>
      </c>
      <c r="H27" s="27"/>
      <c r="I27" s="27"/>
      <c r="J27" s="59">
        <f>AG27+SUM(AI27:AK27)</f>
        <v>-11057</v>
      </c>
      <c r="K27" s="56"/>
      <c r="L27" s="56"/>
      <c r="M27" s="56"/>
      <c r="N27" s="56"/>
      <c r="O27" s="56"/>
      <c r="P27" s="56"/>
      <c r="Q27" s="27"/>
      <c r="R27" s="27">
        <f>-174</f>
        <v>-174</v>
      </c>
      <c r="S27" s="23">
        <v>-171</v>
      </c>
      <c r="T27" s="23">
        <f>-164</f>
        <v>-164</v>
      </c>
      <c r="U27" s="25">
        <f>G27-SUM(R27:T27)</f>
        <v>-166</v>
      </c>
      <c r="V27" s="23"/>
      <c r="W27" s="25">
        <v>-151</v>
      </c>
      <c r="X27" s="25">
        <v>-126</v>
      </c>
      <c r="Y27" s="25">
        <v>-134</v>
      </c>
      <c r="Z27" s="27">
        <v>-109</v>
      </c>
      <c r="AA27" s="25"/>
      <c r="AB27" s="27"/>
      <c r="AC27" s="25"/>
      <c r="AD27" s="25"/>
      <c r="AE27" s="27"/>
      <c r="AF27" s="25"/>
      <c r="AG27" s="27">
        <v>-4353</v>
      </c>
      <c r="AH27" s="59">
        <v>-1000</v>
      </c>
      <c r="AI27" s="27">
        <v>-4254</v>
      </c>
      <c r="AJ27" s="59">
        <v>-1200</v>
      </c>
      <c r="AK27" s="59">
        <v>-1250</v>
      </c>
    </row>
    <row r="28" spans="1:37" x14ac:dyDescent="0.2">
      <c r="A28" s="11" t="s">
        <v>44</v>
      </c>
      <c r="B28" s="11"/>
      <c r="C28" s="12"/>
      <c r="D28" s="12">
        <v>70848</v>
      </c>
      <c r="E28" s="12">
        <v>71965</v>
      </c>
      <c r="F28" s="12">
        <f t="shared" ref="F28:K28" si="59">F16+F27</f>
        <v>77867</v>
      </c>
      <c r="G28" s="12">
        <f t="shared" si="59"/>
        <v>79024</v>
      </c>
      <c r="H28" s="12">
        <f t="shared" si="59"/>
        <v>63054</v>
      </c>
      <c r="I28" s="12">
        <f t="shared" si="59"/>
        <v>54228</v>
      </c>
      <c r="J28" s="66">
        <f t="shared" si="59"/>
        <v>54350</v>
      </c>
      <c r="K28" s="66">
        <f t="shared" si="59"/>
        <v>67634.34</v>
      </c>
      <c r="L28" s="66">
        <f t="shared" ref="L28:P28" si="60">L16+L27</f>
        <v>70951.441200000001</v>
      </c>
      <c r="M28" s="66">
        <f t="shared" si="60"/>
        <v>74363.46100000001</v>
      </c>
      <c r="N28" s="66">
        <f t="shared" si="60"/>
        <v>77674.800835040005</v>
      </c>
      <c r="O28" s="66">
        <f t="shared" si="60"/>
        <v>81256.946859516946</v>
      </c>
      <c r="P28" s="66">
        <f t="shared" si="60"/>
        <v>85813.801146619589</v>
      </c>
      <c r="Q28" s="7"/>
      <c r="R28" s="12">
        <f>R16+R27</f>
        <v>37135.131043257003</v>
      </c>
      <c r="S28" s="12">
        <f>S16+S27</f>
        <v>37536.335877862599</v>
      </c>
      <c r="T28" s="12">
        <f>T16+T27</f>
        <v>36744.221374045803</v>
      </c>
      <c r="U28" s="12">
        <f>U16+U27</f>
        <v>39343.311704834603</v>
      </c>
      <c r="V28" s="7"/>
      <c r="W28" s="12">
        <f>W16+W27</f>
        <v>18353.316201117319</v>
      </c>
      <c r="X28" s="12">
        <f>X16+X27</f>
        <v>15321.155216284988</v>
      </c>
      <c r="Y28" s="12">
        <f>Y16+Y27</f>
        <v>15338.217557251908</v>
      </c>
      <c r="Z28" s="12">
        <v>14042</v>
      </c>
      <c r="AA28" s="7"/>
      <c r="AB28" s="12">
        <f>SUM(AB8:AB15)+AB4</f>
        <v>22689.123949579833</v>
      </c>
      <c r="AC28" s="12">
        <v>12949</v>
      </c>
      <c r="AD28" s="12">
        <v>14158</v>
      </c>
      <c r="AE28" s="12">
        <v>15406</v>
      </c>
      <c r="AF28" s="7"/>
      <c r="AG28" s="12">
        <f>AG16+AG27</f>
        <v>12724.455626238399</v>
      </c>
      <c r="AH28" s="66">
        <f>AH16+AH27</f>
        <v>13050.070559181513</v>
      </c>
      <c r="AI28" s="12">
        <f>AI16+AI27</f>
        <v>12833.450516216497</v>
      </c>
      <c r="AJ28" s="66">
        <f>AJ16+AJ27</f>
        <v>14048.041714464491</v>
      </c>
      <c r="AK28" s="66">
        <f>AK16+AK27</f>
        <v>14745.052143080613</v>
      </c>
    </row>
    <row r="29" spans="1:37" x14ac:dyDescent="0.2">
      <c r="A29" s="35" t="s">
        <v>10</v>
      </c>
      <c r="B29" s="35"/>
      <c r="C29" s="25"/>
      <c r="D29" s="25">
        <v>27111</v>
      </c>
      <c r="E29" s="25">
        <v>29825</v>
      </c>
      <c r="F29" s="25">
        <v>34255</v>
      </c>
      <c r="G29" s="25">
        <v>35209</v>
      </c>
      <c r="H29" s="25">
        <v>36188</v>
      </c>
      <c r="I29" s="27">
        <v>32517</v>
      </c>
      <c r="J29" s="59">
        <f t="shared" ref="J29:J35" si="61">AG29+SUM(AI29:AK29)</f>
        <v>33843</v>
      </c>
      <c r="K29" s="67">
        <v>34500</v>
      </c>
      <c r="L29" s="67">
        <v>35500</v>
      </c>
      <c r="M29" s="67">
        <v>36000</v>
      </c>
      <c r="N29" s="68">
        <v>36100</v>
      </c>
      <c r="O29" s="68">
        <v>36800</v>
      </c>
      <c r="P29" s="67">
        <v>37000</v>
      </c>
      <c r="Q29" s="27"/>
      <c r="R29" s="27">
        <v>8819</v>
      </c>
      <c r="S29" s="27">
        <v>8425</v>
      </c>
      <c r="T29" s="27">
        <v>8446</v>
      </c>
      <c r="U29" s="25">
        <f>G29-SUM(R29:T29)</f>
        <v>9519</v>
      </c>
      <c r="V29" s="23"/>
      <c r="W29" s="25">
        <v>9109</v>
      </c>
      <c r="X29" s="25">
        <v>9734</v>
      </c>
      <c r="Y29" s="25">
        <v>8803</v>
      </c>
      <c r="Z29" s="25">
        <v>8542</v>
      </c>
      <c r="AA29" s="25"/>
      <c r="AB29" s="27">
        <v>7707</v>
      </c>
      <c r="AC29" s="25">
        <v>8311</v>
      </c>
      <c r="AD29" s="25">
        <v>8140</v>
      </c>
      <c r="AE29" s="27">
        <v>8359</v>
      </c>
      <c r="AF29" s="25"/>
      <c r="AG29" s="27">
        <v>7507</v>
      </c>
      <c r="AH29" s="57">
        <v>7600</v>
      </c>
      <c r="AI29" s="25">
        <v>8286</v>
      </c>
      <c r="AJ29" s="57">
        <v>8950</v>
      </c>
      <c r="AK29" s="57">
        <v>9100</v>
      </c>
    </row>
    <row r="30" spans="1:37" x14ac:dyDescent="0.2">
      <c r="A30" s="11" t="s">
        <v>12</v>
      </c>
      <c r="B30" s="11"/>
      <c r="C30" s="12"/>
      <c r="D30" s="12">
        <f t="shared" ref="D30:F30" si="62">D28-D29</f>
        <v>43737</v>
      </c>
      <c r="E30" s="12">
        <f t="shared" si="62"/>
        <v>42140</v>
      </c>
      <c r="F30" s="12">
        <f t="shared" si="62"/>
        <v>43612</v>
      </c>
      <c r="G30" s="12">
        <f>G28-G29</f>
        <v>43815</v>
      </c>
      <c r="H30" s="12">
        <f t="shared" ref="H30:P30" si="63">H28-H29</f>
        <v>26866</v>
      </c>
      <c r="I30" s="12">
        <f t="shared" si="63"/>
        <v>21711</v>
      </c>
      <c r="J30" s="136">
        <f t="shared" si="61"/>
        <v>20508</v>
      </c>
      <c r="K30" s="66">
        <f t="shared" si="63"/>
        <v>33134.339999999997</v>
      </c>
      <c r="L30" s="66">
        <f t="shared" si="63"/>
        <v>35451.441200000001</v>
      </c>
      <c r="M30" s="66">
        <f t="shared" si="63"/>
        <v>38363.46100000001</v>
      </c>
      <c r="N30" s="66">
        <f t="shared" si="63"/>
        <v>41574.800835040005</v>
      </c>
      <c r="O30" s="66">
        <f t="shared" si="63"/>
        <v>44456.946859516946</v>
      </c>
      <c r="P30" s="66">
        <f t="shared" si="63"/>
        <v>48813.801146619589</v>
      </c>
      <c r="Q30" s="25"/>
      <c r="R30" s="12">
        <f>R28-R29</f>
        <v>28316.131043257003</v>
      </c>
      <c r="S30" s="12">
        <f>S28-S29</f>
        <v>29111.335877862599</v>
      </c>
      <c r="T30" s="12">
        <f>T28-T29</f>
        <v>28298.221374045803</v>
      </c>
      <c r="U30" s="12">
        <f>U28-U29</f>
        <v>29824.311704834603</v>
      </c>
      <c r="V30" s="25"/>
      <c r="W30" s="12">
        <f>W28-W29</f>
        <v>9244.316201117319</v>
      </c>
      <c r="X30" s="12">
        <f t="shared" ref="X30" si="64">X28-X29</f>
        <v>5587.1552162849875</v>
      </c>
      <c r="Y30" s="12">
        <f t="shared" ref="Y30" si="65">Y28-Y29</f>
        <v>6535.2175572519081</v>
      </c>
      <c r="Z30" s="12">
        <f t="shared" ref="Z30" si="66">Z28-Z29</f>
        <v>5500</v>
      </c>
      <c r="AA30" s="25"/>
      <c r="AB30" s="12">
        <f>AB28-AB29</f>
        <v>14982.123949579833</v>
      </c>
      <c r="AC30" s="12">
        <f t="shared" ref="AC30:AE30" si="67">AC28-AC29</f>
        <v>4638</v>
      </c>
      <c r="AD30" s="12">
        <f t="shared" si="67"/>
        <v>6018</v>
      </c>
      <c r="AE30" s="12">
        <f t="shared" si="67"/>
        <v>7047</v>
      </c>
      <c r="AF30" s="25"/>
      <c r="AG30" s="12">
        <f>AG28-AG29</f>
        <v>5217.4556262383994</v>
      </c>
      <c r="AH30" s="12">
        <f t="shared" ref="AH30" si="68">AH28-AH29</f>
        <v>5450.0705591815131</v>
      </c>
      <c r="AI30" s="12">
        <f>AI28-AI29</f>
        <v>4547.4505162164969</v>
      </c>
      <c r="AJ30" s="12">
        <f t="shared" ref="AJ30" si="69">AJ28-AJ29</f>
        <v>5098.0417144644907</v>
      </c>
      <c r="AK30" s="12">
        <f t="shared" ref="AK30" si="70">AK28-AK29</f>
        <v>5645.052143080613</v>
      </c>
    </row>
    <row r="31" spans="1:37" x14ac:dyDescent="0.2">
      <c r="A31" s="22" t="s">
        <v>16</v>
      </c>
      <c r="B31" s="22"/>
      <c r="C31" s="25"/>
      <c r="D31" s="25"/>
      <c r="E31" s="25"/>
      <c r="F31" s="25"/>
      <c r="G31" s="25"/>
      <c r="H31" s="25"/>
      <c r="I31" s="25"/>
      <c r="J31" s="59">
        <f t="shared" si="61"/>
        <v>0</v>
      </c>
      <c r="K31" s="56"/>
      <c r="L31" s="56"/>
      <c r="M31" s="56"/>
      <c r="N31" s="56"/>
      <c r="O31" s="56"/>
      <c r="P31" s="56"/>
      <c r="Q31" s="32"/>
      <c r="R31" s="25"/>
      <c r="S31" s="23"/>
      <c r="T31" s="23"/>
      <c r="U31" s="23"/>
      <c r="V31" s="23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57"/>
      <c r="AI31" s="25"/>
      <c r="AJ31" s="57"/>
      <c r="AK31" s="57"/>
    </row>
    <row r="32" spans="1:37" x14ac:dyDescent="0.2">
      <c r="A32" s="24" t="s">
        <v>13</v>
      </c>
      <c r="B32" s="24"/>
      <c r="C32" s="25"/>
      <c r="D32" s="25">
        <v>13543</v>
      </c>
      <c r="E32" s="25">
        <v>13362</v>
      </c>
      <c r="F32" s="25">
        <v>13556</v>
      </c>
      <c r="G32" s="25">
        <v>15190</v>
      </c>
      <c r="H32" s="25">
        <v>17528</v>
      </c>
      <c r="I32" s="27">
        <v>16046</v>
      </c>
      <c r="J32" s="59">
        <f t="shared" si="61"/>
        <v>16821</v>
      </c>
      <c r="K32" s="116">
        <v>18000</v>
      </c>
      <c r="L32" s="116">
        <f t="shared" ref="L32:P32" si="71">K32*(1.05)</f>
        <v>18900</v>
      </c>
      <c r="M32" s="116">
        <f t="shared" si="71"/>
        <v>19845</v>
      </c>
      <c r="N32" s="116">
        <f t="shared" si="71"/>
        <v>20837.25</v>
      </c>
      <c r="O32" s="116">
        <f t="shared" si="71"/>
        <v>21879.112499999999</v>
      </c>
      <c r="P32" s="116">
        <f t="shared" si="71"/>
        <v>22973.068125000002</v>
      </c>
      <c r="Q32" s="27"/>
      <c r="R32" s="27">
        <v>3623</v>
      </c>
      <c r="S32" s="27">
        <v>3715</v>
      </c>
      <c r="T32" s="27">
        <v>3803</v>
      </c>
      <c r="U32" s="25">
        <f>G32-SUM(R32:T32)</f>
        <v>4049</v>
      </c>
      <c r="V32" s="23"/>
      <c r="W32" s="25">
        <v>4362</v>
      </c>
      <c r="X32" s="25">
        <v>4400</v>
      </c>
      <c r="Y32" s="25">
        <v>4302</v>
      </c>
      <c r="Z32" s="25">
        <v>4464</v>
      </c>
      <c r="AA32" s="25"/>
      <c r="AB32" s="25">
        <v>4109</v>
      </c>
      <c r="AC32" s="25">
        <v>4080</v>
      </c>
      <c r="AD32" s="25">
        <v>3870</v>
      </c>
      <c r="AE32" s="25">
        <v>3987</v>
      </c>
      <c r="AF32" s="25"/>
      <c r="AG32" s="25">
        <v>4382</v>
      </c>
      <c r="AH32" s="57">
        <v>4200</v>
      </c>
      <c r="AI32" s="25">
        <v>4239</v>
      </c>
      <c r="AJ32" s="57">
        <v>4050</v>
      </c>
      <c r="AK32" s="57">
        <v>4150</v>
      </c>
    </row>
    <row r="33" spans="1:39" x14ac:dyDescent="0.2">
      <c r="A33" s="24" t="s">
        <v>14</v>
      </c>
      <c r="B33" s="24"/>
      <c r="C33" s="25"/>
      <c r="D33" s="25">
        <v>6950</v>
      </c>
      <c r="E33" s="25">
        <v>6350</v>
      </c>
      <c r="F33" s="25">
        <v>6180</v>
      </c>
      <c r="G33" s="25">
        <v>6543</v>
      </c>
      <c r="H33" s="25">
        <v>7002</v>
      </c>
      <c r="I33" s="27">
        <v>5634</v>
      </c>
      <c r="J33" s="59">
        <f t="shared" si="61"/>
        <v>5685</v>
      </c>
      <c r="K33" s="116">
        <v>7500</v>
      </c>
      <c r="L33" s="116">
        <f t="shared" ref="L33:P33" si="72">K33*(1.04)</f>
        <v>7800</v>
      </c>
      <c r="M33" s="116">
        <f t="shared" si="72"/>
        <v>8112</v>
      </c>
      <c r="N33" s="116">
        <f t="shared" si="72"/>
        <v>8436.48</v>
      </c>
      <c r="O33" s="116">
        <f t="shared" si="72"/>
        <v>8773.9392000000007</v>
      </c>
      <c r="P33" s="116">
        <f t="shared" si="72"/>
        <v>9124.8967680000005</v>
      </c>
      <c r="Q33" s="27"/>
      <c r="R33" s="27">
        <v>1328</v>
      </c>
      <c r="S33" s="27">
        <v>1599</v>
      </c>
      <c r="T33" s="27">
        <v>1674</v>
      </c>
      <c r="U33" s="25">
        <f>G33-SUM(R33:T33)</f>
        <v>1942</v>
      </c>
      <c r="V33" s="23"/>
      <c r="W33" s="25">
        <v>1752</v>
      </c>
      <c r="X33" s="25">
        <v>1800</v>
      </c>
      <c r="Y33" s="25">
        <v>1744</v>
      </c>
      <c r="Z33" s="25">
        <v>1706</v>
      </c>
      <c r="AA33" s="25"/>
      <c r="AB33" s="25">
        <v>1303</v>
      </c>
      <c r="AC33" s="25">
        <v>1374</v>
      </c>
      <c r="AD33" s="25">
        <v>1340</v>
      </c>
      <c r="AE33" s="25">
        <v>1617</v>
      </c>
      <c r="AF33" s="25"/>
      <c r="AG33" s="25">
        <v>1556</v>
      </c>
      <c r="AH33" s="57">
        <v>1500</v>
      </c>
      <c r="AI33" s="25">
        <v>1329</v>
      </c>
      <c r="AJ33" s="57">
        <v>1400</v>
      </c>
      <c r="AK33" s="57">
        <v>1400</v>
      </c>
    </row>
    <row r="34" spans="1:39" x14ac:dyDescent="0.2">
      <c r="A34" s="24" t="s">
        <v>15</v>
      </c>
      <c r="B34" s="24"/>
      <c r="C34" s="25"/>
      <c r="D34" s="25">
        <v>-72</v>
      </c>
      <c r="E34" s="25">
        <v>393</v>
      </c>
      <c r="F34" s="25">
        <v>198</v>
      </c>
      <c r="G34" s="25">
        <v>2626</v>
      </c>
      <c r="H34" s="25">
        <v>2</v>
      </c>
      <c r="I34" s="27">
        <v>-62</v>
      </c>
      <c r="J34" s="59">
        <f t="shared" si="61"/>
        <v>1291</v>
      </c>
      <c r="K34" s="56"/>
      <c r="L34" s="56"/>
      <c r="M34" s="56"/>
      <c r="N34" s="56"/>
      <c r="O34" s="56"/>
      <c r="P34" s="56"/>
      <c r="Q34" s="27"/>
      <c r="R34" s="27">
        <v>2209</v>
      </c>
      <c r="S34" s="27">
        <v>346</v>
      </c>
      <c r="T34" s="27">
        <v>42</v>
      </c>
      <c r="U34" s="25">
        <f>G34-SUM(R34:T34)</f>
        <v>29</v>
      </c>
      <c r="V34" s="23"/>
      <c r="W34" s="25">
        <v>-1211</v>
      </c>
      <c r="X34" s="25">
        <v>87</v>
      </c>
      <c r="Y34" s="25">
        <v>664</v>
      </c>
      <c r="Z34" s="25">
        <v>462</v>
      </c>
      <c r="AA34" s="25"/>
      <c r="AB34" s="25">
        <v>64</v>
      </c>
      <c r="AC34" s="25">
        <v>200</v>
      </c>
      <c r="AD34" s="25">
        <v>816</v>
      </c>
      <c r="AE34" s="25">
        <v>-1142</v>
      </c>
      <c r="AF34" s="25"/>
      <c r="AG34" s="25">
        <v>348</v>
      </c>
      <c r="AH34" s="57"/>
      <c r="AI34" s="25">
        <v>943</v>
      </c>
      <c r="AJ34" s="57"/>
      <c r="AK34" s="57"/>
    </row>
    <row r="35" spans="1:39" x14ac:dyDescent="0.2">
      <c r="A35" s="36" t="s">
        <v>17</v>
      </c>
      <c r="B35" s="36"/>
      <c r="C35" s="25"/>
      <c r="D35" s="25">
        <f t="shared" ref="D35" si="73">SUM(D32:D34)</f>
        <v>20421</v>
      </c>
      <c r="E35" s="25">
        <f t="shared" ref="E35" si="74">SUM(E32:E34)</f>
        <v>20105</v>
      </c>
      <c r="F35" s="25">
        <f t="shared" ref="F35" si="75">SUM(F32:F34)</f>
        <v>19934</v>
      </c>
      <c r="G35" s="25">
        <f t="shared" ref="G35:H35" si="76">SUM(G32:G34)</f>
        <v>24359</v>
      </c>
      <c r="H35" s="25">
        <f t="shared" si="76"/>
        <v>24532</v>
      </c>
      <c r="I35" s="25">
        <f>SUM(I32:I34)</f>
        <v>21618</v>
      </c>
      <c r="J35" s="59">
        <f t="shared" si="61"/>
        <v>23797</v>
      </c>
      <c r="K35" s="57">
        <f t="shared" ref="K35:P35" si="77">SUM(K32:K34)</f>
        <v>25500</v>
      </c>
      <c r="L35" s="57">
        <f t="shared" si="77"/>
        <v>26700</v>
      </c>
      <c r="M35" s="57">
        <f t="shared" si="77"/>
        <v>27957</v>
      </c>
      <c r="N35" s="57">
        <f t="shared" si="77"/>
        <v>29273.73</v>
      </c>
      <c r="O35" s="57">
        <f t="shared" si="77"/>
        <v>30653.0517</v>
      </c>
      <c r="P35" s="57">
        <f t="shared" si="77"/>
        <v>32097.964893000004</v>
      </c>
      <c r="Q35" s="25"/>
      <c r="R35" s="25">
        <f>SUM(R32:R34)</f>
        <v>7160</v>
      </c>
      <c r="S35" s="25">
        <f>SUM(S32:S34)</f>
        <v>5660</v>
      </c>
      <c r="T35" s="25">
        <f>SUM(T32:T34)</f>
        <v>5519</v>
      </c>
      <c r="U35" s="25">
        <f>SUM(U32:U34)</f>
        <v>6020</v>
      </c>
      <c r="V35" s="23"/>
      <c r="W35" s="25">
        <f>SUM(W32:W34)</f>
        <v>4903</v>
      </c>
      <c r="X35" s="25">
        <f t="shared" ref="X35" si="78">SUM(X32:X34)</f>
        <v>6287</v>
      </c>
      <c r="Y35" s="25">
        <f t="shared" ref="Y35" si="79">SUM(Y32:Y34)</f>
        <v>6710</v>
      </c>
      <c r="Z35" s="25">
        <f t="shared" ref="Z35" si="80">SUM(Z32:Z34)</f>
        <v>6632</v>
      </c>
      <c r="AA35" s="25"/>
      <c r="AB35" s="25">
        <f>SUM(AB32:AB34)</f>
        <v>5476</v>
      </c>
      <c r="AC35" s="25">
        <f t="shared" ref="AC35:AE35" si="81">SUM(AC32:AC34)</f>
        <v>5654</v>
      </c>
      <c r="AD35" s="25">
        <f t="shared" si="81"/>
        <v>6026</v>
      </c>
      <c r="AE35" s="25">
        <f t="shared" si="81"/>
        <v>4462</v>
      </c>
      <c r="AF35" s="25"/>
      <c r="AG35" s="25">
        <f>SUM(AG32:AG34)</f>
        <v>6286</v>
      </c>
      <c r="AH35" s="57">
        <f t="shared" ref="AH35" si="82">SUM(AH32:AH34)</f>
        <v>5700</v>
      </c>
      <c r="AI35" s="25">
        <f>SUM(AI32:AI34)</f>
        <v>6511</v>
      </c>
      <c r="AJ35" s="57">
        <f t="shared" ref="AJ35" si="83">SUM(AJ32:AJ34)</f>
        <v>5450</v>
      </c>
      <c r="AK35" s="57">
        <f t="shared" ref="AK35" si="84">SUM(AK32:AK34)</f>
        <v>5550</v>
      </c>
    </row>
    <row r="36" spans="1:39" s="13" customFormat="1" x14ac:dyDescent="0.2">
      <c r="A36" s="11" t="s">
        <v>18</v>
      </c>
      <c r="B36" s="11"/>
      <c r="C36" s="14"/>
      <c r="D36" s="12">
        <f t="shared" ref="D36" si="85">D30-D35</f>
        <v>23316</v>
      </c>
      <c r="E36" s="12">
        <f t="shared" ref="E36" si="86">E30-E35</f>
        <v>22035</v>
      </c>
      <c r="F36" s="12">
        <f t="shared" ref="F36" si="87">F30-F35</f>
        <v>23678</v>
      </c>
      <c r="G36" s="12">
        <f t="shared" ref="G36:H36" si="88">G30-G35</f>
        <v>19456</v>
      </c>
      <c r="H36" s="12">
        <f t="shared" si="88"/>
        <v>2334</v>
      </c>
      <c r="I36" s="12">
        <f>I30-I35</f>
        <v>93</v>
      </c>
      <c r="J36" s="66">
        <f>J30-J35</f>
        <v>-3289</v>
      </c>
      <c r="K36" s="66">
        <f>K30-K35</f>
        <v>7634.3399999999965</v>
      </c>
      <c r="L36" s="66">
        <f t="shared" ref="L36:P36" si="89">L30-L35</f>
        <v>8751.4412000000011</v>
      </c>
      <c r="M36" s="66">
        <f t="shared" si="89"/>
        <v>10406.46100000001</v>
      </c>
      <c r="N36" s="66">
        <f t="shared" si="89"/>
        <v>12301.070835040005</v>
      </c>
      <c r="O36" s="66">
        <f t="shared" si="89"/>
        <v>13803.895159516946</v>
      </c>
      <c r="P36" s="66">
        <f t="shared" si="89"/>
        <v>16715.836253619585</v>
      </c>
      <c r="Q36" s="7"/>
      <c r="R36" s="12">
        <f>R30-R35</f>
        <v>21156.131043257003</v>
      </c>
      <c r="S36" s="12">
        <f>S30-S35</f>
        <v>23451.335877862599</v>
      </c>
      <c r="T36" s="12">
        <f>T30-T35</f>
        <v>22779.221374045803</v>
      </c>
      <c r="U36" s="12">
        <f>U30-U35</f>
        <v>23804.311704834603</v>
      </c>
      <c r="V36" s="7"/>
      <c r="W36" s="12">
        <f>W30-W35</f>
        <v>4341.316201117319</v>
      </c>
      <c r="X36" s="12">
        <f t="shared" ref="X36" si="90">X30-X35</f>
        <v>-699.84478371501245</v>
      </c>
      <c r="Y36" s="12">
        <f t="shared" ref="Y36" si="91">Y30-Y35</f>
        <v>-174.78244274809185</v>
      </c>
      <c r="Z36" s="12">
        <f t="shared" ref="Z36" si="92">Z30-Z35</f>
        <v>-1132</v>
      </c>
      <c r="AA36" s="7"/>
      <c r="AB36" s="12">
        <f>AB30-AB35</f>
        <v>9506.1239495798327</v>
      </c>
      <c r="AC36" s="12">
        <f t="shared" ref="AC36:AE36" si="93">AC30-AC35</f>
        <v>-1016</v>
      </c>
      <c r="AD36" s="12">
        <f t="shared" si="93"/>
        <v>-8</v>
      </c>
      <c r="AE36" s="12">
        <f t="shared" si="93"/>
        <v>2585</v>
      </c>
      <c r="AF36" s="7"/>
      <c r="AG36" s="12">
        <f>AG30-AG35</f>
        <v>-1068.5443737616006</v>
      </c>
      <c r="AH36" s="66">
        <f t="shared" ref="AH36" si="94">AH30-AH35</f>
        <v>-249.92944081848691</v>
      </c>
      <c r="AI36" s="12">
        <f>AI30-AI35</f>
        <v>-1963.5494837835031</v>
      </c>
      <c r="AJ36" s="66">
        <f t="shared" ref="AJ36" si="95">AJ30-AJ35</f>
        <v>-351.95828553550928</v>
      </c>
      <c r="AK36" s="66">
        <f t="shared" ref="AK36" si="96">AK30-AK35</f>
        <v>95.05214308061295</v>
      </c>
    </row>
    <row r="37" spans="1:39" x14ac:dyDescent="0.2">
      <c r="A37" s="24" t="s">
        <v>19</v>
      </c>
      <c r="B37" s="24"/>
      <c r="C37" s="23"/>
      <c r="D37" s="25">
        <v>-125</v>
      </c>
      <c r="E37" s="25">
        <v>1539</v>
      </c>
      <c r="F37" s="25">
        <v>1904</v>
      </c>
      <c r="G37" s="25">
        <v>2729</v>
      </c>
      <c r="H37" s="25">
        <v>4268</v>
      </c>
      <c r="I37" s="27">
        <v>40</v>
      </c>
      <c r="J37" s="57">
        <f>SUM(AG37:AK37)</f>
        <v>85</v>
      </c>
      <c r="K37" s="56"/>
      <c r="L37" s="56"/>
      <c r="M37" s="56"/>
      <c r="N37" s="56"/>
      <c r="O37" s="56"/>
      <c r="P37" s="56"/>
      <c r="Q37" s="27"/>
      <c r="R37" s="27">
        <v>368</v>
      </c>
      <c r="S37" s="27">
        <v>295</v>
      </c>
      <c r="T37" s="27">
        <v>1707</v>
      </c>
      <c r="U37" s="25">
        <f>G37-SUM(R37:T37)</f>
        <v>359</v>
      </c>
      <c r="V37" s="23"/>
      <c r="W37" s="25">
        <v>4323</v>
      </c>
      <c r="X37" s="25">
        <v>-90</v>
      </c>
      <c r="Y37" s="25">
        <v>-151</v>
      </c>
      <c r="Z37" s="25">
        <v>186</v>
      </c>
      <c r="AA37" s="25"/>
      <c r="AB37" s="25">
        <v>169</v>
      </c>
      <c r="AC37" s="25">
        <v>-24</v>
      </c>
      <c r="AD37" s="25">
        <v>-191</v>
      </c>
      <c r="AE37" s="25">
        <v>86</v>
      </c>
      <c r="AF37" s="25"/>
      <c r="AG37" s="25">
        <v>205</v>
      </c>
      <c r="AH37" s="57"/>
      <c r="AI37" s="25">
        <v>-120</v>
      </c>
      <c r="AJ37" s="57"/>
      <c r="AK37" s="57"/>
    </row>
    <row r="38" spans="1:39" x14ac:dyDescent="0.2">
      <c r="A38" s="24" t="s">
        <v>20</v>
      </c>
      <c r="B38" s="24"/>
      <c r="C38" s="23"/>
      <c r="D38" s="25">
        <v>126</v>
      </c>
      <c r="E38" s="25">
        <v>484</v>
      </c>
      <c r="F38" s="25">
        <v>-504</v>
      </c>
      <c r="G38" s="25">
        <v>-482</v>
      </c>
      <c r="H38" s="25">
        <v>1166</v>
      </c>
      <c r="I38" s="27">
        <v>629</v>
      </c>
      <c r="J38" s="57">
        <f>SUM(AG38:AK38)</f>
        <v>675</v>
      </c>
      <c r="K38" s="56"/>
      <c r="L38" s="56"/>
      <c r="M38" s="56"/>
      <c r="N38" s="56"/>
      <c r="O38" s="56"/>
      <c r="P38" s="56"/>
      <c r="Q38" s="27"/>
      <c r="R38" s="27">
        <v>-156</v>
      </c>
      <c r="S38" s="27">
        <v>-96</v>
      </c>
      <c r="T38" s="27">
        <v>-76</v>
      </c>
      <c r="U38" s="25">
        <f>G38-SUM(R38:T38)</f>
        <v>-154</v>
      </c>
      <c r="V38" s="23"/>
      <c r="W38" s="25">
        <v>997</v>
      </c>
      <c r="X38" s="25">
        <v>-119</v>
      </c>
      <c r="Y38" s="25">
        <v>138</v>
      </c>
      <c r="Z38" s="25">
        <v>150</v>
      </c>
      <c r="AA38" s="25"/>
      <c r="AB38" s="25">
        <v>141</v>
      </c>
      <c r="AC38" s="25">
        <v>224</v>
      </c>
      <c r="AD38" s="25">
        <v>147</v>
      </c>
      <c r="AE38" s="25">
        <v>117</v>
      </c>
      <c r="AF38" s="25"/>
      <c r="AG38" s="25">
        <v>145</v>
      </c>
      <c r="AH38" s="57">
        <v>150</v>
      </c>
      <c r="AI38" s="25">
        <v>80</v>
      </c>
      <c r="AJ38" s="57">
        <v>150</v>
      </c>
      <c r="AK38" s="57">
        <v>150</v>
      </c>
    </row>
    <row r="39" spans="1:39" x14ac:dyDescent="0.2">
      <c r="A39" s="36" t="s">
        <v>21</v>
      </c>
      <c r="B39" s="36"/>
      <c r="C39" s="23"/>
      <c r="D39" s="25">
        <f t="shared" ref="D39" si="97">D36+D37+D38</f>
        <v>23317</v>
      </c>
      <c r="E39" s="25">
        <f t="shared" ref="E39" si="98">E36+E37+E38</f>
        <v>24058</v>
      </c>
      <c r="F39" s="25">
        <f t="shared" ref="F39" si="99">F36+F37+F38</f>
        <v>25078</v>
      </c>
      <c r="G39" s="25">
        <f t="shared" ref="G39:H39" si="100">G36+G37+G38</f>
        <v>21703</v>
      </c>
      <c r="H39" s="25">
        <f t="shared" si="100"/>
        <v>7768</v>
      </c>
      <c r="I39" s="25">
        <f>I36+I37+I38</f>
        <v>762</v>
      </c>
      <c r="J39" s="57">
        <f t="shared" ref="J39:M39" si="101">J36+J37+J38</f>
        <v>-2529</v>
      </c>
      <c r="K39" s="57">
        <f t="shared" si="101"/>
        <v>7634.3399999999965</v>
      </c>
      <c r="L39" s="57">
        <f t="shared" si="101"/>
        <v>8751.4412000000011</v>
      </c>
      <c r="M39" s="57">
        <f t="shared" si="101"/>
        <v>10406.46100000001</v>
      </c>
      <c r="N39" s="57">
        <f>N36+N37+N38</f>
        <v>12301.070835040005</v>
      </c>
      <c r="O39" s="57">
        <f t="shared" ref="O39" si="102">O36+O37+O38</f>
        <v>13803.895159516946</v>
      </c>
      <c r="P39" s="57">
        <f t="shared" ref="P39" si="103">P36+P37+P38</f>
        <v>16715.836253619585</v>
      </c>
      <c r="Q39" s="25"/>
      <c r="R39" s="25">
        <f>R36+R38+R37</f>
        <v>21368.131043257003</v>
      </c>
      <c r="S39" s="25">
        <f>S36+S38+S37</f>
        <v>23650.335877862599</v>
      </c>
      <c r="T39" s="25">
        <f>T36+T38+T37</f>
        <v>24410.221374045803</v>
      </c>
      <c r="U39" s="25">
        <f>U36+U38+U37</f>
        <v>24009.311704834603</v>
      </c>
      <c r="V39" s="23"/>
      <c r="W39" s="25">
        <f>W36+W38+W37</f>
        <v>9661.316201117319</v>
      </c>
      <c r="X39" s="25">
        <f t="shared" ref="X39" si="104">X36+X38+X37</f>
        <v>-908.84478371501245</v>
      </c>
      <c r="Y39" s="25">
        <f t="shared" ref="Y39" si="105">Y36+Y38+Y37</f>
        <v>-187.78244274809185</v>
      </c>
      <c r="Z39" s="25">
        <f t="shared" ref="Z39" si="106">Z36+Z38+Z37</f>
        <v>-796</v>
      </c>
      <c r="AA39" s="25"/>
      <c r="AB39" s="25">
        <f>AB36+AB38+AB37</f>
        <v>9816.1239495798327</v>
      </c>
      <c r="AC39" s="25">
        <f t="shared" ref="AC39:AE39" si="107">AC36+AC38+AC37</f>
        <v>-816</v>
      </c>
      <c r="AD39" s="25">
        <f t="shared" si="107"/>
        <v>-52</v>
      </c>
      <c r="AE39" s="25">
        <f t="shared" si="107"/>
        <v>2788</v>
      </c>
      <c r="AF39" s="25"/>
      <c r="AG39" s="25">
        <f>AG36+AG38+AG37</f>
        <v>-718.54437376160058</v>
      </c>
      <c r="AH39" s="57">
        <f t="shared" ref="AH39" si="108">AH36+AH38+AH37</f>
        <v>-99.92944081848691</v>
      </c>
      <c r="AI39" s="25">
        <f>SUM(AI36:AI38)</f>
        <v>-2003.5494837835031</v>
      </c>
      <c r="AJ39" s="57">
        <f t="shared" ref="AJ39" si="109">AJ36+AJ38+AJ37</f>
        <v>-201.95828553550928</v>
      </c>
      <c r="AK39" s="57">
        <f t="shared" ref="AK39" si="110">AK36+AK38+AK37</f>
        <v>245.05214308061295</v>
      </c>
      <c r="AM39" s="3"/>
    </row>
    <row r="40" spans="1:39" x14ac:dyDescent="0.2">
      <c r="A40" s="35" t="s">
        <v>22</v>
      </c>
      <c r="B40" s="35"/>
      <c r="C40" s="23"/>
      <c r="D40" s="23">
        <v>2264</v>
      </c>
      <c r="E40" s="23">
        <v>3010</v>
      </c>
      <c r="F40" s="23">
        <v>4179</v>
      </c>
      <c r="G40" s="23">
        <v>1835</v>
      </c>
      <c r="H40" s="23">
        <v>-249</v>
      </c>
      <c r="I40" s="23">
        <v>-913</v>
      </c>
      <c r="J40" s="57">
        <f>SUM(AG40:AK40)</f>
        <v>-639.38862582553975</v>
      </c>
      <c r="K40" s="62">
        <f>K39*0.15</f>
        <v>1145.1509999999994</v>
      </c>
      <c r="L40" s="62">
        <f>L39*0.18</f>
        <v>1575.2594160000001</v>
      </c>
      <c r="M40" s="62">
        <f>M39*0.18</f>
        <v>1873.1629800000019</v>
      </c>
      <c r="N40" s="62">
        <f>N39*0.18</f>
        <v>2214.1927503072011</v>
      </c>
      <c r="O40" s="62">
        <f>O39*0.18</f>
        <v>2484.7011287130499</v>
      </c>
      <c r="P40" s="62">
        <f>P39*0.18</f>
        <v>3008.8505256515255</v>
      </c>
      <c r="Q40" s="23"/>
      <c r="R40" s="23">
        <v>545</v>
      </c>
      <c r="S40" s="23">
        <v>684</v>
      </c>
      <c r="T40" s="23">
        <v>35</v>
      </c>
      <c r="U40" s="25">
        <f>G40-SUM(R40:T40)</f>
        <v>571</v>
      </c>
      <c r="V40" s="23"/>
      <c r="W40" s="25">
        <v>1548</v>
      </c>
      <c r="X40" s="25">
        <v>-455</v>
      </c>
      <c r="Y40" s="25">
        <v>-1207</v>
      </c>
      <c r="Z40" s="25">
        <v>-135</v>
      </c>
      <c r="AA40" s="25"/>
      <c r="AB40" s="25">
        <v>1610</v>
      </c>
      <c r="AC40" s="25">
        <v>-2289</v>
      </c>
      <c r="AD40" s="25">
        <v>-362</v>
      </c>
      <c r="AE40" s="25">
        <v>128</v>
      </c>
      <c r="AF40" s="25"/>
      <c r="AG40" s="25">
        <v>-282</v>
      </c>
      <c r="AH40" s="57">
        <f>AH39*0.13</f>
        <v>-12.990827306403299</v>
      </c>
      <c r="AI40" s="25">
        <v>-350</v>
      </c>
      <c r="AJ40" s="57">
        <f>AJ39*0.13</f>
        <v>-26.254577119616208</v>
      </c>
      <c r="AK40" s="57">
        <f t="shared" ref="AK40" si="111">AK39*0.13</f>
        <v>31.856778600479686</v>
      </c>
    </row>
    <row r="41" spans="1:39" s="4" customFormat="1" ht="19" x14ac:dyDescent="0.35">
      <c r="A41" s="14" t="s">
        <v>23</v>
      </c>
      <c r="B41" s="14"/>
      <c r="C41" s="14"/>
      <c r="D41" s="12">
        <f t="shared" ref="D41" si="112">D39-D40</f>
        <v>21053</v>
      </c>
      <c r="E41" s="12">
        <f t="shared" ref="E41" si="113">E39-E40</f>
        <v>21048</v>
      </c>
      <c r="F41" s="12">
        <f t="shared" ref="F41" si="114">F39-F40</f>
        <v>20899</v>
      </c>
      <c r="G41" s="12">
        <f t="shared" ref="G41:H41" si="115">G39-G40</f>
        <v>19868</v>
      </c>
      <c r="H41" s="12">
        <f t="shared" si="115"/>
        <v>8017</v>
      </c>
      <c r="I41" s="12">
        <f>I39-I40</f>
        <v>1675</v>
      </c>
      <c r="J41" s="66">
        <f>J39-J40</f>
        <v>-1889.6113741744603</v>
      </c>
      <c r="K41" s="66">
        <f t="shared" ref="K41:P41" si="116">K39-K40</f>
        <v>6489.1889999999967</v>
      </c>
      <c r="L41" s="66">
        <f t="shared" si="116"/>
        <v>7176.1817840000012</v>
      </c>
      <c r="M41" s="66">
        <f t="shared" si="116"/>
        <v>8533.2980200000093</v>
      </c>
      <c r="N41" s="66">
        <f t="shared" si="116"/>
        <v>10086.878084732805</v>
      </c>
      <c r="O41" s="66">
        <f t="shared" si="116"/>
        <v>11319.194030803896</v>
      </c>
      <c r="P41" s="66">
        <f t="shared" si="116"/>
        <v>13706.98572796806</v>
      </c>
      <c r="Q41" s="7"/>
      <c r="R41" s="7">
        <f>R39-R40</f>
        <v>20823.131043257003</v>
      </c>
      <c r="S41" s="7">
        <f>S39-S40</f>
        <v>22966.335877862599</v>
      </c>
      <c r="T41" s="7">
        <f>T39-T40</f>
        <v>24375.221374045803</v>
      </c>
      <c r="U41" s="7">
        <f>U39-U40</f>
        <v>23438.311704834603</v>
      </c>
      <c r="W41" s="15">
        <f>W39-W40</f>
        <v>8113.316201117319</v>
      </c>
      <c r="X41" s="15">
        <f t="shared" ref="X41" si="117">X39-X40</f>
        <v>-453.84478371501245</v>
      </c>
      <c r="Y41" s="15">
        <f t="shared" ref="Y41" si="118">Y39-Y40</f>
        <v>1019.2175572519081</v>
      </c>
      <c r="Z41" s="15">
        <f t="shared" ref="Z41" si="119">Z39-Z40</f>
        <v>-661</v>
      </c>
      <c r="AA41" s="16"/>
      <c r="AB41" s="15">
        <f>AB39-AB40</f>
        <v>8206.1239495798327</v>
      </c>
      <c r="AC41" s="15">
        <f t="shared" ref="AC41:AE41" si="120">AC39-AC40</f>
        <v>1473</v>
      </c>
      <c r="AD41" s="15">
        <f t="shared" si="120"/>
        <v>310</v>
      </c>
      <c r="AE41" s="15">
        <f t="shared" si="120"/>
        <v>2660</v>
      </c>
      <c r="AF41" s="16"/>
      <c r="AG41" s="15">
        <f>AG39-AG40</f>
        <v>-436.54437376160058</v>
      </c>
      <c r="AH41" s="83">
        <f t="shared" ref="AH41:AK41" si="121">AH39-AH40</f>
        <v>-86.938613512083606</v>
      </c>
      <c r="AI41" s="15">
        <f>AI39-AI40</f>
        <v>-1653.5494837835031</v>
      </c>
      <c r="AJ41" s="83">
        <f t="shared" si="121"/>
        <v>-175.70370841589306</v>
      </c>
      <c r="AK41" s="83">
        <f t="shared" si="121"/>
        <v>213.19536448013326</v>
      </c>
    </row>
    <row r="42" spans="1:39" x14ac:dyDescent="0.2">
      <c r="A42" s="23"/>
      <c r="B42" s="23"/>
      <c r="C42" s="23"/>
      <c r="D42" s="23"/>
      <c r="E42" s="23"/>
      <c r="F42" s="23"/>
      <c r="G42" s="23"/>
      <c r="H42" s="23"/>
      <c r="I42" s="23"/>
      <c r="J42" s="56"/>
      <c r="K42" s="56"/>
      <c r="L42" s="56"/>
      <c r="M42" s="56"/>
      <c r="N42" s="56"/>
      <c r="O42" s="56"/>
      <c r="P42" s="56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56"/>
      <c r="AI42" s="23"/>
      <c r="AJ42" s="56"/>
      <c r="AK42" s="56"/>
    </row>
    <row r="43" spans="1:39" x14ac:dyDescent="0.2">
      <c r="A43" s="23" t="s">
        <v>31</v>
      </c>
      <c r="B43" s="23"/>
      <c r="C43" s="23"/>
      <c r="D43" s="37">
        <f t="shared" ref="D43" si="122">D41/D44</f>
        <v>4.478408849181025</v>
      </c>
      <c r="E43" s="37">
        <f t="shared" ref="E43" si="123">E41/E44</f>
        <v>4.7055667337357479</v>
      </c>
      <c r="F43" s="37">
        <f t="shared" ref="F43" si="124">F41/F44</f>
        <v>4.9383270321361055</v>
      </c>
      <c r="G43" s="37">
        <f t="shared" ref="G43" si="125">G41/G44</f>
        <v>4.8577017114914423</v>
      </c>
      <c r="H43" s="37">
        <f t="shared" ref="H43" si="126">H41/H44</f>
        <v>1.944457918991026</v>
      </c>
      <c r="I43" s="37">
        <f t="shared" ref="I43:P43" si="127">I41/I44</f>
        <v>0.39767331433998099</v>
      </c>
      <c r="J43" s="69">
        <f t="shared" si="127"/>
        <v>-0.44547394364997411</v>
      </c>
      <c r="K43" s="69">
        <f t="shared" si="127"/>
        <v>1.529026625824693</v>
      </c>
      <c r="L43" s="69">
        <f t="shared" si="127"/>
        <v>1.6877191401693323</v>
      </c>
      <c r="M43" s="69">
        <f t="shared" si="127"/>
        <v>2.0031216009389694</v>
      </c>
      <c r="N43" s="69">
        <f t="shared" si="127"/>
        <v>2.36226653038239</v>
      </c>
      <c r="O43" s="69">
        <f t="shared" si="127"/>
        <v>2.6446715025242749</v>
      </c>
      <c r="P43" s="69">
        <f t="shared" si="127"/>
        <v>3.195101568290923</v>
      </c>
      <c r="Q43" s="23"/>
      <c r="R43" s="37">
        <f>R41/R44</f>
        <v>4.8291120230187854</v>
      </c>
      <c r="S43" s="37">
        <f t="shared" ref="S43:U43" si="128">S41/S44</f>
        <v>5.623490665490352</v>
      </c>
      <c r="T43" s="37">
        <f t="shared" si="128"/>
        <v>5.9655461023117482</v>
      </c>
      <c r="U43" s="37">
        <f t="shared" si="128"/>
        <v>5.7236414419620516</v>
      </c>
      <c r="V43" s="23"/>
      <c r="W43" s="37">
        <f t="shared" ref="W43" si="129">W41/W44</f>
        <v>1.980790088163408</v>
      </c>
      <c r="X43" s="37">
        <f t="shared" ref="X43" si="130">X41/X44</f>
        <v>-0.11069384968658841</v>
      </c>
      <c r="Y43" s="37">
        <f t="shared" ref="Y43" si="131">Y41/Y44</f>
        <v>0.24708304418228078</v>
      </c>
      <c r="Z43" s="37">
        <f>Z41/Z44</f>
        <v>-0.15993225260101621</v>
      </c>
      <c r="AA43" s="23"/>
      <c r="AB43" s="37">
        <f t="shared" ref="AB43:AD43" si="132">AB41/AB44</f>
        <v>1.9754751924843121</v>
      </c>
      <c r="AC43" s="37">
        <f t="shared" si="132"/>
        <v>0.35104861773117252</v>
      </c>
      <c r="AD43" s="37">
        <f t="shared" si="132"/>
        <v>7.3303381414045868E-2</v>
      </c>
      <c r="AE43" s="37">
        <f>AE41/AE44</f>
        <v>0.62441314553990612</v>
      </c>
      <c r="AF43" s="23"/>
      <c r="AG43" s="37">
        <f>AG41/AG44</f>
        <v>-0.1029100362474306</v>
      </c>
      <c r="AH43" s="69">
        <f t="shared" ref="AH43:AK43" si="133">AH41/AH44</f>
        <v>-2.069966988382943E-2</v>
      </c>
      <c r="AI43" s="37">
        <f>AI41/AI44</f>
        <v>-0.38752038523166232</v>
      </c>
      <c r="AJ43" s="69">
        <f t="shared" si="133"/>
        <v>-4.1439553871672891E-2</v>
      </c>
      <c r="AK43" s="69">
        <f t="shared" si="133"/>
        <v>5.0045860206604051E-2</v>
      </c>
    </row>
    <row r="44" spans="1:39" x14ac:dyDescent="0.2">
      <c r="A44" s="23" t="s">
        <v>30</v>
      </c>
      <c r="B44" s="23"/>
      <c r="C44" s="23"/>
      <c r="D44" s="23">
        <v>4701</v>
      </c>
      <c r="E44" s="23">
        <v>4473</v>
      </c>
      <c r="F44" s="23">
        <v>4232</v>
      </c>
      <c r="G44" s="23">
        <v>4090</v>
      </c>
      <c r="H44" s="23">
        <v>4123</v>
      </c>
      <c r="I44" s="23">
        <v>4212</v>
      </c>
      <c r="J44" s="70">
        <f>AVERAGE(AG44:AK44)</f>
        <v>4241.8</v>
      </c>
      <c r="K44" s="56">
        <v>4244</v>
      </c>
      <c r="L44" s="56">
        <v>4252</v>
      </c>
      <c r="M44" s="56">
        <v>4260</v>
      </c>
      <c r="N44" s="56">
        <v>4270</v>
      </c>
      <c r="O44" s="56">
        <v>4280</v>
      </c>
      <c r="P44" s="56">
        <v>4290</v>
      </c>
      <c r="Q44" s="23"/>
      <c r="R44" s="23">
        <v>4312</v>
      </c>
      <c r="S44" s="23">
        <v>4084</v>
      </c>
      <c r="T44" s="23">
        <v>4086</v>
      </c>
      <c r="U44" s="23">
        <v>4095</v>
      </c>
      <c r="V44" s="23"/>
      <c r="W44" s="23">
        <v>4096</v>
      </c>
      <c r="X44" s="23">
        <v>4100</v>
      </c>
      <c r="Y44" s="23">
        <v>4125</v>
      </c>
      <c r="Z44" s="23">
        <v>4133</v>
      </c>
      <c r="AA44" s="23"/>
      <c r="AB44" s="23">
        <v>4154</v>
      </c>
      <c r="AC44" s="23">
        <v>4196</v>
      </c>
      <c r="AD44" s="23">
        <v>4229</v>
      </c>
      <c r="AE44" s="23">
        <v>4260</v>
      </c>
      <c r="AF44" s="23"/>
      <c r="AG44" s="23">
        <v>4242</v>
      </c>
      <c r="AH44" s="56">
        <v>4200</v>
      </c>
      <c r="AI44" s="23">
        <v>4267</v>
      </c>
      <c r="AJ44" s="56">
        <v>4240</v>
      </c>
      <c r="AK44" s="56">
        <v>4260</v>
      </c>
    </row>
    <row r="45" spans="1:39" x14ac:dyDescent="0.2">
      <c r="A45" s="23"/>
      <c r="B45" s="23"/>
      <c r="C45" s="23"/>
      <c r="D45" s="23"/>
      <c r="E45" s="23"/>
      <c r="F45" s="23"/>
      <c r="G45" s="23"/>
      <c r="H45" s="23"/>
      <c r="I45" s="23"/>
      <c r="J45" s="56"/>
      <c r="K45" s="56"/>
      <c r="L45" s="56"/>
      <c r="M45" s="56"/>
      <c r="N45" s="56"/>
      <c r="O45" s="56"/>
      <c r="P45" s="56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56"/>
      <c r="AI45" s="23"/>
      <c r="AJ45" s="56"/>
      <c r="AK45" s="56"/>
    </row>
    <row r="46" spans="1:39" x14ac:dyDescent="0.2">
      <c r="A46" s="31" t="s">
        <v>29</v>
      </c>
      <c r="B46" s="31"/>
      <c r="C46" s="23"/>
      <c r="D46" s="23"/>
      <c r="E46" s="23"/>
      <c r="F46" s="23"/>
      <c r="G46" s="23"/>
      <c r="H46" s="23"/>
      <c r="I46" s="23"/>
      <c r="J46" s="56"/>
      <c r="K46" s="56"/>
      <c r="L46" s="56"/>
      <c r="M46" s="56"/>
      <c r="N46" s="56"/>
      <c r="O46" s="56"/>
      <c r="P46" s="56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56"/>
      <c r="AI46" s="23"/>
      <c r="AJ46" s="56"/>
      <c r="AK46" s="56"/>
    </row>
    <row r="47" spans="1:39" ht="17" customHeight="1" x14ac:dyDescent="0.2">
      <c r="A47" s="22" t="s">
        <v>11</v>
      </c>
      <c r="B47" s="22"/>
      <c r="C47" s="23"/>
      <c r="D47" s="23"/>
      <c r="E47" s="23"/>
      <c r="F47" s="23"/>
      <c r="G47" s="23"/>
      <c r="H47" s="23"/>
      <c r="I47" s="23"/>
      <c r="J47" s="56"/>
      <c r="K47" s="56"/>
      <c r="L47" s="56"/>
      <c r="M47" s="56"/>
      <c r="N47" s="56"/>
      <c r="O47" s="56"/>
      <c r="P47" s="56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56"/>
      <c r="AI47" s="23"/>
      <c r="AJ47" s="56"/>
      <c r="AK47" s="56"/>
    </row>
    <row r="48" spans="1:39" s="8" customFormat="1" x14ac:dyDescent="0.2">
      <c r="A48" s="38" t="s">
        <v>1</v>
      </c>
      <c r="B48" s="38"/>
      <c r="C48" s="39"/>
      <c r="D48" s="40">
        <f>(D4-C4)/ABS(C4)</f>
        <v>8.8256918507190543E-2</v>
      </c>
      <c r="E48" s="40">
        <f>(E4-D4)/ABS(D4)</f>
        <v>3.8374229812993192E-3</v>
      </c>
      <c r="F48" s="40">
        <f>(F4-E4)/ABS(E4)</f>
        <v>9.1234587842567161E-2</v>
      </c>
      <c r="G48" s="40">
        <f>(G4-F4)/ABS(F4)</f>
        <v>1.3124460342913532E-2</v>
      </c>
      <c r="H48" s="40">
        <f>(H4-G4)/ABS(G4)</f>
        <v>-0.2263130981079699</v>
      </c>
      <c r="I48" s="40">
        <f>(I4-H4)/ABS(H4)</f>
        <v>-7.9155257608661447E-2</v>
      </c>
      <c r="J48" s="71">
        <f t="shared" ref="J48:M48" si="134">(J4-I4)/ABS(I4)</f>
        <v>9.1769772369950098E-2</v>
      </c>
      <c r="K48" s="71">
        <f t="shared" si="134"/>
        <v>4.0000000000000036E-2</v>
      </c>
      <c r="L48" s="71">
        <f t="shared" si="134"/>
        <v>4.0000000000000091E-2</v>
      </c>
      <c r="M48" s="71">
        <f t="shared" si="134"/>
        <v>4.0000000000000049E-2</v>
      </c>
      <c r="N48" s="71">
        <f t="shared" ref="N48:P48" si="135">(N4-M4)/ABS(M4)</f>
        <v>4.000000000000007E-2</v>
      </c>
      <c r="O48" s="71">
        <f t="shared" si="135"/>
        <v>4.000000000000007E-2</v>
      </c>
      <c r="P48" s="71">
        <f t="shared" si="135"/>
        <v>2.9242221155622864E-2</v>
      </c>
      <c r="Q48" s="40"/>
      <c r="R48" s="40"/>
      <c r="S48" s="39"/>
      <c r="T48" s="39"/>
      <c r="U48" s="39"/>
      <c r="V48" s="39"/>
      <c r="W48" s="41">
        <f>(W4-R4)/ABS(R4)</f>
        <v>-0.13326494451179707</v>
      </c>
      <c r="X48" s="41">
        <f>(X4-S4)/ABS(S4)</f>
        <v>-0.25241392763093728</v>
      </c>
      <c r="Y48" s="41">
        <f>(Y4-T4)/ABS(T4)</f>
        <v>-0.170004086636698</v>
      </c>
      <c r="Z48" s="41">
        <f>(Z4-U4)/ABS(U4)</f>
        <v>-0.35698340289236147</v>
      </c>
      <c r="AA48" s="39"/>
      <c r="AB48" s="41">
        <f>(AB4-W4)/ABS(W4)</f>
        <v>-0.37949214547019583</v>
      </c>
      <c r="AC48" s="41">
        <f>(AC4-X4)/ABS(X4)</f>
        <v>-0.11545988258317025</v>
      </c>
      <c r="AD48" s="41">
        <f>(AD4-Y4)/ABS(Y4)</f>
        <v>-3.1634662727720336E-2</v>
      </c>
      <c r="AE48" s="41">
        <f>(AE4-Z4)/ABS(Z4)</f>
        <v>0.33494339622641511</v>
      </c>
      <c r="AF48" s="39"/>
      <c r="AG48" s="41">
        <f>(AG4-AB4)/ABS(AB4)</f>
        <v>0.30622507369516211</v>
      </c>
      <c r="AH48" s="84">
        <f t="shared" ref="AH48" si="136">(AH4-AC4)/ABS(AC4)</f>
        <v>0.14306784660766961</v>
      </c>
      <c r="AI48" s="41">
        <f>(AI4-AC4)/ABS(AC4)</f>
        <v>9.2920353982300891E-2</v>
      </c>
      <c r="AJ48" s="84">
        <f>(AJ4-AD4)/ABS(AD4)</f>
        <v>4.8684377780602514E-2</v>
      </c>
      <c r="AK48" s="84">
        <f>(AK4-AE4)/ABS(AE4)</f>
        <v>-1.0628674807779286E-2</v>
      </c>
    </row>
    <row r="49" spans="1:37" s="2" customFormat="1" x14ac:dyDescent="0.2">
      <c r="A49" s="26" t="s">
        <v>6</v>
      </c>
      <c r="B49" s="26"/>
      <c r="C49" s="26"/>
      <c r="D49" s="42" t="e">
        <f>(D5-C5)/ABS(C5)</f>
        <v>#DIV/0!</v>
      </c>
      <c r="E49" s="42" t="e">
        <f>(E5-D5)/ABS(D5)</f>
        <v>#DIV/0!</v>
      </c>
      <c r="F49" s="42" t="e">
        <f>(F5-E5)/ABS(E5)</f>
        <v>#DIV/0!</v>
      </c>
      <c r="G49" s="42">
        <f>(G5-F5)/ABS(F5)</f>
        <v>2.1930353054584888E-2</v>
      </c>
      <c r="H49" s="42">
        <f>(H5-G5)/ABS(G5)</f>
        <v>-0.26184019180128132</v>
      </c>
      <c r="I49" s="42">
        <f>(I5-H5)/ABS(H5)</f>
        <v>-9.5362334274000315E-2</v>
      </c>
      <c r="J49" s="72">
        <f t="shared" ref="J49:M49" si="137">(J5-I5)/ABS(I5)</f>
        <v>0.11600941730429665</v>
      </c>
      <c r="K49" s="72">
        <f t="shared" si="137"/>
        <v>-1</v>
      </c>
      <c r="L49" s="72" t="e">
        <f t="shared" si="137"/>
        <v>#DIV/0!</v>
      </c>
      <c r="M49" s="72" t="e">
        <f t="shared" si="137"/>
        <v>#DIV/0!</v>
      </c>
      <c r="N49" s="72" t="e">
        <f t="shared" ref="N49:P49" si="138">(N5-M5)/ABS(M5)</f>
        <v>#DIV/0!</v>
      </c>
      <c r="O49" s="72" t="e">
        <f t="shared" si="138"/>
        <v>#DIV/0!</v>
      </c>
      <c r="P49" s="72" t="e">
        <f t="shared" si="138"/>
        <v>#DIV/0!</v>
      </c>
      <c r="Q49" s="42"/>
      <c r="R49" s="42"/>
      <c r="S49" s="26"/>
      <c r="T49" s="26"/>
      <c r="U49" s="26"/>
      <c r="V49" s="26"/>
      <c r="W49" s="43">
        <f>(W5-R5)/ABS(R5)</f>
        <v>-0.14332949971247844</v>
      </c>
      <c r="X49" s="43">
        <f>(X5-S5)/ABS(S5)</f>
        <v>-0.66008316008316004</v>
      </c>
      <c r="Y49" s="43">
        <f>(Y5-T5)/ABS(T5)</f>
        <v>-0.25807537012113058</v>
      </c>
      <c r="Z49" s="43">
        <f>(Z5-U5)/ABS(U5)</f>
        <v>-0.36942675159235666</v>
      </c>
      <c r="AA49" s="26"/>
      <c r="AB49" s="43">
        <f>(AB5-W5)/ABS(W5)</f>
        <v>-0.42825977513005536</v>
      </c>
      <c r="AC49" s="43">
        <f>(AC5-X5)/ABS(X5)</f>
        <v>0.70205329838357367</v>
      </c>
      <c r="AD49" s="43">
        <f>(AD5-Y5)/ABS(Y5)</f>
        <v>2.1088435374149658E-2</v>
      </c>
      <c r="AE49" s="43">
        <f>(AE5-Z5)/ABS(Z5)</f>
        <v>0.41550641550641548</v>
      </c>
      <c r="AF49" s="26"/>
      <c r="AG49" s="43">
        <f>(AG5-AB5)/ABS(AB5)</f>
        <v>0.37393601408864102</v>
      </c>
      <c r="AH49" s="85">
        <f>(AH5-AC5)/ABS(AC5)</f>
        <v>0.20636550308008214</v>
      </c>
      <c r="AI49" s="41">
        <f>(AI5-AC5)/ABS(AC5)</f>
        <v>0.14989733059548255</v>
      </c>
      <c r="AJ49" s="85">
        <f>(AJ5-AD5)/ABS(AD5)</f>
        <v>6.5956029313790812E-2</v>
      </c>
      <c r="AK49" s="85">
        <f>(AK5-AE5)/ABS(AE5)</f>
        <v>-3.5679845708775311E-2</v>
      </c>
    </row>
    <row r="50" spans="1:37" s="2" customFormat="1" x14ac:dyDescent="0.2">
      <c r="A50" s="26" t="s">
        <v>7</v>
      </c>
      <c r="B50" s="26"/>
      <c r="C50" s="26"/>
      <c r="D50" s="42" t="e">
        <f>(D6-C6)/ABS(C6)</f>
        <v>#DIV/0!</v>
      </c>
      <c r="E50" s="42" t="e">
        <f>(E6-D6)/ABS(D6)</f>
        <v>#DIV/0!</v>
      </c>
      <c r="F50" s="42" t="e">
        <f>(F6-E6)/ABS(E6)</f>
        <v>#DIV/0!</v>
      </c>
      <c r="G50" s="42">
        <f>(G6-F6)/ABS(F6)</f>
        <v>0.11253242687181322</v>
      </c>
      <c r="H50" s="42">
        <f>(H6-G6)/ABS(G6)</f>
        <v>-0.14279971054112728</v>
      </c>
      <c r="I50" s="42">
        <f>(I6-H6)/ABS(H6)</f>
        <v>-4.6430916424350439E-2</v>
      </c>
      <c r="J50" s="72">
        <f t="shared" ref="J50:M50" si="139">(J6-I6)/ABS(I6)</f>
        <v>9.0694471768640567E-2</v>
      </c>
      <c r="K50" s="72">
        <f t="shared" si="139"/>
        <v>-1</v>
      </c>
      <c r="L50" s="72" t="e">
        <f t="shared" si="139"/>
        <v>#DIV/0!</v>
      </c>
      <c r="M50" s="72" t="e">
        <f t="shared" si="139"/>
        <v>#DIV/0!</v>
      </c>
      <c r="N50" s="72" t="e">
        <f t="shared" ref="N50:P50" si="140">(N6-M6)/ABS(M6)</f>
        <v>#DIV/0!</v>
      </c>
      <c r="O50" s="72" t="e">
        <f t="shared" si="140"/>
        <v>#DIV/0!</v>
      </c>
      <c r="P50" s="72" t="e">
        <f t="shared" si="140"/>
        <v>#DIV/0!</v>
      </c>
      <c r="Q50" s="42"/>
      <c r="R50" s="42"/>
      <c r="S50" s="26"/>
      <c r="T50" s="26"/>
      <c r="U50" s="26"/>
      <c r="V50" s="26"/>
      <c r="W50" s="43">
        <f>(W6-R6)/ABS(R6)</f>
        <v>-4.657039711191336E-2</v>
      </c>
      <c r="X50" s="43">
        <f>(X6-S6)/ABS(S6)</f>
        <v>0.70164756446991405</v>
      </c>
      <c r="Y50" s="43">
        <f>(Y6-T6)/ABS(T6)</f>
        <v>3.3023404937479961E-2</v>
      </c>
      <c r="Z50" s="43">
        <f>(Z6-U6)/ABS(U6)</f>
        <v>-0.33200212992545258</v>
      </c>
      <c r="AA50" s="26"/>
      <c r="AB50" s="43">
        <f>(AB6-W6)/ABS(W6)</f>
        <v>-0.28852707307837938</v>
      </c>
      <c r="AC50" s="43">
        <f>(AC6-X6)/ABS(X6)</f>
        <v>-0.50115765102083776</v>
      </c>
      <c r="AD50" s="43">
        <f>(AD6-Y6)/ABS(Y6)</f>
        <v>-0.14556176288019865</v>
      </c>
      <c r="AE50" s="43">
        <f>(AE6-Z6)/ABS(Z6)</f>
        <v>0.2610601833399761</v>
      </c>
      <c r="AF50" s="26"/>
      <c r="AG50" s="43">
        <f>(AG6-AB6)/ABS(AB6)</f>
        <v>0.30973922299095263</v>
      </c>
      <c r="AH50" s="85">
        <f>(AH6-AC6)/ABS(AC6)</f>
        <v>9.7046413502109699E-2</v>
      </c>
      <c r="AI50" s="41">
        <f>(AI6-AC6)/ABS(AC6)</f>
        <v>6.6244725738396626E-2</v>
      </c>
      <c r="AJ50" s="85">
        <f>(AJ6-AD6)/ABS(AD6)</f>
        <v>5.3396294950962583E-2</v>
      </c>
      <c r="AK50" s="85">
        <f>(AK6-AE6)/ABS(AE6)</f>
        <v>1.1378002528445006E-2</v>
      </c>
    </row>
    <row r="51" spans="1:37" s="2" customFormat="1" x14ac:dyDescent="0.2">
      <c r="A51" s="26" t="s">
        <v>8</v>
      </c>
      <c r="B51" s="26"/>
      <c r="C51" s="26"/>
      <c r="D51" s="42" t="e">
        <f>(D7-C7)/ABS(C7)</f>
        <v>#DIV/0!</v>
      </c>
      <c r="E51" s="42" t="e">
        <f>(E7-D7)/ABS(D7)</f>
        <v>#DIV/0!</v>
      </c>
      <c r="F51" s="42" t="e">
        <f>(F7-E7)/ABS(E7)</f>
        <v>#DIV/0!</v>
      </c>
      <c r="G51" s="42">
        <f>(G7-F7)/ABS(F7)</f>
        <v>-0.28526575465350973</v>
      </c>
      <c r="H51" s="42">
        <f>(H7-G7)/ABS(G7)</f>
        <v>-0.2685911515531848</v>
      </c>
      <c r="I51" s="42">
        <f>(I7-H7)/ABS(H7)</f>
        <v>-9.8241098241098238E-2</v>
      </c>
      <c r="J51" s="72">
        <f t="shared" ref="J51:M51" si="141">(J7-I7)/ABS(I7)</f>
        <v>-9.8953377735490011E-2</v>
      </c>
      <c r="K51" s="72">
        <f t="shared" si="141"/>
        <v>-1</v>
      </c>
      <c r="L51" s="72" t="e">
        <f t="shared" si="141"/>
        <v>#DIV/0!</v>
      </c>
      <c r="M51" s="72" t="e">
        <f t="shared" si="141"/>
        <v>#DIV/0!</v>
      </c>
      <c r="N51" s="72" t="e">
        <f t="shared" ref="N51:P51" si="142">(N7-M7)/ABS(M7)</f>
        <v>#DIV/0!</v>
      </c>
      <c r="O51" s="72" t="e">
        <f t="shared" si="142"/>
        <v>#DIV/0!</v>
      </c>
      <c r="P51" s="72" t="e">
        <f t="shared" si="142"/>
        <v>#DIV/0!</v>
      </c>
      <c r="Q51" s="42"/>
      <c r="R51" s="42"/>
      <c r="S51" s="26"/>
      <c r="T51" s="26"/>
      <c r="U51" s="26"/>
      <c r="V51" s="26"/>
      <c r="W51" s="43">
        <f>(W7-R7)/ABS(R7)</f>
        <v>-0.30391173520561687</v>
      </c>
      <c r="X51" s="43">
        <f>(X7-S7)/ABS(S7)</f>
        <v>-0.14030261348005502</v>
      </c>
      <c r="Y51" s="43">
        <f>(Y7-T7)/ABS(T7)</f>
        <v>-0.32137931034482758</v>
      </c>
      <c r="Z51" s="43">
        <f>(Z7-U7)/ABS(U7)</f>
        <v>-0.38617886178861788</v>
      </c>
      <c r="AA51" s="26"/>
      <c r="AB51" s="43">
        <f>(AB7-W7)/ABS(W7)</f>
        <v>-0.3069164265129683</v>
      </c>
      <c r="AC51" s="43">
        <f>(AC7-X7)/ABS(X7)</f>
        <v>-0.17760000000000001</v>
      </c>
      <c r="AD51" s="43">
        <f>(AD7-Y7)/ABS(Y7)</f>
        <v>0.241869918699187</v>
      </c>
      <c r="AE51" s="43">
        <f>(AE7-Z7)/ABS(Z7)</f>
        <v>9.2715231788079472E-2</v>
      </c>
      <c r="AF51" s="26"/>
      <c r="AG51" s="43">
        <f>(AG7-AB7)/ABS(AB7)</f>
        <v>-0.18711018711018712</v>
      </c>
      <c r="AH51" s="85">
        <f>(AH7-AC7)/ABS(AC7)</f>
        <v>-0.1245136186770428</v>
      </c>
      <c r="AI51" s="41">
        <f>(AI7-AC7)/ABS(AC7)</f>
        <v>-0.21595330739299612</v>
      </c>
      <c r="AJ51" s="85">
        <f>(AJ7-AD7)/ABS(AD7)</f>
        <v>-9.9836333878887074E-2</v>
      </c>
      <c r="AK51" s="85">
        <f>(AK7-AE7)/ABS(AE7)</f>
        <v>0.1111111111111111</v>
      </c>
    </row>
    <row r="52" spans="1:37" s="8" customFormat="1" x14ac:dyDescent="0.2">
      <c r="A52" s="38" t="s">
        <v>2</v>
      </c>
      <c r="B52" s="38"/>
      <c r="C52" s="39"/>
      <c r="D52" s="40">
        <f>(D8-C8)/ABS(C8)</f>
        <v>0.20599034830046159</v>
      </c>
      <c r="E52" s="40">
        <f>(E8-D8)/ABS(D8)</f>
        <v>2.1312687573398287E-2</v>
      </c>
      <c r="F52" s="40">
        <f>(F8-E8)/ABS(E8)</f>
        <v>-2.8959584344789404E-3</v>
      </c>
      <c r="G52" s="40">
        <f>(G8-F8)/ABS(F8)</f>
        <v>-3.0837568871994191E-2</v>
      </c>
      <c r="H52" s="40">
        <f>(H8-G8)/ABS(G8)</f>
        <v>-0.14305231148913666</v>
      </c>
      <c r="I52" s="40">
        <f>(I8-H8)/ABS(H8)</f>
        <v>-0.20179994857289793</v>
      </c>
      <c r="J52" s="71">
        <f t="shared" ref="J52:M52" si="143">(J8-I8)/ABS(I8)</f>
        <v>-8.9556085303781979E-2</v>
      </c>
      <c r="K52" s="71">
        <f t="shared" si="143"/>
        <v>2.0000000000000056E-2</v>
      </c>
      <c r="L52" s="71">
        <f t="shared" si="143"/>
        <v>1.9999999999999987E-2</v>
      </c>
      <c r="M52" s="71">
        <f t="shared" si="143"/>
        <v>1.9999999999999993E-2</v>
      </c>
      <c r="N52" s="71">
        <f t="shared" ref="N52:P52" si="144">(N8-M8)/ABS(M8)</f>
        <v>2.0000000000000077E-2</v>
      </c>
      <c r="O52" s="71">
        <f t="shared" si="144"/>
        <v>1.9999999999999983E-2</v>
      </c>
      <c r="P52" s="71">
        <f t="shared" si="144"/>
        <v>2.0000000000000014E-2</v>
      </c>
      <c r="Q52" s="40"/>
      <c r="R52" s="40"/>
      <c r="S52" s="39"/>
      <c r="T52" s="39"/>
      <c r="U52" s="39"/>
      <c r="V52" s="39"/>
      <c r="W52" s="41">
        <f>(W8-R8)/ABS(R8)</f>
        <v>0.22145748987854252</v>
      </c>
      <c r="X52" s="41">
        <f>(X8-S8)/ABS(S8)</f>
        <v>-0.16188930953668651</v>
      </c>
      <c r="Y52" s="41">
        <f>(Y8-T8)/ABS(T8)</f>
        <v>-0.27154724818276221</v>
      </c>
      <c r="Z52" s="41">
        <f>(Z8-U8)/ABS(U8)</f>
        <v>-0.33022097727980082</v>
      </c>
      <c r="AA52" s="39"/>
      <c r="AB52" s="41">
        <f>(AB8-W8)/ABS(W8)</f>
        <v>-0.38382499171362283</v>
      </c>
      <c r="AC52" s="41">
        <f>(AC8-X8)/ABS(X8)</f>
        <v>-0.13873951387395139</v>
      </c>
      <c r="AD52" s="41">
        <f>(AD8-Y8)/ABS(Y8)</f>
        <v>-9.3846519363269182E-2</v>
      </c>
      <c r="AE52" s="41">
        <f>(AE8-Z8)/ABS(Z8)</f>
        <v>-7.4117100371747208E-2</v>
      </c>
      <c r="AF52" s="39"/>
      <c r="AG52" s="41">
        <f>(AG8-AB8)/ABS(AB8)</f>
        <v>-0.18343195266272189</v>
      </c>
      <c r="AH52" s="84">
        <f>(AH8-AC8)/ABS(AC8)</f>
        <v>-0.12587412587412589</v>
      </c>
      <c r="AI52" s="41">
        <f>(AI8-AC8)/ABS(AC8)</f>
        <v>-0.2395104895104895</v>
      </c>
      <c r="AJ52" s="84">
        <f>(AJ8-AD8)/ABS(AD8)</f>
        <v>4.8767697954902989E-2</v>
      </c>
      <c r="AK52" s="84">
        <f>(AK8-AE8)/ABS(AE8)</f>
        <v>1.631116687578419E-2</v>
      </c>
    </row>
    <row r="53" spans="1:37" s="8" customFormat="1" x14ac:dyDescent="0.2">
      <c r="A53" s="38" t="s">
        <v>3</v>
      </c>
      <c r="B53" s="38"/>
      <c r="C53" s="39"/>
      <c r="D53" s="40" t="e">
        <f>(D9-C9)/ABS(C9)</f>
        <v>#DIV/0!</v>
      </c>
      <c r="E53" s="40" t="e">
        <f>(E9-D9)/ABS(D9)</f>
        <v>#DIV/0!</v>
      </c>
      <c r="F53" s="40" t="e">
        <f>(F9-E9)/ABS(E9)</f>
        <v>#DIV/0!</v>
      </c>
      <c r="G53" s="40">
        <f>(G9-F9)/ABS(F9)</f>
        <v>0.11833987661245092</v>
      </c>
      <c r="H53" s="40">
        <f>(H9-G9)/ABS(G9)</f>
        <v>5.4287863590772319E-2</v>
      </c>
      <c r="I53" s="40">
        <f>(I9-H9)/ABS(H9)</f>
        <v>-0.31335473897015104</v>
      </c>
      <c r="J53" s="71">
        <f t="shared" ref="J53:M53" si="145">(J9-I9)/ABS(I9)</f>
        <v>-2.7710426047800486E-3</v>
      </c>
      <c r="K53" s="71">
        <f t="shared" si="145"/>
        <v>2.4661340743313651E-2</v>
      </c>
      <c r="L53" s="71">
        <f t="shared" si="145"/>
        <v>5.0847457627118647E-2</v>
      </c>
      <c r="M53" s="71">
        <f t="shared" si="145"/>
        <v>3.2258064516129031E-2</v>
      </c>
      <c r="N53" s="71">
        <f t="shared" ref="N53:P53" si="146">(N9-M9)/ABS(M9)</f>
        <v>3.125E-2</v>
      </c>
      <c r="O53" s="71">
        <f t="shared" si="146"/>
        <v>3.0303030303030304E-2</v>
      </c>
      <c r="P53" s="71">
        <f t="shared" si="146"/>
        <v>2.9411764705882353E-2</v>
      </c>
      <c r="Q53" s="40"/>
      <c r="R53" s="40"/>
      <c r="S53" s="39"/>
      <c r="T53" s="39"/>
      <c r="U53" s="39"/>
      <c r="V53" s="39"/>
      <c r="W53" s="41">
        <f>(W9-R9)/ABS(R9)</f>
        <v>0.23012784880489159</v>
      </c>
      <c r="X53" s="41">
        <f>(X9-S9)/ABS(S9)</f>
        <v>0.10831353919239906</v>
      </c>
      <c r="Y53" s="41">
        <f>(Y9-T9)/ABS(T9)</f>
        <v>0.14098690835850958</v>
      </c>
      <c r="Z53" s="41">
        <f>(Z9-U9)/ABS(U9)</f>
        <v>-1.1984659635666348E-2</v>
      </c>
      <c r="AA53" s="39"/>
      <c r="AB53" s="41">
        <f>(AB9-W9)/ABS(W9)</f>
        <v>-0.32715770447356529</v>
      </c>
      <c r="AC53" s="41">
        <f>(AC9-X9)/ABS(X9)</f>
        <v>-0.41534504929275612</v>
      </c>
      <c r="AD53" s="41">
        <f>(AD9-Y9)/ABS(Y9)</f>
        <v>-0.36010591350397175</v>
      </c>
      <c r="AE53" s="41">
        <f>(AE9-Z9)/ABS(Z9)</f>
        <v>-0.28626880155264434</v>
      </c>
      <c r="AF53" s="39"/>
      <c r="AG53" s="41">
        <f>(AG9-AB9)/ABS(AB9)</f>
        <v>-8.3948959032907985E-2</v>
      </c>
      <c r="AH53" s="84">
        <f>(AH9-AC9)/ABS(AC9)</f>
        <v>2.6392961876832845E-2</v>
      </c>
      <c r="AI53" s="41">
        <f>(AI9-AC9)/ABS(AC9)</f>
        <v>-1.466275659824047E-2</v>
      </c>
      <c r="AJ53" s="84">
        <f>(AJ9-AD9)/ABS(AD9)</f>
        <v>3.4482758620689655E-2</v>
      </c>
      <c r="AK53" s="84">
        <f>(AK9-AE9)/ABS(AE9)</f>
        <v>5.3704962610469066E-2</v>
      </c>
    </row>
    <row r="54" spans="1:37" s="8" customFormat="1" x14ac:dyDescent="0.2">
      <c r="A54" s="38" t="s">
        <v>5</v>
      </c>
      <c r="B54" s="38"/>
      <c r="C54" s="39"/>
      <c r="D54" s="40">
        <f>(D11-C11)/ABS(C11)</f>
        <v>2.323809523809524</v>
      </c>
      <c r="E54" s="40">
        <f>(E11-D11)/ABS(D11)</f>
        <v>0.25931232091690543</v>
      </c>
      <c r="F54" s="40">
        <f>(F11-E11)/ABS(E11)</f>
        <v>0.10011376564277588</v>
      </c>
      <c r="G54" s="40">
        <f>(G11-F11)/ABS(F11)</f>
        <v>0.43329886246122029</v>
      </c>
      <c r="H54" s="40">
        <f>(H11-G11)/ABS(G11)</f>
        <v>0.34848484848484851</v>
      </c>
      <c r="I54" s="40">
        <f>(I11-H11)/ABS(H11)</f>
        <v>0.11235955056179775</v>
      </c>
      <c r="J54" s="71">
        <f>(J11-I11)/ABS(I11)</f>
        <v>-0.31265031265031262</v>
      </c>
      <c r="K54" s="71">
        <f>(K11-J11)/ABS(J11)</f>
        <v>0.11966410076976906</v>
      </c>
      <c r="L54" s="71">
        <f>(L11-K11)/ABS(K11)</f>
        <v>0.1875</v>
      </c>
      <c r="M54" s="71">
        <f>(M11-L11)/ABS(L11)</f>
        <v>0.21052631578947367</v>
      </c>
      <c r="N54" s="71">
        <f>(N11-M11)/ABS(M11)</f>
        <v>8.6956521739130432E-2</v>
      </c>
      <c r="O54" s="71">
        <f>(O11-N11)/ABS(N11)</f>
        <v>0.08</v>
      </c>
      <c r="P54" s="71">
        <f>(P11-O11)/ABS(O11)</f>
        <v>7.407407407407407E-2</v>
      </c>
      <c r="Q54" s="40"/>
      <c r="R54" s="40"/>
      <c r="S54" s="39"/>
      <c r="T54" s="39"/>
      <c r="U54" s="39"/>
      <c r="V54" s="39"/>
      <c r="W54" s="41">
        <f>(W11-R11)/ABS(R11)</f>
        <v>4.5092838196286469E-2</v>
      </c>
      <c r="X54" s="41">
        <f>(X11-S11)/ABS(S11)</f>
        <v>0.40672782874617736</v>
      </c>
      <c r="Y54" s="41">
        <f>(Y11-T11)/ABS(T11)</f>
        <v>0.38036809815950923</v>
      </c>
      <c r="Z54" s="41">
        <f>(Z11-U11)/ABS(U11)</f>
        <v>0.5870786516853933</v>
      </c>
      <c r="AA54" s="39"/>
      <c r="AB54" s="41">
        <f>(AB11-W11)/ABS(W11)</f>
        <v>0.16243654822335024</v>
      </c>
      <c r="AC54" s="41">
        <f>(AC11-X11)/ABS(X11)</f>
        <v>-1.3043478260869565E-2</v>
      </c>
      <c r="AD54" s="41">
        <f>(AD11-Y11)/ABS(Y11)</f>
        <v>0.17777777777777778</v>
      </c>
      <c r="AE54" s="41">
        <f>(AE11-Z11)/ABS(Z11)</f>
        <v>0.12743362831858407</v>
      </c>
      <c r="AF54" s="39"/>
      <c r="AG54" s="41">
        <f>(AG11-AB11)/ABS(AB11)</f>
        <v>-0.47816593886462883</v>
      </c>
      <c r="AH54" s="84">
        <f>(AH11-AC11)/ABS(AC11)</f>
        <v>-0.33920704845814981</v>
      </c>
      <c r="AI54" s="41">
        <f>(AI11-AC11)/ABS(AC11)</f>
        <v>-3.0837004405286344E-2</v>
      </c>
      <c r="AJ54" s="84">
        <f>(AJ11-AD11)/ABS(AD11)</f>
        <v>-0.33962264150943394</v>
      </c>
      <c r="AK54" s="84">
        <f>(AK11-AE11)/ABS(AE11)</f>
        <v>-0.37205651491365777</v>
      </c>
    </row>
    <row r="55" spans="1:37" s="8" customFormat="1" x14ac:dyDescent="0.2">
      <c r="A55" s="38" t="s">
        <v>4</v>
      </c>
      <c r="B55" s="38"/>
      <c r="C55" s="39"/>
      <c r="D55" s="40" t="e">
        <f>(D12-C12)/ABS(C12)</f>
        <v>#DIV/0!</v>
      </c>
      <c r="E55" s="40" t="e">
        <f>(E12-D12)/ABS(D12)</f>
        <v>#DIV/0!</v>
      </c>
      <c r="F55" s="40" t="e">
        <f>(F12-E12)/ABS(E12)</f>
        <v>#DIV/0!</v>
      </c>
      <c r="G55" s="40">
        <f>(G12-F12)/ABS(F12)</f>
        <v>9.9300699300699305E-2</v>
      </c>
      <c r="H55" s="40">
        <f>(H12-G12)/ABS(G12)</f>
        <v>-0.40330788804071249</v>
      </c>
      <c r="I55" s="40">
        <f>(I12-H12)/ABS(H12)</f>
        <v>1.0298507462686568</v>
      </c>
      <c r="J55" s="71">
        <f>(J12-I12)/ABS(I12)</f>
        <v>9.072478991596638</v>
      </c>
      <c r="K55" s="71">
        <f>(K12-J12)/ABS(J12)</f>
        <v>4.2861612264052558E-2</v>
      </c>
      <c r="L55" s="71">
        <f>(L12-K12)/ABS(K12)</f>
        <v>0.06</v>
      </c>
      <c r="M55" s="71">
        <f>(M12-L12)/ABS(L12)</f>
        <v>0.06</v>
      </c>
      <c r="N55" s="71">
        <f>(N12-M12)/ABS(M12)</f>
        <v>5.9999999999999984E-2</v>
      </c>
      <c r="O55" s="71">
        <f>(O12-N12)/ABS(N12)</f>
        <v>7.401053958423133E-2</v>
      </c>
      <c r="P55" s="71">
        <f>(P12-O12)/ABS(O12)</f>
        <v>0.17264112234503787</v>
      </c>
      <c r="Q55" s="40"/>
      <c r="R55" s="40"/>
      <c r="S55" s="39"/>
      <c r="T55" s="39"/>
      <c r="U55" s="39"/>
      <c r="V55" s="39"/>
      <c r="W55" s="41">
        <f>(W12-R12)/ABS(R12)</f>
        <v>1.7475728155339805</v>
      </c>
      <c r="X55" s="41">
        <f>(X12-S12)/ABS(S12)</f>
        <v>-0.53787878787878785</v>
      </c>
      <c r="Y55" s="41">
        <f>(Y12-T12)/ABS(T12)</f>
        <v>-1.7241379310344827E-2</v>
      </c>
      <c r="Z55" s="41">
        <f>(Z12-U12)/ABS(U12)</f>
        <v>0.30204081632653063</v>
      </c>
      <c r="AA55" s="39"/>
      <c r="AB55" s="41">
        <f>(AB12-W12)/ABS(W12)</f>
        <v>-0.58303886925795056</v>
      </c>
      <c r="AC55" s="41">
        <f>(AC12-X12)/ABS(X12)</f>
        <v>0.90163934426229508</v>
      </c>
      <c r="AD55" s="41">
        <f>(AD12-Y12)/ABS(Y12)</f>
        <v>0.81871345029239762</v>
      </c>
      <c r="AE55" s="41">
        <f>(AE12-Z12)/ABS(Z12)</f>
        <v>-8.7774294670846395E-2</v>
      </c>
      <c r="AF55" s="39"/>
      <c r="AG55" s="41">
        <f>(AG12-AB12)/ABS(AB12)</f>
        <v>36.025423728813557</v>
      </c>
      <c r="AH55" s="84">
        <f>(AH12-AC12)/ABS(AC12)</f>
        <v>0.72413793103448276</v>
      </c>
      <c r="AI55" s="41">
        <f>(AI12-AC12)/ABS(AC12)</f>
        <v>17.620689655172413</v>
      </c>
      <c r="AJ55" s="84">
        <f>(AJ12-AD12)/ABS(AD12)</f>
        <v>0.2861736334405145</v>
      </c>
      <c r="AK55" s="84">
        <f>(AK12-AE12)/ABS(AE12)</f>
        <v>0.71821305841924399</v>
      </c>
    </row>
    <row r="56" spans="1:37" s="8" customFormat="1" x14ac:dyDescent="0.2">
      <c r="A56" s="38" t="s">
        <v>28</v>
      </c>
      <c r="B56" s="38"/>
      <c r="C56" s="39"/>
      <c r="D56" s="40" t="e">
        <f>(D14-C14)/ABS(C14)</f>
        <v>#DIV/0!</v>
      </c>
      <c r="E56" s="40"/>
      <c r="F56" s="40"/>
      <c r="G56" s="40"/>
      <c r="H56" s="40"/>
      <c r="I56" s="40"/>
      <c r="J56" s="71"/>
      <c r="K56" s="71">
        <f t="shared" ref="K56" si="147">(K14-J14)/ABS(J14)</f>
        <v>0.38045278851463282</v>
      </c>
      <c r="L56" s="71">
        <f t="shared" ref="L56:M56" si="148">(L14-K14)/ABS(K14)</f>
        <v>0.2</v>
      </c>
      <c r="M56" s="71">
        <f t="shared" si="148"/>
        <v>0.16666666666666666</v>
      </c>
      <c r="N56" s="71">
        <f t="shared" ref="N56:P56" si="149">(N14-M14)/ABS(M14)</f>
        <v>0.14285714285714285</v>
      </c>
      <c r="O56" s="71">
        <f t="shared" si="149"/>
        <v>0.125</v>
      </c>
      <c r="P56" s="71">
        <f t="shared" si="149"/>
        <v>0.1111111111111111</v>
      </c>
      <c r="Q56" s="40"/>
      <c r="R56" s="40"/>
      <c r="S56" s="39"/>
      <c r="T56" s="39"/>
      <c r="U56" s="39"/>
      <c r="V56" s="39"/>
      <c r="W56" s="41"/>
      <c r="X56" s="41"/>
      <c r="Y56" s="41"/>
      <c r="Z56" s="41"/>
      <c r="AA56" s="39"/>
      <c r="AB56" s="41"/>
      <c r="AC56" s="41"/>
      <c r="AD56" s="41"/>
      <c r="AE56" s="41"/>
      <c r="AF56" s="39"/>
      <c r="AG56" s="41"/>
      <c r="AH56" s="84"/>
      <c r="AI56" s="41" t="e">
        <f>(AI14-AC14)/ABS(AC14)</f>
        <v>#DIV/0!</v>
      </c>
      <c r="AJ56" s="84"/>
      <c r="AK56" s="84"/>
    </row>
    <row r="57" spans="1:37" s="8" customFormat="1" x14ac:dyDescent="0.2">
      <c r="A57" s="38" t="s">
        <v>8</v>
      </c>
      <c r="B57" s="38"/>
      <c r="C57" s="39"/>
      <c r="D57" s="40" t="e">
        <f>(D15-C15)/ABS(C15)</f>
        <v>#DIV/0!</v>
      </c>
      <c r="E57" s="40" t="e">
        <f>(E15-D15)/ABS(D15)</f>
        <v>#DIV/0!</v>
      </c>
      <c r="F57" s="40" t="e">
        <f>(F15-E15)/ABS(E15)</f>
        <v>#DIV/0!</v>
      </c>
      <c r="G57" s="40">
        <f>(G15-F15)/ABS(F15)</f>
        <v>8.881922675026124E-3</v>
      </c>
      <c r="H57" s="40">
        <f>(H15-G15)/ABS(G15)</f>
        <v>-0.81201450025893318</v>
      </c>
      <c r="I57" s="40">
        <f>(I15-H15)/ABS(H15)</f>
        <v>-0.40863177226813591</v>
      </c>
      <c r="J57" s="71">
        <f t="shared" ref="J57:M57" si="150">(J15-I15)/ABS(I15)</f>
        <v>0.15838509316770186</v>
      </c>
      <c r="K57" s="71">
        <f t="shared" si="150"/>
        <v>-1</v>
      </c>
      <c r="L57" s="71" t="e">
        <f t="shared" si="150"/>
        <v>#DIV/0!</v>
      </c>
      <c r="M57" s="71" t="e">
        <f t="shared" si="150"/>
        <v>#DIV/0!</v>
      </c>
      <c r="N57" s="71" t="e">
        <f t="shared" ref="N57:P57" si="151">(N15-M15)/ABS(M15)</f>
        <v>#DIV/0!</v>
      </c>
      <c r="O57" s="71" t="e">
        <f t="shared" si="151"/>
        <v>#DIV/0!</v>
      </c>
      <c r="P57" s="71" t="e">
        <f t="shared" si="151"/>
        <v>#DIV/0!</v>
      </c>
      <c r="Q57" s="40"/>
      <c r="R57" s="40"/>
      <c r="S57" s="39"/>
      <c r="T57" s="39"/>
      <c r="U57" s="39"/>
      <c r="V57" s="39"/>
      <c r="W57" s="41">
        <f t="shared" ref="W57" si="152">(W15-R15)/ABS(R15)</f>
        <v>-0.8498687664041995</v>
      </c>
      <c r="X57" s="41">
        <f t="shared" ref="X57" si="153">(X15-S15)/ABS(S15)</f>
        <v>-0.83307810107197555</v>
      </c>
      <c r="Y57" s="41">
        <f t="shared" ref="Y57" si="154">(Y15-T15)/ABS(T15)</f>
        <v>-0.80674846625766872</v>
      </c>
      <c r="Z57" s="41">
        <f t="shared" ref="Z57" si="155">(Z15-U15)/ABS(U15)</f>
        <v>-0.78325508607198746</v>
      </c>
      <c r="AA57" s="39"/>
      <c r="AB57" s="41">
        <f t="shared" ref="AB57" si="156">(AB15-W15)/ABS(W15)</f>
        <v>-0.42307692307692307</v>
      </c>
      <c r="AC57" s="41">
        <f t="shared" ref="AC57" si="157">(AC15-X15)/ABS(X15)</f>
        <v>-0.47247706422018348</v>
      </c>
      <c r="AD57" s="41">
        <f t="shared" ref="AD57" si="158">(AD15-Y15)/ABS(Y15)</f>
        <v>-0.26190476190476192</v>
      </c>
      <c r="AE57" s="41">
        <f t="shared" ref="AE57" si="159">(AE15-Z15)/ABS(Z15)</f>
        <v>-0.35740072202166068</v>
      </c>
      <c r="AF57" s="39"/>
      <c r="AG57" s="41">
        <f t="shared" ref="AG57" si="160">(AG15-AB15)/ABS(AB15)</f>
        <v>0.17575757575757575</v>
      </c>
      <c r="AH57" s="84">
        <f t="shared" ref="AH57" si="161">(AH15-AC15)/ABS(AC15)</f>
        <v>0.30434782608695654</v>
      </c>
      <c r="AI57" s="41">
        <f t="shared" ref="AI57" si="162">(AI15-AC15)/ABS(AC15)</f>
        <v>0.45217391304347826</v>
      </c>
      <c r="AJ57" s="84">
        <f t="shared" ref="AJ57" si="163">(AJ15-AD15)/ABS(AD15)</f>
        <v>2.1505376344086023E-2</v>
      </c>
      <c r="AK57" s="84">
        <f t="shared" ref="AK57" si="164">(AK15-AE15)/ABS(AE15)</f>
        <v>9.5505617977528087E-2</v>
      </c>
    </row>
    <row r="58" spans="1:37" x14ac:dyDescent="0.2">
      <c r="A58" s="28" t="s">
        <v>46</v>
      </c>
      <c r="B58" s="25"/>
      <c r="C58" s="25"/>
      <c r="D58" s="25"/>
      <c r="E58" s="25"/>
      <c r="F58" s="25"/>
      <c r="G58" s="25"/>
      <c r="H58" s="25"/>
      <c r="I58" s="25"/>
      <c r="J58" s="57"/>
      <c r="K58" s="57"/>
      <c r="L58" s="57"/>
      <c r="M58" s="57"/>
      <c r="N58" s="57"/>
      <c r="O58" s="57"/>
      <c r="P58" s="57"/>
      <c r="Q58" s="27"/>
      <c r="R58" s="25"/>
      <c r="S58" s="25"/>
      <c r="T58" s="25"/>
      <c r="U58" s="25"/>
      <c r="V58" s="23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57"/>
      <c r="AI58" s="41"/>
      <c r="AJ58" s="57"/>
      <c r="AK58" s="57"/>
    </row>
    <row r="59" spans="1:37" s="1" customFormat="1" x14ac:dyDescent="0.2">
      <c r="A59" s="24" t="s">
        <v>1</v>
      </c>
      <c r="B59" s="24"/>
      <c r="C59" s="24"/>
      <c r="D59" s="44">
        <f t="shared" ref="D59:I59" si="165">(D18-C18)/ABS(C18)</f>
        <v>0.10085919962845422</v>
      </c>
      <c r="E59" s="44">
        <f t="shared" si="165"/>
        <v>7.5235550555477426E-2</v>
      </c>
      <c r="F59" s="44">
        <f t="shared" si="165"/>
        <v>3.3219984305519229E-2</v>
      </c>
      <c r="G59" s="44">
        <f t="shared" si="165"/>
        <v>-6.0759493670886075E-3</v>
      </c>
      <c r="H59" s="44">
        <f t="shared" si="165"/>
        <v>-0.64537697401935812</v>
      </c>
      <c r="I59" s="44">
        <f t="shared" si="165"/>
        <v>0.17076674447836238</v>
      </c>
      <c r="J59" s="73">
        <f t="shared" ref="J59:M59" si="166">(J18-I18)/ABS(I18)</f>
        <v>0.67822085889570549</v>
      </c>
      <c r="K59" s="73">
        <f t="shared" si="166"/>
        <v>0.12334732224456224</v>
      </c>
      <c r="L59" s="73">
        <f t="shared" si="166"/>
        <v>6.8108108108108245E-2</v>
      </c>
      <c r="M59" s="73">
        <f t="shared" si="166"/>
        <v>6.7368421052631619E-2</v>
      </c>
      <c r="N59" s="73">
        <f t="shared" ref="N59:P59" si="167">(N18-M18)/ABS(M18)</f>
        <v>6.6666666666666791E-2</v>
      </c>
      <c r="O59" s="73">
        <f t="shared" si="167"/>
        <v>5.3000000000000116E-2</v>
      </c>
      <c r="P59" s="73">
        <f t="shared" si="167"/>
        <v>4.194891524396379E-2</v>
      </c>
      <c r="Q59" s="24"/>
      <c r="R59" s="25"/>
      <c r="S59" s="25"/>
      <c r="T59" s="25"/>
      <c r="U59" s="25"/>
      <c r="V59" s="24"/>
      <c r="W59" s="45">
        <f t="shared" ref="W59:W66" si="168">(W18-R18)/ABS(R18)</f>
        <v>-0.34071828358208955</v>
      </c>
      <c r="X59" s="45">
        <f t="shared" ref="X59:X66" si="169">(X18-S18)/ABS(S18)</f>
        <v>-0.73070240754529658</v>
      </c>
      <c r="Y59" s="45">
        <f t="shared" ref="Y59:Y66" si="170">(Y18-T18)/ABS(T18)</f>
        <v>-0.53925389755011133</v>
      </c>
      <c r="Z59" s="45">
        <f>(Z18-U18)/ABS(U18)</f>
        <v>-0.81581027667984185</v>
      </c>
      <c r="AA59" s="24"/>
      <c r="AB59" s="45">
        <f t="shared" ref="AB59:AD59" si="171">(AB18-W18)/ABS(W18)</f>
        <v>-0.5825963919349133</v>
      </c>
      <c r="AC59" s="45">
        <f t="shared" si="171"/>
        <v>-4.2396313364055298E-2</v>
      </c>
      <c r="AD59" s="45">
        <f t="shared" si="171"/>
        <v>0.25256797583081569</v>
      </c>
      <c r="AE59" s="45">
        <f>(AE18-Z18)/ABS(Z18)</f>
        <v>3.1316165951359083</v>
      </c>
      <c r="AF59" s="24"/>
      <c r="AG59" s="45">
        <f t="shared" ref="AG59:AG66" si="172">(AG18-AB18)/ABS(AB18)</f>
        <v>1.2415254237288136</v>
      </c>
      <c r="AH59" s="86">
        <f t="shared" ref="AH59:AH66" si="173">(AH18-AC18)/ABS(AC18)</f>
        <v>1.5986525505293552</v>
      </c>
      <c r="AI59" s="45">
        <f>(AI18-AC18)/ABS(AC18)</f>
        <v>1.4032723772858517</v>
      </c>
      <c r="AJ59" s="86">
        <f t="shared" ref="AJ59:AJ66" si="174">(AJ18-AD18)/ABS(AD18)</f>
        <v>0.35069946936806562</v>
      </c>
      <c r="AK59" s="86">
        <f>(AK18-AE18)/ABS(AE18)</f>
        <v>3.8781163434903045E-2</v>
      </c>
    </row>
    <row r="60" spans="1:37" s="1" customFormat="1" x14ac:dyDescent="0.2">
      <c r="A60" s="24" t="s">
        <v>2</v>
      </c>
      <c r="B60" s="24"/>
      <c r="C60" s="24"/>
      <c r="D60" s="44">
        <f t="shared" ref="D60:I60" si="175">(D19-C19)/ABS(C19)</f>
        <v>0.36700416914830258</v>
      </c>
      <c r="E60" s="44">
        <f t="shared" si="175"/>
        <v>-0.10883583130010456</v>
      </c>
      <c r="F60" s="44">
        <f t="shared" si="175"/>
        <v>8.3015547081255497E-2</v>
      </c>
      <c r="G60" s="44">
        <f t="shared" si="175"/>
        <v>-0.23808234019501626</v>
      </c>
      <c r="H60" s="44">
        <f t="shared" si="175"/>
        <v>-0.84595331200379187</v>
      </c>
      <c r="I60" s="44">
        <f t="shared" si="175"/>
        <v>-1.4076923076923078</v>
      </c>
      <c r="J60" s="73">
        <f t="shared" ref="J60:M60" si="176">(J19-I19)/ABS(I19)</f>
        <v>3.8452830188679243</v>
      </c>
      <c r="K60" s="73">
        <f t="shared" si="176"/>
        <v>0.91162068965517251</v>
      </c>
      <c r="L60" s="73">
        <f t="shared" si="176"/>
        <v>0.12200000000000003</v>
      </c>
      <c r="M60" s="73">
        <f t="shared" si="176"/>
        <v>0.11272727272727265</v>
      </c>
      <c r="N60" s="73">
        <f t="shared" ref="N60:P60" si="177">(N19-M19)/ABS(M19)</f>
        <v>0.10500000000000022</v>
      </c>
      <c r="O60" s="73">
        <f t="shared" si="177"/>
        <v>9.8461538461538434E-2</v>
      </c>
      <c r="P60" s="73">
        <f t="shared" si="177"/>
        <v>9.2857142857142833E-2</v>
      </c>
      <c r="Q60" s="24"/>
      <c r="R60" s="24"/>
      <c r="S60" s="24"/>
      <c r="T60" s="24"/>
      <c r="U60" s="24"/>
      <c r="V60" s="24"/>
      <c r="W60" s="45">
        <f t="shared" si="168"/>
        <v>-1.1723329425556858E-2</v>
      </c>
      <c r="X60" s="45">
        <f t="shared" si="169"/>
        <v>-0.8976076555023923</v>
      </c>
      <c r="Y60" s="45">
        <f t="shared" si="170"/>
        <v>-0.99258613170518972</v>
      </c>
      <c r="Z60" s="45">
        <f t="shared" ref="Z60:Z66" si="178">(Z19-U19)/ABS(U19)</f>
        <v>-0.84212765957446811</v>
      </c>
      <c r="AA60" s="24"/>
      <c r="AB60" s="45">
        <f t="shared" ref="AB60:AB66" si="179">(AB19-W19)/ABS(W19)</f>
        <v>-0.98695136417556351</v>
      </c>
      <c r="AC60" s="45">
        <f t="shared" ref="AC60:AC66" si="180">(AC19-X19)/ABS(X19)</f>
        <v>-1.7523364485981308</v>
      </c>
      <c r="AD60" s="45">
        <f t="shared" ref="AD60:AE66" si="181">(AD19-Y19)/ABS(Y19)</f>
        <v>3.1764705882352939</v>
      </c>
      <c r="AE60" s="45">
        <f t="shared" si="181"/>
        <v>-0.78975741239892183</v>
      </c>
      <c r="AF60" s="24"/>
      <c r="AG60" s="45">
        <f t="shared" si="172"/>
        <v>20.90909090909091</v>
      </c>
      <c r="AH60" s="86">
        <f t="shared" si="173"/>
        <v>4.1055900621118013</v>
      </c>
      <c r="AI60" s="45">
        <f t="shared" ref="AI60:AI64" si="182">(AI19-AC19)/ABS(AC19)</f>
        <v>2.7142857142857144</v>
      </c>
      <c r="AJ60" s="86">
        <f t="shared" si="174"/>
        <v>3.9295774647887325</v>
      </c>
      <c r="AK60" s="86">
        <f t="shared" ref="AK60:AK66" si="183">(AK19-AE19)/ABS(AE19)</f>
        <v>4.1282051282051286</v>
      </c>
    </row>
    <row r="61" spans="1:37" s="1" customFormat="1" x14ac:dyDescent="0.2">
      <c r="A61" s="24" t="s">
        <v>3</v>
      </c>
      <c r="B61" s="24"/>
      <c r="C61" s="24"/>
      <c r="D61" s="44" t="e">
        <f t="shared" ref="D61:I61" si="184">(D20-C20)/ABS(C20)</f>
        <v>#DIV/0!</v>
      </c>
      <c r="E61" s="44" t="e">
        <f t="shared" si="184"/>
        <v>#DIV/0!</v>
      </c>
      <c r="F61" s="44" t="e">
        <f t="shared" si="184"/>
        <v>#DIV/0!</v>
      </c>
      <c r="G61" s="44">
        <f t="shared" si="184"/>
        <v>1.0224586288416075</v>
      </c>
      <c r="H61" s="44">
        <f t="shared" si="184"/>
        <v>-0.39625949736995908</v>
      </c>
      <c r="I61" s="44">
        <f t="shared" si="184"/>
        <v>-1.4666021297192642</v>
      </c>
      <c r="J61" s="73">
        <f t="shared" ref="J61:M61" si="185">(J20-I20)/ABS(I20)</f>
        <v>2.4273858921161824</v>
      </c>
      <c r="K61" s="73">
        <f t="shared" si="185"/>
        <v>0.17836054185481073</v>
      </c>
      <c r="L61" s="73">
        <f t="shared" si="185"/>
        <v>0.20847457627118637</v>
      </c>
      <c r="M61" s="73">
        <f t="shared" si="185"/>
        <v>0.18709677419354817</v>
      </c>
      <c r="N61" s="73">
        <f t="shared" ref="N61:P61" si="186">(N20-M20)/ABS(M20)</f>
        <v>0.18593749999999992</v>
      </c>
      <c r="O61" s="73">
        <f t="shared" si="186"/>
        <v>0.1848484848484849</v>
      </c>
      <c r="P61" s="73">
        <f t="shared" si="186"/>
        <v>0.18382352941176452</v>
      </c>
      <c r="Q61" s="24"/>
      <c r="R61" s="24"/>
      <c r="S61" s="24"/>
      <c r="T61" s="24"/>
      <c r="U61" s="24"/>
      <c r="V61" s="24"/>
      <c r="W61" s="45">
        <f t="shared" si="168"/>
        <v>0.50617283950617287</v>
      </c>
      <c r="X61" s="45">
        <f t="shared" si="169"/>
        <v>-0.60165289256198351</v>
      </c>
      <c r="Y61" s="45">
        <f t="shared" si="170"/>
        <v>-0.85322896281800387</v>
      </c>
      <c r="Z61" s="45">
        <f t="shared" si="178"/>
        <v>-0.83522727272727271</v>
      </c>
      <c r="AA61" s="24"/>
      <c r="AB61" s="45">
        <f t="shared" si="179"/>
        <v>-1.1885245901639345</v>
      </c>
      <c r="AC61" s="45">
        <f t="shared" si="180"/>
        <v>-1.7759336099585061</v>
      </c>
      <c r="AD61" s="45">
        <f t="shared" si="181"/>
        <v>-0.77333333333333332</v>
      </c>
      <c r="AE61" s="45">
        <f t="shared" ref="AE61:AE66" si="187">(AE20-Z20)/ABS(Z20)</f>
        <v>-1.2068965517241379</v>
      </c>
      <c r="AF61" s="24"/>
      <c r="AG61" s="45">
        <f t="shared" si="172"/>
        <v>3.6666666666666665</v>
      </c>
      <c r="AH61" s="86">
        <f t="shared" si="173"/>
        <v>2.0160427807486632</v>
      </c>
      <c r="AI61" s="45">
        <f t="shared" si="182"/>
        <v>1.7433155080213905</v>
      </c>
      <c r="AJ61" s="86">
        <f t="shared" si="174"/>
        <v>9.2941176470588243</v>
      </c>
      <c r="AK61" s="86">
        <f t="shared" si="183"/>
        <v>16.833333333333332</v>
      </c>
    </row>
    <row r="62" spans="1:37" s="1" customFormat="1" x14ac:dyDescent="0.2">
      <c r="A62" s="24" t="s">
        <v>5</v>
      </c>
      <c r="B62" s="24"/>
      <c r="C62" s="24"/>
      <c r="D62" s="44">
        <f t="shared" ref="D62:I62" si="188">(D21-C21)/ABS(C21)</f>
        <v>6.1071428571428568</v>
      </c>
      <c r="E62" s="44">
        <f t="shared" si="188"/>
        <v>0.71328671328671334</v>
      </c>
      <c r="F62" s="44">
        <f t="shared" si="188"/>
        <v>0.3183673469387755</v>
      </c>
      <c r="G62" s="44">
        <f t="shared" si="188"/>
        <v>0.71517027863777094</v>
      </c>
      <c r="H62" s="44">
        <f t="shared" si="188"/>
        <v>0.24548736462093862</v>
      </c>
      <c r="I62" s="44">
        <f t="shared" si="188"/>
        <v>-3.7681159420289857E-2</v>
      </c>
      <c r="J62" s="73">
        <f t="shared" ref="J62:M62" si="189">(J21-I21)/ABS(I21)</f>
        <v>-0.73042168674698793</v>
      </c>
      <c r="K62" s="73">
        <f t="shared" si="189"/>
        <v>1.6815642458100559</v>
      </c>
      <c r="L62" s="73">
        <f t="shared" si="189"/>
        <v>0.22708333333333333</v>
      </c>
      <c r="M62" s="73">
        <f t="shared" si="189"/>
        <v>0.24957555178268251</v>
      </c>
      <c r="N62" s="73">
        <f t="shared" ref="N62:P62" si="190">(N21-M21)/ABS(M21)</f>
        <v>0.12092391304347826</v>
      </c>
      <c r="O62" s="73">
        <f t="shared" si="190"/>
        <v>0.11272727272727287</v>
      </c>
      <c r="P62" s="73">
        <f t="shared" si="190"/>
        <v>0.10566448801742893</v>
      </c>
      <c r="Q62" s="24"/>
      <c r="R62" s="24"/>
      <c r="S62" s="24"/>
      <c r="T62" s="24"/>
      <c r="U62" s="24"/>
      <c r="V62" s="24"/>
      <c r="W62" s="45">
        <f t="shared" si="168"/>
        <v>-0.13450292397660818</v>
      </c>
      <c r="X62" s="45">
        <f t="shared" si="169"/>
        <v>0.42857142857142855</v>
      </c>
      <c r="Y62" s="45">
        <f t="shared" si="170"/>
        <v>0.11811023622047244</v>
      </c>
      <c r="Z62" s="45">
        <f t="shared" si="178"/>
        <v>0.70731707317073167</v>
      </c>
      <c r="AA62" s="24"/>
      <c r="AB62" s="45">
        <f t="shared" si="179"/>
        <v>-0.16891891891891891</v>
      </c>
      <c r="AC62" s="45">
        <f t="shared" si="180"/>
        <v>-0.32105263157894737</v>
      </c>
      <c r="AD62" s="45">
        <f t="shared" si="181"/>
        <v>0.19718309859154928</v>
      </c>
      <c r="AE62" s="45">
        <f t="shared" si="187"/>
        <v>0.15238095238095239</v>
      </c>
      <c r="AF62" s="24"/>
      <c r="AG62" s="45">
        <f t="shared" si="172"/>
        <v>-1.5528455284552845</v>
      </c>
      <c r="AH62" s="86">
        <f t="shared" si="173"/>
        <v>-1</v>
      </c>
      <c r="AI62" s="45">
        <f t="shared" si="182"/>
        <v>-0.44186046511627908</v>
      </c>
      <c r="AJ62" s="86">
        <f t="shared" si="174"/>
        <v>-0.5</v>
      </c>
      <c r="AK62" s="86">
        <f t="shared" si="183"/>
        <v>-0.62809917355371903</v>
      </c>
    </row>
    <row r="63" spans="1:37" s="1" customFormat="1" x14ac:dyDescent="0.2">
      <c r="A63" s="24" t="s">
        <v>4</v>
      </c>
      <c r="B63" s="24"/>
      <c r="C63" s="24"/>
      <c r="D63" s="44" t="e">
        <f t="shared" ref="D63:I63" si="191">(D22-C22)/ABS(C22)</f>
        <v>#DIV/0!</v>
      </c>
      <c r="E63" s="44" t="e">
        <f t="shared" si="191"/>
        <v>#DIV/0!</v>
      </c>
      <c r="F63" s="44" t="e">
        <f t="shared" si="191"/>
        <v>#DIV/0!</v>
      </c>
      <c r="G63" s="44">
        <f t="shared" si="191"/>
        <v>-1.5111111111111111</v>
      </c>
      <c r="H63" s="44">
        <f t="shared" si="191"/>
        <v>-11.217391304347826</v>
      </c>
      <c r="I63" s="44">
        <f t="shared" si="191"/>
        <v>-0.71530249110320288</v>
      </c>
      <c r="J63" s="73">
        <f t="shared" ref="J63:M63" si="192">(J22-I22)/ABS(I22)</f>
        <v>-21</v>
      </c>
      <c r="K63" s="73">
        <f>(K22-J22)/ABS(J22)</f>
        <v>0.33987174651075064</v>
      </c>
      <c r="L63" s="73">
        <f t="shared" si="192"/>
        <v>0.5</v>
      </c>
      <c r="M63" s="73">
        <f t="shared" si="192"/>
        <v>0.7142857142857143</v>
      </c>
      <c r="N63" s="73">
        <f t="shared" ref="N63:P63" si="193">(N22-M22)/ABS(M22)</f>
        <v>1</v>
      </c>
      <c r="O63" s="73" t="e">
        <f t="shared" si="193"/>
        <v>#DIV/0!</v>
      </c>
      <c r="P63" s="73">
        <f t="shared" si="193"/>
        <v>0.26645241213264104</v>
      </c>
      <c r="Q63" s="24"/>
      <c r="R63" s="24"/>
      <c r="S63" s="24"/>
      <c r="T63" s="24"/>
      <c r="U63" s="24"/>
      <c r="V63" s="24"/>
      <c r="W63" s="45">
        <f t="shared" si="168"/>
        <v>8.8235294117647065E-2</v>
      </c>
      <c r="X63" s="45">
        <f t="shared" si="169"/>
        <v>-3.9807692307692308</v>
      </c>
      <c r="Y63" s="45">
        <f t="shared" si="170"/>
        <v>-1.3409090909090908</v>
      </c>
      <c r="Z63" s="45">
        <f t="shared" si="178"/>
        <v>-11.333333333333334</v>
      </c>
      <c r="AA63" s="24"/>
      <c r="AB63" s="45">
        <f t="shared" si="179"/>
        <v>-75.129032258064512</v>
      </c>
      <c r="AC63" s="45">
        <f t="shared" si="180"/>
        <v>7.7419354838709681E-2</v>
      </c>
      <c r="AD63" s="45">
        <f t="shared" si="181"/>
        <v>0.1650485436893204</v>
      </c>
      <c r="AE63" s="45">
        <f t="shared" si="187"/>
        <v>-2.6451612903225805</v>
      </c>
      <c r="AF63" s="24"/>
      <c r="AG63" s="45">
        <f t="shared" si="172"/>
        <v>-4.8305084745762714E-2</v>
      </c>
      <c r="AH63" s="86">
        <f t="shared" si="173"/>
        <v>-16.482517482517483</v>
      </c>
      <c r="AI63" s="45">
        <f t="shared" si="182"/>
        <v>-18.79020979020979</v>
      </c>
      <c r="AJ63" s="86">
        <f t="shared" si="174"/>
        <v>-30.395348837209301</v>
      </c>
      <c r="AK63" s="86">
        <f t="shared" si="183"/>
        <v>-22.008849557522122</v>
      </c>
    </row>
    <row r="64" spans="1:37" s="1" customFormat="1" x14ac:dyDescent="0.2">
      <c r="A64" s="24" t="s">
        <v>28</v>
      </c>
      <c r="B64" s="24"/>
      <c r="C64" s="24"/>
      <c r="D64" s="44" t="e">
        <f t="shared" ref="D64" si="194">(D23-C23)/ABS(C23)</f>
        <v>#DIV/0!</v>
      </c>
      <c r="E64" s="44"/>
      <c r="F64" s="44"/>
      <c r="G64" s="44"/>
      <c r="H64" s="44"/>
      <c r="I64" s="44"/>
      <c r="J64" s="73"/>
      <c r="K64" s="73"/>
      <c r="L64" s="73"/>
      <c r="M64" s="73"/>
      <c r="N64" s="73"/>
      <c r="O64" s="73"/>
      <c r="P64" s="73"/>
      <c r="Q64" s="24"/>
      <c r="R64" s="24"/>
      <c r="S64" s="24"/>
      <c r="T64" s="24"/>
      <c r="U64" s="24"/>
      <c r="V64" s="24"/>
      <c r="W64" s="45"/>
      <c r="X64" s="45"/>
      <c r="Y64" s="45"/>
      <c r="Z64" s="45"/>
      <c r="AA64" s="24"/>
      <c r="AB64" s="45"/>
      <c r="AC64" s="45"/>
      <c r="AD64" s="45"/>
      <c r="AE64" s="45"/>
      <c r="AF64" s="24"/>
      <c r="AG64" s="45">
        <f t="shared" si="172"/>
        <v>-1.1344827586206896</v>
      </c>
      <c r="AH64" s="86" t="e">
        <f t="shared" si="173"/>
        <v>#DIV/0!</v>
      </c>
      <c r="AI64" s="45" t="e">
        <f t="shared" si="182"/>
        <v>#DIV/0!</v>
      </c>
      <c r="AJ64" s="86" t="e">
        <f t="shared" si="174"/>
        <v>#DIV/0!</v>
      </c>
      <c r="AK64" s="86" t="e">
        <f t="shared" si="183"/>
        <v>#DIV/0!</v>
      </c>
    </row>
    <row r="65" spans="1:37" s="1" customFormat="1" x14ac:dyDescent="0.2">
      <c r="A65" s="24" t="s">
        <v>8</v>
      </c>
      <c r="B65" s="24"/>
      <c r="C65" s="24"/>
      <c r="D65" s="44" t="e">
        <f t="shared" ref="D65:I65" si="195">(D24-C24)/ABS(C24)</f>
        <v>#DIV/0!</v>
      </c>
      <c r="E65" s="44" t="e">
        <f t="shared" si="195"/>
        <v>#DIV/0!</v>
      </c>
      <c r="F65" s="44" t="e">
        <f t="shared" si="195"/>
        <v>#DIV/0!</v>
      </c>
      <c r="G65" s="44">
        <f t="shared" si="195"/>
        <v>-0.57048957388939259</v>
      </c>
      <c r="H65" s="44">
        <f t="shared" si="195"/>
        <v>0.13739356328474528</v>
      </c>
      <c r="I65" s="44">
        <f t="shared" si="195"/>
        <v>6.3577045340471802E-2</v>
      </c>
      <c r="J65" s="73">
        <f t="shared" ref="J65:M65" si="196">(J24-I24)/ABS(I24)</f>
        <v>-3.5912095765588709E-2</v>
      </c>
      <c r="K65" s="73">
        <f t="shared" si="196"/>
        <v>1</v>
      </c>
      <c r="L65" s="73" t="e">
        <f t="shared" si="196"/>
        <v>#DIV/0!</v>
      </c>
      <c r="M65" s="73" t="e">
        <f t="shared" si="196"/>
        <v>#DIV/0!</v>
      </c>
      <c r="N65" s="73" t="e">
        <f t="shared" ref="N65:P65" si="197">(N24-M24)/ABS(M24)</f>
        <v>#DIV/0!</v>
      </c>
      <c r="O65" s="73" t="e">
        <f t="shared" si="197"/>
        <v>#DIV/0!</v>
      </c>
      <c r="P65" s="73" t="e">
        <f t="shared" si="197"/>
        <v>#DIV/0!</v>
      </c>
      <c r="Q65" s="24"/>
      <c r="R65" s="24"/>
      <c r="S65" s="24"/>
      <c r="T65" s="24"/>
      <c r="U65" s="24"/>
      <c r="V65" s="24"/>
      <c r="W65" s="45">
        <f t="shared" si="168"/>
        <v>0.75559701492537312</v>
      </c>
      <c r="X65" s="45">
        <f t="shared" si="169"/>
        <v>-0.66911225238444605</v>
      </c>
      <c r="Y65" s="45">
        <f t="shared" si="170"/>
        <v>-0.56629392971246006</v>
      </c>
      <c r="Z65" s="45">
        <f t="shared" si="178"/>
        <v>-0.49265605875153001</v>
      </c>
      <c r="AA65" s="24"/>
      <c r="AB65" s="45">
        <f t="shared" si="179"/>
        <v>0.89923664122137403</v>
      </c>
      <c r="AC65" s="45">
        <f t="shared" si="180"/>
        <v>0.25582417582417583</v>
      </c>
      <c r="AD65" s="45">
        <f t="shared" si="181"/>
        <v>-0.14890362060173382</v>
      </c>
      <c r="AE65" s="45">
        <f t="shared" si="187"/>
        <v>0.79581795817958179</v>
      </c>
      <c r="AF65" s="24"/>
      <c r="AG65" s="45">
        <f t="shared" si="172"/>
        <v>-0.59090909090909094</v>
      </c>
      <c r="AH65" s="86">
        <f t="shared" si="173"/>
        <v>0.11399881866509155</v>
      </c>
      <c r="AI65" s="45">
        <f>(AI24-AC24)/ABS(AC24)</f>
        <v>-0.23626698168930893</v>
      </c>
      <c r="AJ65" s="86">
        <f t="shared" si="174"/>
        <v>0.20106524633821571</v>
      </c>
      <c r="AK65" s="86">
        <f t="shared" si="183"/>
        <v>-2.6144578313253013</v>
      </c>
    </row>
    <row r="66" spans="1:37" s="5" customFormat="1" x14ac:dyDescent="0.2">
      <c r="A66" s="28" t="s">
        <v>47</v>
      </c>
      <c r="B66" s="28"/>
      <c r="C66" s="28"/>
      <c r="D66" s="44">
        <f t="shared" ref="D66:I66" si="198">(D25-C25)/ABS(C25)</f>
        <v>0.21399041623602369</v>
      </c>
      <c r="E66" s="44">
        <f t="shared" si="198"/>
        <v>-2.9797608451685308E-3</v>
      </c>
      <c r="F66" s="44">
        <f t="shared" si="198"/>
        <v>-8.0965688557677384E-2</v>
      </c>
      <c r="G66" s="44">
        <f t="shared" si="198"/>
        <v>-0.17830897879888505</v>
      </c>
      <c r="H66" s="44">
        <f t="shared" si="198"/>
        <v>-0.88003700657894735</v>
      </c>
      <c r="I66" s="44">
        <f t="shared" si="198"/>
        <v>-0.96015424164524421</v>
      </c>
      <c r="J66" s="73">
        <f t="shared" ref="J66:M66" si="199">(J25-I25)/ABS(I25)</f>
        <v>-34.215053763440864</v>
      </c>
      <c r="K66" s="73">
        <f t="shared" si="199"/>
        <v>4.128877453155102</v>
      </c>
      <c r="L66" s="73">
        <f t="shared" si="199"/>
        <v>0.52424351924161683</v>
      </c>
      <c r="M66" s="73">
        <f t="shared" si="199"/>
        <v>0.28369449662445784</v>
      </c>
      <c r="N66" s="73">
        <f t="shared" ref="N66:P66" si="200">(N25-M25)/ABS(M25)</f>
        <v>0.14368979597806986</v>
      </c>
      <c r="O66" s="73">
        <f t="shared" si="200"/>
        <v>0.22329846078714566</v>
      </c>
      <c r="P66" s="73">
        <f t="shared" si="200"/>
        <v>9.1291035879360383E-2</v>
      </c>
      <c r="Q66" s="28"/>
      <c r="R66" s="34"/>
      <c r="S66" s="34"/>
      <c r="T66" s="34"/>
      <c r="U66" s="34"/>
      <c r="V66" s="34"/>
      <c r="W66" s="45">
        <f t="shared" si="168"/>
        <v>0.17514889009204115</v>
      </c>
      <c r="X66" s="45">
        <f t="shared" si="169"/>
        <v>-1.126217093400649</v>
      </c>
      <c r="Y66" s="45">
        <f t="shared" si="170"/>
        <v>-1.0334800076525732</v>
      </c>
      <c r="Z66" s="45">
        <f t="shared" si="178"/>
        <v>-1.2268991781920224</v>
      </c>
      <c r="AA66" s="28"/>
      <c r="AB66" s="45">
        <f t="shared" si="179"/>
        <v>-1.2027182676802579</v>
      </c>
      <c r="AC66" s="45">
        <f t="shared" si="180"/>
        <v>-0.4514285714285714</v>
      </c>
      <c r="AD66" s="45">
        <f t="shared" si="181"/>
        <v>0.95428571428571429</v>
      </c>
      <c r="AE66" s="45">
        <f t="shared" si="187"/>
        <v>3.2835689045936394</v>
      </c>
      <c r="AF66" s="28"/>
      <c r="AG66" s="45">
        <f t="shared" si="172"/>
        <v>1.7102272727272727</v>
      </c>
      <c r="AH66" s="86">
        <f t="shared" si="173"/>
        <v>0.39960629921259844</v>
      </c>
      <c r="AI66" s="41"/>
      <c r="AJ66" s="86">
        <f t="shared" si="174"/>
        <v>-134</v>
      </c>
      <c r="AK66" s="86">
        <f t="shared" si="183"/>
        <v>-1.2591876208897486</v>
      </c>
    </row>
    <row r="67" spans="1:37" x14ac:dyDescent="0.2">
      <c r="A67" s="24"/>
      <c r="B67" s="24"/>
      <c r="C67" s="25"/>
      <c r="D67" s="25"/>
      <c r="E67" s="25"/>
      <c r="F67" s="25"/>
      <c r="G67" s="27"/>
      <c r="H67" s="27"/>
      <c r="I67" s="27"/>
      <c r="J67" s="59"/>
      <c r="K67" s="59"/>
      <c r="L67" s="59"/>
      <c r="M67" s="59"/>
      <c r="N67" s="59"/>
      <c r="O67" s="59"/>
      <c r="P67" s="59"/>
      <c r="Q67" s="27"/>
      <c r="R67" s="27"/>
      <c r="S67" s="23"/>
      <c r="T67" s="23"/>
      <c r="U67" s="23"/>
      <c r="V67" s="23"/>
      <c r="W67" s="25"/>
      <c r="X67" s="25"/>
      <c r="Y67" s="25"/>
      <c r="Z67" s="27"/>
      <c r="AA67" s="25"/>
      <c r="AB67" s="27"/>
      <c r="AC67" s="25"/>
      <c r="AD67" s="25"/>
      <c r="AE67" s="27"/>
      <c r="AF67" s="25"/>
      <c r="AG67" s="27"/>
      <c r="AH67" s="57"/>
      <c r="AI67" s="41"/>
      <c r="AJ67" s="57"/>
      <c r="AK67" s="57"/>
    </row>
    <row r="68" spans="1:37" outlineLevel="1" x14ac:dyDescent="0.2">
      <c r="A68" s="35" t="s">
        <v>48</v>
      </c>
      <c r="B68" s="24"/>
      <c r="C68" s="25"/>
      <c r="D68" s="44" t="e">
        <f t="shared" ref="D68" si="201">(D26-C26)/ABS(C26)</f>
        <v>#DIV/0!</v>
      </c>
      <c r="E68" s="44" t="e">
        <f t="shared" ref="E68" si="202">(E26-D26)/ABS(D26)</f>
        <v>#DIV/0!</v>
      </c>
      <c r="F68" s="44" t="e">
        <f t="shared" ref="F68" si="203">(F26-E26)/ABS(E26)</f>
        <v>#DIV/0!</v>
      </c>
      <c r="G68" s="44" t="e">
        <f t="shared" ref="G68" si="204">(G26-F26)/ABS(F26)</f>
        <v>#DIV/0!</v>
      </c>
      <c r="H68" s="44" t="e">
        <f t="shared" ref="H68" si="205">(H26-G26)/ABS(G26)</f>
        <v>#DIV/0!</v>
      </c>
      <c r="I68" s="44" t="e">
        <f t="shared" ref="I68" si="206">(I26-H26)/ABS(H26)</f>
        <v>#DIV/0!</v>
      </c>
      <c r="J68" s="73" t="e">
        <f t="shared" ref="J68" si="207">(J26-I26)/ABS(I26)</f>
        <v>#DIV/0!</v>
      </c>
      <c r="K68" s="73" t="e">
        <f t="shared" ref="K68" si="208">(K26-J26)/ABS(J26)</f>
        <v>#DIV/0!</v>
      </c>
      <c r="L68" s="73" t="e">
        <f t="shared" ref="L68" si="209">(L26-K26)/ABS(K26)</f>
        <v>#DIV/0!</v>
      </c>
      <c r="M68" s="73" t="e">
        <f t="shared" ref="M68" si="210">(M26-L26)/ABS(L26)</f>
        <v>#DIV/0!</v>
      </c>
      <c r="N68" s="73" t="e">
        <f t="shared" ref="N68" si="211">(N26-M26)/ABS(M26)</f>
        <v>#DIV/0!</v>
      </c>
      <c r="O68" s="73" t="e">
        <f t="shared" ref="O68" si="212">(O26-N26)/ABS(N26)</f>
        <v>#DIV/0!</v>
      </c>
      <c r="P68" s="73" t="e">
        <f t="shared" ref="P68" si="213">(P26-O26)/ABS(O26)</f>
        <v>#DIV/0!</v>
      </c>
      <c r="Q68" s="27"/>
      <c r="R68" s="27"/>
      <c r="S68" s="23"/>
      <c r="T68" s="23"/>
      <c r="U68" s="23"/>
      <c r="V68" s="23"/>
      <c r="W68" s="45" t="e">
        <f>(W26-R42)/ABS(R42)</f>
        <v>#DIV/0!</v>
      </c>
      <c r="X68" s="45" t="e">
        <f>(X26-S42)/ABS(S42)</f>
        <v>#DIV/0!</v>
      </c>
      <c r="Y68" s="45" t="e">
        <f>(Y26-T42)/ABS(T42)</f>
        <v>#DIV/0!</v>
      </c>
      <c r="Z68" s="45" t="e">
        <f>(Z26-U26)/ABS(U26)</f>
        <v>#DIV/0!</v>
      </c>
      <c r="AA68" s="25"/>
      <c r="AB68" s="45">
        <f>(AB27-W28)/ABS(W28)</f>
        <v>-1</v>
      </c>
      <c r="AC68" s="45">
        <f>(AC27-X28)/ABS(X28)</f>
        <v>-1</v>
      </c>
      <c r="AD68" s="45">
        <f>(AD27-Y28)/ABS(Y28)</f>
        <v>-1</v>
      </c>
      <c r="AE68" s="45">
        <f>(AE27-Z27)/ABS(Z27)</f>
        <v>1</v>
      </c>
      <c r="AF68" s="25"/>
      <c r="AG68" s="45">
        <f>(AG27-AB28)/ABS(AB28)</f>
        <v>-1.1918540358664051</v>
      </c>
      <c r="AH68" s="86">
        <f>(AH27-AC28)/ABS(AC28)</f>
        <v>-1.0772260406208973</v>
      </c>
      <c r="AI68" s="45">
        <f>(AI27-AC28)/ABS(AC28)</f>
        <v>-1.3285195768012974</v>
      </c>
      <c r="AJ68" s="86">
        <f>(AJ27-AD28)/ABS(AD28)</f>
        <v>-1.0847577341432406</v>
      </c>
      <c r="AK68" s="86" t="e">
        <f>(AK27-AE27)/ABS(AE27)</f>
        <v>#DIV/0!</v>
      </c>
    </row>
    <row r="69" spans="1:37" outlineLevel="1" x14ac:dyDescent="0.2">
      <c r="A69" s="36" t="s">
        <v>9</v>
      </c>
      <c r="B69" s="36"/>
      <c r="C69" s="23"/>
      <c r="D69" s="44" t="e">
        <f t="shared" ref="D69:I69" si="214">(D28-C28)/ABS(C28)</f>
        <v>#DIV/0!</v>
      </c>
      <c r="E69" s="44">
        <f t="shared" si="214"/>
        <v>1.5766147244805781E-2</v>
      </c>
      <c r="F69" s="44">
        <f t="shared" si="214"/>
        <v>8.2012089210032654E-2</v>
      </c>
      <c r="G69" s="44">
        <f t="shared" si="214"/>
        <v>1.4858669269395251E-2</v>
      </c>
      <c r="H69" s="44">
        <f t="shared" si="214"/>
        <v>-0.20209050415063778</v>
      </c>
      <c r="I69" s="44">
        <f t="shared" si="214"/>
        <v>-0.13997525930155105</v>
      </c>
      <c r="J69" s="73">
        <f t="shared" ref="J69:J71" si="215">(J28-I28)/ABS(I28)</f>
        <v>2.249760271446485E-3</v>
      </c>
      <c r="K69" s="73">
        <f t="shared" ref="K69:K71" si="216">(K28-J28)/ABS(J28)</f>
        <v>0.24442207911683525</v>
      </c>
      <c r="L69" s="73">
        <f t="shared" ref="L69:L71" si="217">(L28-K28)/ABS(K28)</f>
        <v>4.9044630286922367E-2</v>
      </c>
      <c r="M69" s="73">
        <f t="shared" ref="M69:M71" si="218">(M28-L28)/ABS(L28)</f>
        <v>4.8089506601875893E-2</v>
      </c>
      <c r="N69" s="73">
        <f t="shared" ref="N69:N71" si="219">(N28-M28)/ABS(M28)</f>
        <v>4.4529124794769767E-2</v>
      </c>
      <c r="O69" s="73">
        <f t="shared" ref="O69:O71" si="220">(O28-N28)/ABS(N28)</f>
        <v>4.6117221878488455E-2</v>
      </c>
      <c r="P69" s="73">
        <f t="shared" ref="P69:P71" si="221">(P28-O28)/ABS(O28)</f>
        <v>5.6079565664470171E-2</v>
      </c>
      <c r="Q69" s="44"/>
      <c r="R69" s="44"/>
      <c r="S69" s="23"/>
      <c r="T69" s="23"/>
      <c r="U69" s="23"/>
      <c r="V69" s="23"/>
      <c r="W69" s="45">
        <f t="shared" ref="W69:W70" si="222">(W28-R29)/ABS(R29)</f>
        <v>1.081110806340551</v>
      </c>
      <c r="X69" s="45">
        <f t="shared" ref="X69:X70" si="223">(X28-S29)/ABS(S29)</f>
        <v>0.81853474377269886</v>
      </c>
      <c r="Y69" s="45">
        <f t="shared" ref="Y69:Y70" si="224">(Y28-T29)/ABS(T29)</f>
        <v>0.81603333616527451</v>
      </c>
      <c r="Z69" s="45">
        <f t="shared" ref="Z69:Z71" si="225">(Z28-U28)/ABS(U28)</f>
        <v>-0.64309054343601468</v>
      </c>
      <c r="AA69" s="23"/>
      <c r="AB69" s="45">
        <f t="shared" ref="AB69:AD70" si="226">(AB28-W29)/ABS(W29)</f>
        <v>1.4908468492238263</v>
      </c>
      <c r="AC69" s="45">
        <f t="shared" si="226"/>
        <v>0.33028559687692621</v>
      </c>
      <c r="AD69" s="45">
        <f t="shared" si="226"/>
        <v>0.60831534704078161</v>
      </c>
      <c r="AE69" s="45">
        <f t="shared" ref="AE69:AE71" si="227">(AE28-Z28)/ABS(Z28)</f>
        <v>9.7137159948725252E-2</v>
      </c>
      <c r="AF69" s="23"/>
      <c r="AG69" s="45">
        <f t="shared" ref="AG69:AH70" si="228">(AG28-AB29)/ABS(AB29)</f>
        <v>0.65102577218611646</v>
      </c>
      <c r="AH69" s="86">
        <f t="shared" si="228"/>
        <v>0.57021664771766489</v>
      </c>
      <c r="AI69" s="45">
        <f t="shared" ref="AI69:AI70" si="229">(AI28-AC29)/ABS(AC29)</f>
        <v>0.54415239035212337</v>
      </c>
      <c r="AJ69" s="86">
        <f>(AJ28-AD29)/ABS(AD29)</f>
        <v>0.72580365042561312</v>
      </c>
      <c r="AK69" s="86">
        <f t="shared" ref="AK69:AK71" si="230">(AK28-AE28)/ABS(AE28)</f>
        <v>-4.2901976951797163E-2</v>
      </c>
    </row>
    <row r="70" spans="1:37" outlineLevel="1" x14ac:dyDescent="0.2">
      <c r="A70" s="35" t="s">
        <v>10</v>
      </c>
      <c r="B70" s="35"/>
      <c r="C70" s="23"/>
      <c r="D70" s="44" t="e">
        <f t="shared" ref="D70:I70" si="231">(D29-C29)/ABS(C29)</f>
        <v>#DIV/0!</v>
      </c>
      <c r="E70" s="44">
        <f t="shared" si="231"/>
        <v>0.10010696765150677</v>
      </c>
      <c r="F70" s="44">
        <f t="shared" si="231"/>
        <v>0.14853310980720871</v>
      </c>
      <c r="G70" s="44">
        <f t="shared" si="231"/>
        <v>2.7849948912567507E-2</v>
      </c>
      <c r="H70" s="44">
        <f t="shared" si="231"/>
        <v>2.7805390667158966E-2</v>
      </c>
      <c r="I70" s="44">
        <f t="shared" si="231"/>
        <v>-0.10144246711617111</v>
      </c>
      <c r="J70" s="73">
        <f t="shared" si="215"/>
        <v>4.077866961896854E-2</v>
      </c>
      <c r="K70" s="73">
        <f t="shared" si="216"/>
        <v>1.9413172591082353E-2</v>
      </c>
      <c r="L70" s="73">
        <f t="shared" si="217"/>
        <v>2.8985507246376812E-2</v>
      </c>
      <c r="M70" s="73">
        <f t="shared" si="218"/>
        <v>1.4084507042253521E-2</v>
      </c>
      <c r="N70" s="73">
        <f t="shared" si="219"/>
        <v>2.7777777777777779E-3</v>
      </c>
      <c r="O70" s="73">
        <f t="shared" si="220"/>
        <v>1.9390581717451522E-2</v>
      </c>
      <c r="P70" s="73">
        <f t="shared" si="221"/>
        <v>5.434782608695652E-3</v>
      </c>
      <c r="Q70" s="44"/>
      <c r="R70" s="44"/>
      <c r="S70" s="23"/>
      <c r="T70" s="23"/>
      <c r="U70" s="23"/>
      <c r="V70" s="23"/>
      <c r="W70" s="45">
        <f t="shared" si="222"/>
        <v>-0.67831057194626343</v>
      </c>
      <c r="X70" s="45">
        <f t="shared" si="223"/>
        <v>-0.66562853587896953</v>
      </c>
      <c r="Y70" s="45">
        <f t="shared" si="224"/>
        <v>-0.68892037829367536</v>
      </c>
      <c r="Z70" s="45">
        <f t="shared" si="225"/>
        <v>-0.10263683159995798</v>
      </c>
      <c r="AA70" s="23"/>
      <c r="AB70" s="45">
        <f t="shared" si="226"/>
        <v>-0.16629853065081335</v>
      </c>
      <c r="AC70" s="45">
        <f t="shared" si="226"/>
        <v>0.48751908230073332</v>
      </c>
      <c r="AD70" s="45">
        <f t="shared" si="226"/>
        <v>0.24555914607116935</v>
      </c>
      <c r="AE70" s="45">
        <f t="shared" si="227"/>
        <v>-2.1423554202762818E-2</v>
      </c>
      <c r="AF70" s="23"/>
      <c r="AG70" s="45">
        <f t="shared" si="228"/>
        <v>-0.49893619721317745</v>
      </c>
      <c r="AH70" s="86">
        <f t="shared" si="228"/>
        <v>0.63863734368262182</v>
      </c>
      <c r="AI70" s="45">
        <f t="shared" si="229"/>
        <v>0.78654592496765852</v>
      </c>
      <c r="AJ70" s="86">
        <f>(AJ29-AD30)/ABS(AD30)</f>
        <v>0.48720505151213028</v>
      </c>
      <c r="AK70" s="86">
        <f t="shared" si="230"/>
        <v>8.8646967340590979E-2</v>
      </c>
    </row>
    <row r="71" spans="1:37" outlineLevel="1" x14ac:dyDescent="0.2">
      <c r="A71" s="36" t="s">
        <v>12</v>
      </c>
      <c r="B71" s="36"/>
      <c r="C71" s="23"/>
      <c r="D71" s="44" t="e">
        <f t="shared" ref="D71:I71" si="232">(D30-C30)/ABS(C30)</f>
        <v>#DIV/0!</v>
      </c>
      <c r="E71" s="44">
        <f t="shared" si="232"/>
        <v>-3.6513706930059217E-2</v>
      </c>
      <c r="F71" s="44">
        <f t="shared" si="232"/>
        <v>3.4931181775035597E-2</v>
      </c>
      <c r="G71" s="44">
        <f t="shared" si="232"/>
        <v>4.6546821975603043E-3</v>
      </c>
      <c r="H71" s="44">
        <f t="shared" si="232"/>
        <v>-0.38683099395184295</v>
      </c>
      <c r="I71" s="44">
        <f t="shared" si="232"/>
        <v>-0.19187821037742872</v>
      </c>
      <c r="J71" s="73">
        <f t="shared" si="215"/>
        <v>-5.5409700151996685E-2</v>
      </c>
      <c r="K71" s="73">
        <f t="shared" si="216"/>
        <v>0.61567875950848427</v>
      </c>
      <c r="L71" s="73">
        <f t="shared" si="217"/>
        <v>6.9930507141533677E-2</v>
      </c>
      <c r="M71" s="73">
        <f t="shared" si="218"/>
        <v>8.2141083731174486E-2</v>
      </c>
      <c r="N71" s="73">
        <f t="shared" si="219"/>
        <v>8.3708293030182915E-2</v>
      </c>
      <c r="O71" s="73">
        <f t="shared" si="220"/>
        <v>6.932434952395046E-2</v>
      </c>
      <c r="P71" s="73">
        <f t="shared" si="221"/>
        <v>9.8001653169530856E-2</v>
      </c>
      <c r="Q71" s="44"/>
      <c r="R71" s="44"/>
      <c r="S71" s="23"/>
      <c r="T71" s="23"/>
      <c r="U71" s="23"/>
      <c r="V71" s="23"/>
      <c r="W71" s="45">
        <f t="shared" ref="W71" si="233">(W30-R30)/ABS(R30)</f>
        <v>-0.67353180464537044</v>
      </c>
      <c r="X71" s="45">
        <f t="shared" ref="X71" si="234">(X30-S30)/ABS(S30)</f>
        <v>-0.80807630265659913</v>
      </c>
      <c r="Y71" s="45">
        <f t="shared" ref="Y71" si="235">(Y30-T30)/ABS(T30)</f>
        <v>-0.76905907014898844</v>
      </c>
      <c r="Z71" s="45">
        <f t="shared" si="225"/>
        <v>-0.81558669133985628</v>
      </c>
      <c r="AA71" s="23"/>
      <c r="AB71" s="45">
        <f t="shared" ref="AB71:AD71" si="236">(AB30-W30)/ABS(W30)</f>
        <v>0.62068492938060804</v>
      </c>
      <c r="AC71" s="45">
        <f t="shared" si="236"/>
        <v>-0.16988166240996255</v>
      </c>
      <c r="AD71" s="45">
        <f t="shared" si="236"/>
        <v>-7.9143127634361529E-2</v>
      </c>
      <c r="AE71" s="45">
        <f t="shared" si="227"/>
        <v>0.28127272727272729</v>
      </c>
      <c r="AF71" s="23"/>
      <c r="AG71" s="45">
        <f t="shared" ref="AG71" si="237">(AG30-AB30)/ABS(AB30)</f>
        <v>-0.6517546081051665</v>
      </c>
      <c r="AH71" s="86">
        <f t="shared" ref="AH71" si="238">(AH30-AC30)/ABS(AC30)</f>
        <v>0.17509067683948104</v>
      </c>
      <c r="AI71" s="45">
        <f>(AI30-AC30)/ABS(AC30)</f>
        <v>-1.9523390207741072E-2</v>
      </c>
      <c r="AJ71" s="86">
        <f t="shared" ref="AJ71" si="239">(AJ30-AD30)/ABS(AD30)</f>
        <v>-0.15286777758981543</v>
      </c>
      <c r="AK71" s="86">
        <f t="shared" si="230"/>
        <v>-0.19894250843186989</v>
      </c>
    </row>
    <row r="72" spans="1:37" outlineLevel="1" x14ac:dyDescent="0.2">
      <c r="A72" s="22" t="s">
        <v>16</v>
      </c>
      <c r="B72" s="22"/>
      <c r="C72" s="23"/>
      <c r="D72" s="44"/>
      <c r="E72" s="44"/>
      <c r="F72" s="44"/>
      <c r="G72" s="44"/>
      <c r="H72" s="44"/>
      <c r="I72" s="44"/>
      <c r="J72" s="73"/>
      <c r="K72" s="73"/>
      <c r="L72" s="73"/>
      <c r="M72" s="73"/>
      <c r="N72" s="73"/>
      <c r="O72" s="73"/>
      <c r="P72" s="73"/>
      <c r="Q72" s="44"/>
      <c r="R72" s="44"/>
      <c r="S72" s="23"/>
      <c r="T72" s="23"/>
      <c r="U72" s="23"/>
      <c r="V72" s="23"/>
      <c r="W72" s="45"/>
      <c r="X72" s="45"/>
      <c r="Y72" s="45"/>
      <c r="Z72" s="45"/>
      <c r="AA72" s="23"/>
      <c r="AB72" s="45"/>
      <c r="AC72" s="45"/>
      <c r="AD72" s="45"/>
      <c r="AE72" s="45"/>
      <c r="AF72" s="23"/>
      <c r="AG72" s="45"/>
      <c r="AH72" s="86"/>
      <c r="AI72" s="45"/>
      <c r="AJ72" s="86"/>
      <c r="AK72" s="86"/>
    </row>
    <row r="73" spans="1:37" outlineLevel="1" x14ac:dyDescent="0.2">
      <c r="A73" s="24" t="s">
        <v>13</v>
      </c>
      <c r="B73" s="24"/>
      <c r="C73" s="23"/>
      <c r="D73" s="44" t="e">
        <f t="shared" ref="D73:I73" si="240">(D32-C32)/ABS(C32)</f>
        <v>#DIV/0!</v>
      </c>
      <c r="E73" s="44">
        <f t="shared" si="240"/>
        <v>-1.3364837923650594E-2</v>
      </c>
      <c r="F73" s="44">
        <f t="shared" si="240"/>
        <v>1.4518784613081873E-2</v>
      </c>
      <c r="G73" s="44">
        <f t="shared" si="240"/>
        <v>0.12053703157273532</v>
      </c>
      <c r="H73" s="44">
        <f t="shared" si="240"/>
        <v>0.15391705069124423</v>
      </c>
      <c r="I73" s="44">
        <f t="shared" si="240"/>
        <v>-8.4550433591967136E-2</v>
      </c>
      <c r="J73" s="73">
        <f t="shared" ref="J73:J81" si="241">(J32-I32)/ABS(I32)</f>
        <v>4.8298641405957868E-2</v>
      </c>
      <c r="K73" s="73">
        <f t="shared" ref="K73:K81" si="242">(K32-J32)/ABS(J32)</f>
        <v>7.0090957731407166E-2</v>
      </c>
      <c r="L73" s="73">
        <f t="shared" ref="L73:L81" si="243">(L32-K32)/ABS(K32)</f>
        <v>0.05</v>
      </c>
      <c r="M73" s="73">
        <f t="shared" ref="M73:M81" si="244">(M32-L32)/ABS(L32)</f>
        <v>0.05</v>
      </c>
      <c r="N73" s="73">
        <f t="shared" ref="N73:N81" si="245">(N32-M32)/ABS(M32)</f>
        <v>0.05</v>
      </c>
      <c r="O73" s="73">
        <f t="shared" ref="O73:O81" si="246">(O32-N32)/ABS(N32)</f>
        <v>4.9999999999999968E-2</v>
      </c>
      <c r="P73" s="73">
        <f t="shared" ref="P73:P81" si="247">(P32-O32)/ABS(O32)</f>
        <v>5.0000000000000107E-2</v>
      </c>
      <c r="Q73" s="44"/>
      <c r="R73" s="44"/>
      <c r="S73" s="23"/>
      <c r="T73" s="23"/>
      <c r="U73" s="23"/>
      <c r="V73" s="23"/>
      <c r="W73" s="45">
        <f t="shared" ref="W73:W80" si="248">(W32-R32)/ABS(R32)</f>
        <v>0.20397460667954734</v>
      </c>
      <c r="X73" s="45">
        <f t="shared" ref="X73:X81" si="249">(X32-S32)/ABS(S32)</f>
        <v>0.18438761776581428</v>
      </c>
      <c r="Y73" s="45">
        <f t="shared" ref="Y73:Y81" si="250">(Y32-T32)/ABS(T32)</f>
        <v>0.13121220089403102</v>
      </c>
      <c r="Z73" s="45">
        <f t="shared" ref="Z73:Z81" si="251">(Z32-U32)/ABS(U32)</f>
        <v>0.10249444307236355</v>
      </c>
      <c r="AA73" s="23"/>
      <c r="AB73" s="45">
        <f t="shared" ref="AB73:AC73" si="252">(AB32-W32)/ABS(W32)</f>
        <v>-5.8000917010545619E-2</v>
      </c>
      <c r="AC73" s="45">
        <f t="shared" si="252"/>
        <v>-7.2727272727272724E-2</v>
      </c>
      <c r="AD73" s="45">
        <f t="shared" ref="AD73" si="253">(AD32-Y32)/ABS(Y32)</f>
        <v>-0.100418410041841</v>
      </c>
      <c r="AE73" s="45">
        <f t="shared" ref="AE73" si="254">(AE32-Z32)/ABS(Z32)</f>
        <v>-0.10685483870967742</v>
      </c>
      <c r="AF73" s="23"/>
      <c r="AG73" s="86">
        <f>(AG32-AB32)/ABS(AB32)</f>
        <v>6.6439522998296419E-2</v>
      </c>
      <c r="AH73" s="86">
        <f>(AH32-AC32)/ABS(AC32)</f>
        <v>2.9411764705882353E-2</v>
      </c>
      <c r="AI73" s="45">
        <f>(AI32-AC32)/ABS(AC32)</f>
        <v>3.8970588235294118E-2</v>
      </c>
      <c r="AJ73" s="86">
        <f t="shared" ref="AJ73:AJ81" si="255">(AJ32-AD33)/ABS(AD33)</f>
        <v>2.0223880597014925</v>
      </c>
      <c r="AK73" s="86">
        <f t="shared" ref="AK73:AK81" si="256">(AK32-AE32)/ABS(AE32)</f>
        <v>4.0882869325307249E-2</v>
      </c>
    </row>
    <row r="74" spans="1:37" outlineLevel="1" x14ac:dyDescent="0.2">
      <c r="A74" s="24" t="s">
        <v>14</v>
      </c>
      <c r="B74" s="24"/>
      <c r="C74" s="23"/>
      <c r="D74" s="44" t="e">
        <f t="shared" ref="D74:I74" si="257">(D33-C33)/ABS(C33)</f>
        <v>#DIV/0!</v>
      </c>
      <c r="E74" s="44">
        <f t="shared" si="257"/>
        <v>-8.6330935251798566E-2</v>
      </c>
      <c r="F74" s="44">
        <f t="shared" si="257"/>
        <v>-2.6771653543307086E-2</v>
      </c>
      <c r="G74" s="44">
        <f t="shared" si="257"/>
        <v>5.8737864077669906E-2</v>
      </c>
      <c r="H74" s="44">
        <f t="shared" si="257"/>
        <v>7.0151306740027508E-2</v>
      </c>
      <c r="I74" s="44">
        <f t="shared" si="257"/>
        <v>-0.19537275064267351</v>
      </c>
      <c r="J74" s="73">
        <f t="shared" si="241"/>
        <v>9.0521831735889246E-3</v>
      </c>
      <c r="K74" s="73">
        <f t="shared" si="242"/>
        <v>0.31926121372031663</v>
      </c>
      <c r="L74" s="73">
        <f t="shared" si="243"/>
        <v>0.04</v>
      </c>
      <c r="M74" s="73">
        <f t="shared" si="244"/>
        <v>0.04</v>
      </c>
      <c r="N74" s="73">
        <f t="shared" si="245"/>
        <v>3.9999999999999945E-2</v>
      </c>
      <c r="O74" s="73">
        <f t="shared" si="246"/>
        <v>4.000000000000014E-2</v>
      </c>
      <c r="P74" s="73">
        <f t="shared" si="247"/>
        <v>3.9999999999999973E-2</v>
      </c>
      <c r="Q74" s="44"/>
      <c r="R74" s="44"/>
      <c r="S74" s="23"/>
      <c r="T74" s="23"/>
      <c r="U74" s="23"/>
      <c r="V74" s="23"/>
      <c r="W74" s="45">
        <f t="shared" si="248"/>
        <v>0.31927710843373491</v>
      </c>
      <c r="X74" s="45">
        <f t="shared" si="249"/>
        <v>0.12570356472795496</v>
      </c>
      <c r="Y74" s="45">
        <f t="shared" si="250"/>
        <v>4.1816009557945039E-2</v>
      </c>
      <c r="Z74" s="45">
        <f t="shared" si="251"/>
        <v>-0.12152420185375901</v>
      </c>
      <c r="AA74" s="23"/>
      <c r="AB74" s="45">
        <f t="shared" ref="AB74:AB80" si="258">(AB33-W33)/ABS(W33)</f>
        <v>-0.25627853881278539</v>
      </c>
      <c r="AC74" s="45">
        <f t="shared" ref="AC74:AC81" si="259">(AC33-X33)/ABS(X33)</f>
        <v>-0.23666666666666666</v>
      </c>
      <c r="AD74" s="45">
        <f t="shared" ref="AD74:AD81" si="260">(AD33-Y33)/ABS(Y33)</f>
        <v>-0.23165137614678899</v>
      </c>
      <c r="AE74" s="45">
        <f t="shared" ref="AE74:AE81" si="261">(AE33-Z33)/ABS(Z33)</f>
        <v>-5.216881594372802E-2</v>
      </c>
      <c r="AF74" s="23"/>
      <c r="AG74" s="86">
        <f t="shared" ref="AG74:AH81" si="262">(AG33-AB33)/ABS(AB33)</f>
        <v>0.19416730621642364</v>
      </c>
      <c r="AH74" s="86">
        <f t="shared" si="262"/>
        <v>9.1703056768558958E-2</v>
      </c>
      <c r="AI74" s="45">
        <f t="shared" ref="AI74:AI81" si="263">(AI33-AC33)/ABS(AC33)</f>
        <v>-3.2751091703056769E-2</v>
      </c>
      <c r="AJ74" s="86">
        <f t="shared" si="255"/>
        <v>0.71568627450980393</v>
      </c>
      <c r="AK74" s="86">
        <f t="shared" si="256"/>
        <v>-0.13419913419913421</v>
      </c>
    </row>
    <row r="75" spans="1:37" outlineLevel="1" x14ac:dyDescent="0.2">
      <c r="A75" s="24" t="s">
        <v>15</v>
      </c>
      <c r="B75" s="24"/>
      <c r="C75" s="23"/>
      <c r="D75" s="44" t="e">
        <f t="shared" ref="D75:I75" si="264">(D34-C34)/ABS(C34)</f>
        <v>#DIV/0!</v>
      </c>
      <c r="E75" s="44">
        <f t="shared" si="264"/>
        <v>6.458333333333333</v>
      </c>
      <c r="F75" s="44">
        <f t="shared" si="264"/>
        <v>-0.49618320610687022</v>
      </c>
      <c r="G75" s="44">
        <f t="shared" si="264"/>
        <v>12.262626262626263</v>
      </c>
      <c r="H75" s="44">
        <f t="shared" si="264"/>
        <v>-0.99923838537699927</v>
      </c>
      <c r="I75" s="44">
        <f t="shared" si="264"/>
        <v>-32</v>
      </c>
      <c r="J75" s="73">
        <f t="shared" si="241"/>
        <v>21.822580645161292</v>
      </c>
      <c r="K75" s="73">
        <f t="shared" si="242"/>
        <v>-1</v>
      </c>
      <c r="L75" s="73" t="e">
        <f t="shared" si="243"/>
        <v>#DIV/0!</v>
      </c>
      <c r="M75" s="73" t="e">
        <f t="shared" si="244"/>
        <v>#DIV/0!</v>
      </c>
      <c r="N75" s="73" t="e">
        <f t="shared" si="245"/>
        <v>#DIV/0!</v>
      </c>
      <c r="O75" s="73" t="e">
        <f t="shared" si="246"/>
        <v>#DIV/0!</v>
      </c>
      <c r="P75" s="73" t="e">
        <f t="shared" si="247"/>
        <v>#DIV/0!</v>
      </c>
      <c r="Q75" s="44"/>
      <c r="R75" s="44"/>
      <c r="S75" s="23"/>
      <c r="T75" s="23"/>
      <c r="U75" s="23"/>
      <c r="V75" s="23"/>
      <c r="W75" s="45">
        <f t="shared" si="248"/>
        <v>-1.5482118605703938</v>
      </c>
      <c r="X75" s="45">
        <f t="shared" si="249"/>
        <v>-0.74855491329479773</v>
      </c>
      <c r="Y75" s="45">
        <f t="shared" si="250"/>
        <v>14.80952380952381</v>
      </c>
      <c r="Z75" s="45">
        <f t="shared" si="251"/>
        <v>14.931034482758621</v>
      </c>
      <c r="AA75" s="23"/>
      <c r="AB75" s="45">
        <f t="shared" si="258"/>
        <v>1.0528488852188274</v>
      </c>
      <c r="AC75" s="45">
        <f t="shared" si="259"/>
        <v>1.2988505747126438</v>
      </c>
      <c r="AD75" s="45">
        <f t="shared" si="260"/>
        <v>0.2289156626506024</v>
      </c>
      <c r="AE75" s="45">
        <f t="shared" si="261"/>
        <v>-3.4718614718614718</v>
      </c>
      <c r="AF75" s="23"/>
      <c r="AG75" s="86">
        <f t="shared" si="262"/>
        <v>4.4375</v>
      </c>
      <c r="AH75" s="86">
        <f t="shared" si="262"/>
        <v>-1</v>
      </c>
      <c r="AI75" s="45">
        <f t="shared" si="263"/>
        <v>3.7149999999999999</v>
      </c>
      <c r="AJ75" s="86">
        <f t="shared" si="255"/>
        <v>-1</v>
      </c>
      <c r="AK75" s="86">
        <f t="shared" si="256"/>
        <v>1</v>
      </c>
    </row>
    <row r="76" spans="1:37" outlineLevel="1" x14ac:dyDescent="0.2">
      <c r="A76" s="36" t="s">
        <v>17</v>
      </c>
      <c r="B76" s="36"/>
      <c r="C76" s="23"/>
      <c r="D76" s="44" t="e">
        <f t="shared" ref="D76:I76" si="265">(D35-C35)/ABS(C35)</f>
        <v>#DIV/0!</v>
      </c>
      <c r="E76" s="44">
        <f t="shared" si="265"/>
        <v>-1.5474266686254345E-2</v>
      </c>
      <c r="F76" s="44">
        <f t="shared" si="265"/>
        <v>-8.505346928624721E-3</v>
      </c>
      <c r="G76" s="44">
        <f t="shared" si="265"/>
        <v>0.22198254238988663</v>
      </c>
      <c r="H76" s="44">
        <f t="shared" si="265"/>
        <v>7.1020977872654871E-3</v>
      </c>
      <c r="I76" s="44">
        <f t="shared" si="265"/>
        <v>-0.11878362954508397</v>
      </c>
      <c r="J76" s="73">
        <f t="shared" si="241"/>
        <v>0.10079563326857248</v>
      </c>
      <c r="K76" s="73">
        <f t="shared" si="242"/>
        <v>7.1563642475942352E-2</v>
      </c>
      <c r="L76" s="73">
        <f t="shared" si="243"/>
        <v>4.7058823529411764E-2</v>
      </c>
      <c r="M76" s="73">
        <f t="shared" si="244"/>
        <v>4.7078651685393255E-2</v>
      </c>
      <c r="N76" s="73">
        <f t="shared" si="245"/>
        <v>4.7098401115999555E-2</v>
      </c>
      <c r="O76" s="73">
        <f t="shared" si="246"/>
        <v>4.7118071390287487E-2</v>
      </c>
      <c r="P76" s="73">
        <f t="shared" si="247"/>
        <v>4.7137662087980751E-2</v>
      </c>
      <c r="Q76" s="44"/>
      <c r="R76" s="44"/>
      <c r="S76" s="23"/>
      <c r="T76" s="23"/>
      <c r="U76" s="23"/>
      <c r="V76" s="23"/>
      <c r="W76" s="45">
        <f t="shared" si="248"/>
        <v>-0.31522346368715082</v>
      </c>
      <c r="X76" s="45">
        <f t="shared" si="249"/>
        <v>0.1107773851590106</v>
      </c>
      <c r="Y76" s="45">
        <f t="shared" si="250"/>
        <v>0.215799963761551</v>
      </c>
      <c r="Z76" s="45">
        <f t="shared" si="251"/>
        <v>0.10166112956810631</v>
      </c>
      <c r="AA76" s="23"/>
      <c r="AB76" s="45">
        <f t="shared" si="258"/>
        <v>0.11686722414848053</v>
      </c>
      <c r="AC76" s="45">
        <f t="shared" si="259"/>
        <v>-0.10068395101002067</v>
      </c>
      <c r="AD76" s="45">
        <f t="shared" si="260"/>
        <v>-0.10193740685543964</v>
      </c>
      <c r="AE76" s="45">
        <f t="shared" si="261"/>
        <v>-0.32720144752714114</v>
      </c>
      <c r="AF76" s="23"/>
      <c r="AG76" s="86">
        <f t="shared" si="262"/>
        <v>0.14791818845872901</v>
      </c>
      <c r="AH76" s="86">
        <f t="shared" si="262"/>
        <v>8.1358330385567744E-3</v>
      </c>
      <c r="AI76" s="45">
        <f t="shared" si="263"/>
        <v>0.1515741068270251</v>
      </c>
      <c r="AJ76" s="86">
        <f t="shared" si="255"/>
        <v>682.25</v>
      </c>
      <c r="AK76" s="86">
        <f t="shared" si="256"/>
        <v>0.24383684446436577</v>
      </c>
    </row>
    <row r="77" spans="1:37" outlineLevel="1" x14ac:dyDescent="0.2">
      <c r="A77" s="36" t="s">
        <v>18</v>
      </c>
      <c r="B77" s="36"/>
      <c r="C77" s="23"/>
      <c r="D77" s="44" t="e">
        <f t="shared" ref="D77:I77" si="266">(D36-C36)/ABS(C36)</f>
        <v>#DIV/0!</v>
      </c>
      <c r="E77" s="44">
        <f t="shared" si="266"/>
        <v>-5.4940813175501799E-2</v>
      </c>
      <c r="F77" s="44">
        <f t="shared" si="266"/>
        <v>7.4563194917177222E-2</v>
      </c>
      <c r="G77" s="44">
        <f t="shared" si="266"/>
        <v>-0.17830897879888505</v>
      </c>
      <c r="H77" s="44">
        <f t="shared" si="266"/>
        <v>-0.88003700657894735</v>
      </c>
      <c r="I77" s="44">
        <f t="shared" si="266"/>
        <v>-0.96015424164524421</v>
      </c>
      <c r="J77" s="73">
        <f t="shared" si="241"/>
        <v>-36.365591397849464</v>
      </c>
      <c r="K77" s="73">
        <f t="shared" si="242"/>
        <v>3.321173608999695</v>
      </c>
      <c r="L77" s="73">
        <f t="shared" si="243"/>
        <v>0.14632583825189932</v>
      </c>
      <c r="M77" s="73">
        <f t="shared" si="244"/>
        <v>0.18911397130794971</v>
      </c>
      <c r="N77" s="73">
        <f t="shared" si="245"/>
        <v>0.18206091725515461</v>
      </c>
      <c r="O77" s="73">
        <f t="shared" si="246"/>
        <v>0.12217020327987183</v>
      </c>
      <c r="P77" s="73">
        <f t="shared" si="247"/>
        <v>0.21095068170631778</v>
      </c>
      <c r="Q77" s="44"/>
      <c r="R77" s="44"/>
      <c r="S77" s="23"/>
      <c r="T77" s="23"/>
      <c r="U77" s="23"/>
      <c r="V77" s="23"/>
      <c r="W77" s="45">
        <f t="shared" si="248"/>
        <v>-0.79479630787685984</v>
      </c>
      <c r="X77" s="45">
        <f t="shared" si="249"/>
        <v>-1.029842427201584</v>
      </c>
      <c r="Y77" s="45">
        <f t="shared" si="250"/>
        <v>-1.0076728892475331</v>
      </c>
      <c r="Z77" s="45">
        <f t="shared" si="251"/>
        <v>-1.0475544100596739</v>
      </c>
      <c r="AA77" s="23"/>
      <c r="AB77" s="45">
        <f t="shared" si="258"/>
        <v>1.1896870693577339</v>
      </c>
      <c r="AC77" s="45">
        <f t="shared" si="259"/>
        <v>-0.45175047902297549</v>
      </c>
      <c r="AD77" s="45">
        <f t="shared" si="260"/>
        <v>0.95422881226388323</v>
      </c>
      <c r="AE77" s="45">
        <f t="shared" si="261"/>
        <v>3.2835689045936394</v>
      </c>
      <c r="AF77" s="23"/>
      <c r="AG77" s="86">
        <f t="shared" si="262"/>
        <v>-1.1124058953395859</v>
      </c>
      <c r="AH77" s="86">
        <f t="shared" si="262"/>
        <v>0.75400645588731607</v>
      </c>
      <c r="AI77" s="45">
        <f t="shared" si="263"/>
        <v>-0.93262744466880221</v>
      </c>
      <c r="AJ77" s="86">
        <f t="shared" si="255"/>
        <v>-0.84271353683512706</v>
      </c>
      <c r="AK77" s="86">
        <f t="shared" si="256"/>
        <v>-0.96322934503651336</v>
      </c>
    </row>
    <row r="78" spans="1:37" outlineLevel="1" x14ac:dyDescent="0.2">
      <c r="A78" s="24" t="s">
        <v>19</v>
      </c>
      <c r="B78" s="24"/>
      <c r="C78" s="23"/>
      <c r="D78" s="44" t="e">
        <f t="shared" ref="D78:I78" si="267">(D37-C37)/ABS(C37)</f>
        <v>#DIV/0!</v>
      </c>
      <c r="E78" s="44">
        <f t="shared" si="267"/>
        <v>13.311999999999999</v>
      </c>
      <c r="F78" s="44">
        <f t="shared" si="267"/>
        <v>0.23716699155295645</v>
      </c>
      <c r="G78" s="44">
        <f t="shared" si="267"/>
        <v>0.43329831932773111</v>
      </c>
      <c r="H78" s="44">
        <f t="shared" si="267"/>
        <v>0.56394283620373764</v>
      </c>
      <c r="I78" s="44">
        <f t="shared" si="267"/>
        <v>-0.99062792877225869</v>
      </c>
      <c r="J78" s="73">
        <f t="shared" si="241"/>
        <v>1.125</v>
      </c>
      <c r="K78" s="73">
        <f t="shared" si="242"/>
        <v>-1</v>
      </c>
      <c r="L78" s="73" t="e">
        <f t="shared" si="243"/>
        <v>#DIV/0!</v>
      </c>
      <c r="M78" s="73" t="e">
        <f t="shared" si="244"/>
        <v>#DIV/0!</v>
      </c>
      <c r="N78" s="73" t="e">
        <f t="shared" si="245"/>
        <v>#DIV/0!</v>
      </c>
      <c r="O78" s="73" t="e">
        <f t="shared" si="246"/>
        <v>#DIV/0!</v>
      </c>
      <c r="P78" s="73" t="e">
        <f t="shared" si="247"/>
        <v>#DIV/0!</v>
      </c>
      <c r="Q78" s="44"/>
      <c r="R78" s="44"/>
      <c r="S78" s="23"/>
      <c r="T78" s="23"/>
      <c r="U78" s="23"/>
      <c r="V78" s="23"/>
      <c r="W78" s="45">
        <f t="shared" si="248"/>
        <v>10.747282608695652</v>
      </c>
      <c r="X78" s="45">
        <f t="shared" si="249"/>
        <v>-1.3050847457627119</v>
      </c>
      <c r="Y78" s="45">
        <f t="shared" si="250"/>
        <v>-1.0884592852958406</v>
      </c>
      <c r="Z78" s="45">
        <f t="shared" si="251"/>
        <v>-0.48189415041782729</v>
      </c>
      <c r="AA78" s="23"/>
      <c r="AB78" s="45">
        <f t="shared" si="258"/>
        <v>-0.96090677770067079</v>
      </c>
      <c r="AC78" s="45">
        <f t="shared" si="259"/>
        <v>0.73333333333333328</v>
      </c>
      <c r="AD78" s="45">
        <f t="shared" si="260"/>
        <v>-0.26490066225165565</v>
      </c>
      <c r="AE78" s="45">
        <f t="shared" si="261"/>
        <v>-0.5376344086021505</v>
      </c>
      <c r="AF78" s="23"/>
      <c r="AG78" s="86">
        <f t="shared" si="262"/>
        <v>0.21301775147928995</v>
      </c>
      <c r="AH78" s="86">
        <f t="shared" si="262"/>
        <v>1</v>
      </c>
      <c r="AI78" s="45">
        <f t="shared" si="263"/>
        <v>-4</v>
      </c>
      <c r="AJ78" s="86">
        <f t="shared" si="255"/>
        <v>-1</v>
      </c>
      <c r="AK78" s="86">
        <f t="shared" si="256"/>
        <v>-1</v>
      </c>
    </row>
    <row r="79" spans="1:37" outlineLevel="1" x14ac:dyDescent="0.2">
      <c r="A79" s="24" t="s">
        <v>20</v>
      </c>
      <c r="B79" s="24"/>
      <c r="C79" s="23"/>
      <c r="D79" s="44" t="e">
        <f t="shared" ref="D79:I79" si="268">(D38-C38)/ABS(C38)</f>
        <v>#DIV/0!</v>
      </c>
      <c r="E79" s="44">
        <f t="shared" si="268"/>
        <v>2.8412698412698414</v>
      </c>
      <c r="F79" s="44">
        <f t="shared" si="268"/>
        <v>-2.0413223140495869</v>
      </c>
      <c r="G79" s="44">
        <f t="shared" si="268"/>
        <v>4.3650793650793648E-2</v>
      </c>
      <c r="H79" s="44">
        <f t="shared" si="268"/>
        <v>3.4190871369294604</v>
      </c>
      <c r="I79" s="44">
        <f t="shared" si="268"/>
        <v>-0.46054888507718694</v>
      </c>
      <c r="J79" s="73">
        <f t="shared" si="241"/>
        <v>7.3131955484896663E-2</v>
      </c>
      <c r="K79" s="73">
        <f t="shared" si="242"/>
        <v>-1</v>
      </c>
      <c r="L79" s="73" t="e">
        <f t="shared" si="243"/>
        <v>#DIV/0!</v>
      </c>
      <c r="M79" s="73" t="e">
        <f t="shared" si="244"/>
        <v>#DIV/0!</v>
      </c>
      <c r="N79" s="73" t="e">
        <f t="shared" si="245"/>
        <v>#DIV/0!</v>
      </c>
      <c r="O79" s="73" t="e">
        <f t="shared" si="246"/>
        <v>#DIV/0!</v>
      </c>
      <c r="P79" s="73" t="e">
        <f t="shared" si="247"/>
        <v>#DIV/0!</v>
      </c>
      <c r="Q79" s="44"/>
      <c r="R79" s="44"/>
      <c r="S79" s="23"/>
      <c r="T79" s="23"/>
      <c r="U79" s="23"/>
      <c r="V79" s="23"/>
      <c r="W79" s="45">
        <f t="shared" si="248"/>
        <v>7.3910256410256414</v>
      </c>
      <c r="X79" s="45">
        <f t="shared" si="249"/>
        <v>-0.23958333333333334</v>
      </c>
      <c r="Y79" s="45">
        <f t="shared" si="250"/>
        <v>2.8157894736842106</v>
      </c>
      <c r="Z79" s="45">
        <f t="shared" si="251"/>
        <v>1.974025974025974</v>
      </c>
      <c r="AA79" s="23"/>
      <c r="AB79" s="45">
        <f t="shared" si="258"/>
        <v>-0.85857572718154462</v>
      </c>
      <c r="AC79" s="45">
        <f t="shared" si="259"/>
        <v>2.8823529411764706</v>
      </c>
      <c r="AD79" s="45">
        <f t="shared" si="260"/>
        <v>6.5217391304347824E-2</v>
      </c>
      <c r="AE79" s="45">
        <f t="shared" si="261"/>
        <v>-0.22</v>
      </c>
      <c r="AF79" s="23"/>
      <c r="AG79" s="86">
        <f t="shared" si="262"/>
        <v>2.8368794326241134E-2</v>
      </c>
      <c r="AH79" s="86">
        <f t="shared" si="262"/>
        <v>-0.33035714285714285</v>
      </c>
      <c r="AI79" s="45">
        <f t="shared" si="263"/>
        <v>-0.6428571428571429</v>
      </c>
      <c r="AJ79" s="86">
        <f t="shared" si="255"/>
        <v>3.8846153846153846</v>
      </c>
      <c r="AK79" s="86">
        <f t="shared" si="256"/>
        <v>0.28205128205128205</v>
      </c>
    </row>
    <row r="80" spans="1:37" outlineLevel="1" x14ac:dyDescent="0.2">
      <c r="A80" s="36" t="s">
        <v>21</v>
      </c>
      <c r="B80" s="36"/>
      <c r="C80" s="23"/>
      <c r="D80" s="44" t="e">
        <f t="shared" ref="D80:I80" si="269">(D39-C39)/ABS(C39)</f>
        <v>#DIV/0!</v>
      </c>
      <c r="E80" s="44">
        <f t="shared" si="269"/>
        <v>3.1779388429043189E-2</v>
      </c>
      <c r="F80" s="44">
        <f t="shared" si="269"/>
        <v>4.2397539280073157E-2</v>
      </c>
      <c r="G80" s="44">
        <f t="shared" si="269"/>
        <v>-0.13458011005662335</v>
      </c>
      <c r="H80" s="44">
        <f t="shared" si="269"/>
        <v>-0.64207713219370599</v>
      </c>
      <c r="I80" s="44">
        <f t="shared" si="269"/>
        <v>-0.90190525231719876</v>
      </c>
      <c r="J80" s="73">
        <f t="shared" si="241"/>
        <v>-4.3188976377952759</v>
      </c>
      <c r="K80" s="73">
        <f t="shared" si="242"/>
        <v>4.0187188612099627</v>
      </c>
      <c r="L80" s="73">
        <f t="shared" si="243"/>
        <v>0.14632583825189932</v>
      </c>
      <c r="M80" s="73">
        <f t="shared" si="244"/>
        <v>0.18911397130794971</v>
      </c>
      <c r="N80" s="73">
        <f t="shared" si="245"/>
        <v>0.18206091725515461</v>
      </c>
      <c r="O80" s="73">
        <f t="shared" si="246"/>
        <v>0.12217020327987183</v>
      </c>
      <c r="P80" s="73">
        <f t="shared" si="247"/>
        <v>0.21095068170631778</v>
      </c>
      <c r="Q80" s="44"/>
      <c r="R80" s="44"/>
      <c r="S80" s="23"/>
      <c r="T80" s="23"/>
      <c r="U80" s="23"/>
      <c r="V80" s="23"/>
      <c r="W80" s="45">
        <f t="shared" si="248"/>
        <v>-0.54786330252471582</v>
      </c>
      <c r="X80" s="45">
        <f t="shared" si="249"/>
        <v>-1.0384284091527731</v>
      </c>
      <c r="Y80" s="45">
        <f t="shared" si="250"/>
        <v>-1.0076927791792889</v>
      </c>
      <c r="Z80" s="45">
        <f t="shared" si="251"/>
        <v>-1.033153803398692</v>
      </c>
      <c r="AA80" s="23"/>
      <c r="AB80" s="45">
        <f t="shared" si="258"/>
        <v>1.6023463598532298E-2</v>
      </c>
      <c r="AC80" s="45">
        <f t="shared" si="259"/>
        <v>0.10215691983783878</v>
      </c>
      <c r="AD80" s="45">
        <f t="shared" si="260"/>
        <v>0.72308380251631166</v>
      </c>
      <c r="AE80" s="45">
        <f t="shared" si="261"/>
        <v>4.5025125628140703</v>
      </c>
      <c r="AF80" s="23"/>
      <c r="AG80" s="86">
        <f t="shared" si="262"/>
        <v>-1.073200417746595</v>
      </c>
      <c r="AH80" s="86">
        <f t="shared" si="262"/>
        <v>0.87753744997734451</v>
      </c>
      <c r="AI80" s="45">
        <f t="shared" si="263"/>
        <v>-1.4553302497346852</v>
      </c>
      <c r="AJ80" s="86">
        <f t="shared" si="255"/>
        <v>0.44210418360356551</v>
      </c>
      <c r="AK80" s="86">
        <f t="shared" si="256"/>
        <v>-0.91210468325659511</v>
      </c>
    </row>
    <row r="81" spans="1:37" outlineLevel="1" x14ac:dyDescent="0.2">
      <c r="A81" s="35" t="s">
        <v>22</v>
      </c>
      <c r="B81" s="35"/>
      <c r="C81" s="23"/>
      <c r="D81" s="44" t="e">
        <f t="shared" ref="D81:I81" si="270">(D40-C40)/ABS(C40)</f>
        <v>#DIV/0!</v>
      </c>
      <c r="E81" s="44">
        <f t="shared" si="270"/>
        <v>0.3295053003533569</v>
      </c>
      <c r="F81" s="44">
        <f t="shared" si="270"/>
        <v>0.38837209302325582</v>
      </c>
      <c r="G81" s="44">
        <f t="shared" si="270"/>
        <v>-0.56089973677913374</v>
      </c>
      <c r="H81" s="44">
        <f t="shared" si="270"/>
        <v>-1.1356948228882833</v>
      </c>
      <c r="I81" s="44">
        <f t="shared" si="270"/>
        <v>-2.6666666666666665</v>
      </c>
      <c r="J81" s="73">
        <f t="shared" si="241"/>
        <v>0.29968387094683491</v>
      </c>
      <c r="K81" s="73">
        <f t="shared" si="242"/>
        <v>2.7910093388374713</v>
      </c>
      <c r="L81" s="73">
        <f t="shared" si="243"/>
        <v>0.37559100590227923</v>
      </c>
      <c r="M81" s="73">
        <f t="shared" si="244"/>
        <v>0.1891139713079498</v>
      </c>
      <c r="N81" s="73">
        <f t="shared" si="245"/>
        <v>0.18206091725515464</v>
      </c>
      <c r="O81" s="73">
        <f t="shared" si="246"/>
        <v>0.12217020327987163</v>
      </c>
      <c r="P81" s="73">
        <f t="shared" si="247"/>
        <v>0.21095068170631795</v>
      </c>
      <c r="Q81" s="44"/>
      <c r="R81" s="44"/>
      <c r="S81" s="23"/>
      <c r="T81" s="23"/>
      <c r="U81" s="23"/>
      <c r="V81" s="23"/>
      <c r="W81" s="45">
        <f>(W40-R40)/ABS(R40)</f>
        <v>1.8403669724770642</v>
      </c>
      <c r="X81" s="45">
        <f t="shared" si="249"/>
        <v>-1.6652046783625731</v>
      </c>
      <c r="Y81" s="45">
        <f t="shared" si="250"/>
        <v>-35.485714285714288</v>
      </c>
      <c r="Z81" s="45">
        <f t="shared" si="251"/>
        <v>-1.2364273204903677</v>
      </c>
      <c r="AA81" s="23"/>
      <c r="AB81" s="45">
        <f>(AB40-W40)/ABS(W40)</f>
        <v>4.0051679586563305E-2</v>
      </c>
      <c r="AC81" s="45">
        <f t="shared" si="259"/>
        <v>-4.0307692307692307</v>
      </c>
      <c r="AD81" s="45">
        <f t="shared" si="260"/>
        <v>0.70008285004142501</v>
      </c>
      <c r="AE81" s="45">
        <f t="shared" si="261"/>
        <v>1.9481481481481482</v>
      </c>
      <c r="AF81" s="23"/>
      <c r="AG81" s="86">
        <f t="shared" si="262"/>
        <v>-1.1751552795031055</v>
      </c>
      <c r="AH81" s="86">
        <f t="shared" si="262"/>
        <v>0.99432467133839952</v>
      </c>
      <c r="AI81" s="45">
        <f t="shared" si="263"/>
        <v>0.84709480122324154</v>
      </c>
      <c r="AJ81" s="86">
        <f t="shared" si="255"/>
        <v>-1.0846921842568265</v>
      </c>
      <c r="AK81" s="86">
        <f t="shared" si="256"/>
        <v>-0.75111891718375245</v>
      </c>
    </row>
    <row r="82" spans="1:37" outlineLevel="1" x14ac:dyDescent="0.2">
      <c r="A82" s="17" t="s">
        <v>63</v>
      </c>
      <c r="B82" s="18"/>
      <c r="C82" s="19"/>
      <c r="D82" s="20"/>
      <c r="E82" s="21">
        <f>E40/E39</f>
        <v>0.12511430709119628</v>
      </c>
      <c r="F82" s="21">
        <f t="shared" ref="F82:P82" si="271">F40/F39</f>
        <v>0.16664008294122337</v>
      </c>
      <c r="G82" s="21">
        <f t="shared" si="271"/>
        <v>8.4550522969174771E-2</v>
      </c>
      <c r="H82" s="21">
        <f t="shared" si="271"/>
        <v>-3.2054582904222452E-2</v>
      </c>
      <c r="I82" s="21">
        <f t="shared" si="271"/>
        <v>-1.1981627296587927</v>
      </c>
      <c r="J82" s="74">
        <f>J40/J39</f>
        <v>0.25282270692982989</v>
      </c>
      <c r="K82" s="74">
        <f t="shared" si="271"/>
        <v>0.15</v>
      </c>
      <c r="L82" s="74">
        <f t="shared" si="271"/>
        <v>0.18</v>
      </c>
      <c r="M82" s="74">
        <f t="shared" si="271"/>
        <v>0.18</v>
      </c>
      <c r="N82" s="74">
        <f t="shared" si="271"/>
        <v>0.18000000000000002</v>
      </c>
      <c r="O82" s="74">
        <f t="shared" si="271"/>
        <v>0.17999999999999997</v>
      </c>
      <c r="P82" s="74">
        <f t="shared" si="271"/>
        <v>0.18</v>
      </c>
      <c r="R82" s="20"/>
      <c r="S82" s="19"/>
      <c r="T82" s="19"/>
      <c r="U82" s="19"/>
      <c r="W82" s="21">
        <f t="shared" ref="W82:Z82" si="272">W40/W39</f>
        <v>0.16022661589535553</v>
      </c>
      <c r="X82" s="21">
        <f t="shared" si="272"/>
        <v>0.50063554102179331</v>
      </c>
      <c r="Y82" s="21">
        <f t="shared" si="272"/>
        <v>6.4276509685156116</v>
      </c>
      <c r="Z82" s="21">
        <f t="shared" si="272"/>
        <v>0.16959798994974876</v>
      </c>
      <c r="AB82" s="21">
        <f t="shared" ref="AB82:AE82" si="273">AB40/AB39</f>
        <v>0.16401585883284553</v>
      </c>
      <c r="AC82" s="21">
        <f t="shared" si="273"/>
        <v>2.8051470588235294</v>
      </c>
      <c r="AD82" s="21">
        <f t="shared" si="273"/>
        <v>6.9615384615384617</v>
      </c>
      <c r="AE82" s="21">
        <f t="shared" si="273"/>
        <v>4.5911047345767578E-2</v>
      </c>
      <c r="AG82" s="21">
        <f t="shared" ref="AG82:AK82" si="274">AG40/AG39</f>
        <v>0.39246010448000845</v>
      </c>
      <c r="AH82" s="74">
        <f t="shared" si="274"/>
        <v>0.13</v>
      </c>
      <c r="AI82" s="89">
        <f t="shared" si="274"/>
        <v>0.17468997039147741</v>
      </c>
      <c r="AJ82" s="74">
        <f t="shared" si="274"/>
        <v>0.13</v>
      </c>
      <c r="AK82" s="74">
        <f t="shared" si="274"/>
        <v>0.13</v>
      </c>
    </row>
    <row r="83" spans="1:37" outlineLevel="1" x14ac:dyDescent="0.2">
      <c r="A83" s="22" t="s">
        <v>23</v>
      </c>
      <c r="B83" s="22"/>
      <c r="C83" s="23"/>
      <c r="D83" s="44" t="e">
        <f t="shared" ref="D83:I83" si="275">(D41-C41)/ABS(C41)</f>
        <v>#DIV/0!</v>
      </c>
      <c r="E83" s="44">
        <f t="shared" si="275"/>
        <v>-2.374958438227331E-4</v>
      </c>
      <c r="F83" s="44">
        <f t="shared" si="275"/>
        <v>-7.0790573926263782E-3</v>
      </c>
      <c r="G83" s="44">
        <f t="shared" si="275"/>
        <v>-4.9332503947557296E-2</v>
      </c>
      <c r="H83" s="44">
        <f t="shared" si="275"/>
        <v>-0.59648681296557282</v>
      </c>
      <c r="I83" s="44">
        <f t="shared" si="275"/>
        <v>-0.79106897842085566</v>
      </c>
      <c r="J83" s="73">
        <f t="shared" ref="J83:P83" si="276">(J41-I41)/ABS(I41)</f>
        <v>-2.1281261935369913</v>
      </c>
      <c r="K83" s="73">
        <f t="shared" si="276"/>
        <v>4.4341394684052515</v>
      </c>
      <c r="L83" s="73">
        <f t="shared" si="276"/>
        <v>0.10586727925477359</v>
      </c>
      <c r="M83" s="73">
        <f t="shared" si="276"/>
        <v>0.18911397130794977</v>
      </c>
      <c r="N83" s="73">
        <f t="shared" si="276"/>
        <v>0.18206091725515458</v>
      </c>
      <c r="O83" s="73">
        <f t="shared" si="276"/>
        <v>0.12217020327987176</v>
      </c>
      <c r="P83" s="73">
        <f t="shared" si="276"/>
        <v>0.21095068170631776</v>
      </c>
      <c r="Q83" s="23"/>
      <c r="R83" s="44"/>
      <c r="S83" s="23"/>
      <c r="T83" s="23"/>
      <c r="U83" s="23"/>
      <c r="V83" s="23"/>
      <c r="W83" s="45">
        <f t="shared" ref="W83" si="277">(W41-R41)/ABS(R41)</f>
        <v>-0.61037001667697843</v>
      </c>
      <c r="X83" s="45">
        <f t="shared" ref="X83" si="278">(X41-S41)/ABS(S41)</f>
        <v>-1.0197613056836148</v>
      </c>
      <c r="Y83" s="45">
        <f t="shared" ref="Y83" si="279">(Y41-T41)/ABS(T41)</f>
        <v>-0.95818632612144605</v>
      </c>
      <c r="Z83" s="45">
        <f>(Z41-U41)/ABS(U41)</f>
        <v>-1.0282016899648816</v>
      </c>
      <c r="AA83" s="23"/>
      <c r="AB83" s="45">
        <f t="shared" ref="AB83:AD83" si="280">(AB41-W41)/ABS(W41)</f>
        <v>1.1438941384995294E-2</v>
      </c>
      <c r="AC83" s="45">
        <f t="shared" si="280"/>
        <v>4.2456030185971168</v>
      </c>
      <c r="AD83" s="45">
        <f t="shared" si="280"/>
        <v>-0.69584511393637527</v>
      </c>
      <c r="AE83" s="45">
        <f>(AE41-Z41)/ABS(Z41)</f>
        <v>5.0242057488653558</v>
      </c>
      <c r="AF83" s="23"/>
      <c r="AG83" s="45">
        <f t="shared" ref="AG83" si="281">(AG41-AB41)/ABS(AB41)</f>
        <v>-1.0531973897108819</v>
      </c>
      <c r="AH83" s="86">
        <f>(AH41-AC41)/ABS(AC41)</f>
        <v>-1.0590214619905522</v>
      </c>
      <c r="AI83" s="45">
        <f>(AI41-AC41)/ABS(AC41)</f>
        <v>-2.1225726298598122</v>
      </c>
      <c r="AJ83" s="86">
        <f t="shared" ref="AJ83" si="282">(AJ41-AD41)/ABS(AD41)</f>
        <v>-1.5667861561803003</v>
      </c>
      <c r="AK83" s="86">
        <f>(AK41-AE41)/ABS(AE41)</f>
        <v>-0.91985136673679202</v>
      </c>
    </row>
    <row r="84" spans="1:37" outlineLevel="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56"/>
      <c r="K84" s="56"/>
      <c r="L84" s="56"/>
      <c r="M84" s="56"/>
      <c r="N84" s="56"/>
      <c r="O84" s="56"/>
      <c r="P84" s="56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56"/>
      <c r="AI84" s="45"/>
      <c r="AJ84" s="56"/>
      <c r="AK84" s="56"/>
    </row>
    <row r="85" spans="1:37" outlineLevel="1" x14ac:dyDescent="0.2">
      <c r="A85" s="23" t="s">
        <v>31</v>
      </c>
      <c r="B85" s="23"/>
      <c r="C85" s="23"/>
      <c r="D85" s="44" t="e">
        <f>(D43-C43)/ABS(C43)</f>
        <v>#DIV/0!</v>
      </c>
      <c r="E85" s="44">
        <f t="shared" ref="E85:H86" si="283">(E43-D43)/ABS(D43)</f>
        <v>5.0722900075606904E-2</v>
      </c>
      <c r="F85" s="44">
        <f t="shared" si="283"/>
        <v>4.9464880974192306E-2</v>
      </c>
      <c r="G85" s="44">
        <f t="shared" si="283"/>
        <v>-1.6326444182411345E-2</v>
      </c>
      <c r="H85" s="44">
        <f t="shared" si="283"/>
        <v>-0.59971648436313174</v>
      </c>
      <c r="I85" s="44">
        <f>(I43-H43)/ABS(H43)</f>
        <v>-0.79548371273247576</v>
      </c>
      <c r="J85" s="73">
        <f t="shared" ref="J85:M86" si="284">(J43-I43)/ABS(I43)</f>
        <v>-2.1202007466589201</v>
      </c>
      <c r="K85" s="73">
        <f t="shared" si="284"/>
        <v>4.4323592830069263</v>
      </c>
      <c r="L85" s="73">
        <f t="shared" si="284"/>
        <v>0.10378662586012671</v>
      </c>
      <c r="M85" s="73">
        <f t="shared" si="284"/>
        <v>0.18688089342755934</v>
      </c>
      <c r="N85" s="73">
        <f t="shared" ref="N85:P85" si="285">(N43-M43)/ABS(M43)</f>
        <v>0.17929262470888951</v>
      </c>
      <c r="O85" s="73">
        <f t="shared" si="285"/>
        <v>0.11954831028155438</v>
      </c>
      <c r="P85" s="73">
        <f t="shared" si="285"/>
        <v>0.20812795284453134</v>
      </c>
      <c r="Q85" s="23"/>
      <c r="R85" s="23"/>
      <c r="S85" s="23"/>
      <c r="T85" s="23"/>
      <c r="U85" s="23"/>
      <c r="V85" s="23"/>
      <c r="W85" s="45">
        <f t="shared" ref="W85:W86" si="286">(W43-R43)/ABS(R43)</f>
        <v>-0.58982312302517848</v>
      </c>
      <c r="X85" s="45">
        <f t="shared" ref="X85:X86" si="287">(X43-S43)/ABS(S43)</f>
        <v>-1.019684188393142</v>
      </c>
      <c r="Y85" s="45">
        <f t="shared" ref="Y85:Y86" si="288">(Y43-T43)/ABS(T43)</f>
        <v>-0.95858165540175244</v>
      </c>
      <c r="Z85" s="45">
        <f>(Z43-U43)/ABS(U43)</f>
        <v>-1.0279423954527438</v>
      </c>
      <c r="AA85" s="23"/>
      <c r="AB85" s="45">
        <f t="shared" ref="AB85" si="289">(AB43-W43)/ABS(W43)</f>
        <v>-2.6832200498457673E-3</v>
      </c>
      <c r="AC85" s="45">
        <f t="shared" ref="AC85" si="290">(AC43-X43)/ABS(X43)</f>
        <v>4.1713470868084315</v>
      </c>
      <c r="AD85" s="45">
        <f t="shared" ref="AD85" si="291">(AD43-Y43)/ABS(Y43)</f>
        <v>-0.70332492196442387</v>
      </c>
      <c r="AE85" s="45">
        <f>(AE43-Z43)/ABS(Z43)</f>
        <v>4.9042352957888529</v>
      </c>
      <c r="AF85" s="23"/>
      <c r="AG85" s="45">
        <f t="shared" ref="AG85" si="292">(AG43-AB43)/ABS(AB43)</f>
        <v>-1.052093813498115</v>
      </c>
      <c r="AH85" s="86">
        <f t="shared" ref="AH85" si="293">(AH43-AC43)/ABS(AC43)</f>
        <v>-1.0589652510743708</v>
      </c>
      <c r="AI85" s="45">
        <f>(AI43-AC43)/ABS(AC43)</f>
        <v>-2.1038937789762766</v>
      </c>
      <c r="AJ85" s="86">
        <f t="shared" ref="AJ85" si="294">(AJ43-AD43)/ABS(AD43)</f>
        <v>-1.565315720397757</v>
      </c>
      <c r="AK85" s="86">
        <f>(AK43-AE43)/ABS(AE43)</f>
        <v>-0.91985136673679202</v>
      </c>
    </row>
    <row r="86" spans="1:37" outlineLevel="1" x14ac:dyDescent="0.2">
      <c r="A86" s="23" t="s">
        <v>30</v>
      </c>
      <c r="B86" s="23"/>
      <c r="C86" s="23"/>
      <c r="D86" s="44" t="e">
        <f t="shared" ref="D86" si="295">(D44-C44)/ABS(C44)</f>
        <v>#DIV/0!</v>
      </c>
      <c r="E86" s="44">
        <f t="shared" si="283"/>
        <v>-4.8500319081046586E-2</v>
      </c>
      <c r="F86" s="44">
        <f t="shared" si="283"/>
        <v>-5.3878828526715848E-2</v>
      </c>
      <c r="G86" s="44">
        <f t="shared" si="283"/>
        <v>-3.3553875236294897E-2</v>
      </c>
      <c r="H86" s="44">
        <f t="shared" si="283"/>
        <v>8.0684596577017108E-3</v>
      </c>
      <c r="I86" s="44">
        <f t="shared" ref="I86" si="296">(I44-H44)/ABS(H44)</f>
        <v>2.1586223623575068E-2</v>
      </c>
      <c r="J86" s="73">
        <f t="shared" si="284"/>
        <v>7.0750237416904518E-3</v>
      </c>
      <c r="K86" s="73">
        <f t="shared" si="284"/>
        <v>5.1864774388227122E-4</v>
      </c>
      <c r="L86" s="73">
        <f t="shared" si="284"/>
        <v>1.885014137606032E-3</v>
      </c>
      <c r="M86" s="73">
        <f t="shared" si="284"/>
        <v>1.8814675446848542E-3</v>
      </c>
      <c r="N86" s="73">
        <f t="shared" ref="N86:P86" si="297">(N44-M44)/ABS(M44)</f>
        <v>2.3474178403755869E-3</v>
      </c>
      <c r="O86" s="73">
        <f t="shared" si="297"/>
        <v>2.34192037470726E-3</v>
      </c>
      <c r="P86" s="73">
        <f t="shared" si="297"/>
        <v>2.3364485981308409E-3</v>
      </c>
      <c r="Q86" s="23"/>
      <c r="R86" s="23"/>
      <c r="S86" s="23"/>
      <c r="T86" s="23"/>
      <c r="U86" s="23"/>
      <c r="V86" s="23"/>
      <c r="W86" s="45">
        <f t="shared" si="286"/>
        <v>-5.0092764378478663E-2</v>
      </c>
      <c r="X86" s="45">
        <f t="shared" si="287"/>
        <v>3.9177277179236044E-3</v>
      </c>
      <c r="Y86" s="45">
        <f t="shared" si="288"/>
        <v>9.544787077826725E-3</v>
      </c>
      <c r="Z86" s="45">
        <f>(Z44-U44)/ABS(U44)</f>
        <v>9.2796092796092796E-3</v>
      </c>
      <c r="AA86" s="45"/>
      <c r="AB86" s="45">
        <f t="shared" ref="AB86:AD86" si="298">(AB44-W44)/ABS(W44)</f>
        <v>1.416015625E-2</v>
      </c>
      <c r="AC86" s="45">
        <f t="shared" si="298"/>
        <v>2.3414634146341463E-2</v>
      </c>
      <c r="AD86" s="45">
        <f t="shared" si="298"/>
        <v>2.5212121212121213E-2</v>
      </c>
      <c r="AE86" s="45">
        <f>(AE44-Z44)/ABS(Z44)</f>
        <v>3.0728284539075734E-2</v>
      </c>
      <c r="AF86" s="23"/>
      <c r="AG86" s="45">
        <f t="shared" ref="AG86" si="299">(AG44-AB44)/ABS(AB44)</f>
        <v>2.118440057775638E-2</v>
      </c>
      <c r="AH86" s="86">
        <f t="shared" ref="AH86" si="300">(AH44-AC44)/ABS(AC44)</f>
        <v>9.5328884652049568E-4</v>
      </c>
      <c r="AI86" s="45">
        <f t="shared" ref="AI86" si="301">(AI44-AC44)/ABS(AC44)</f>
        <v>1.6920877025738797E-2</v>
      </c>
      <c r="AJ86" s="86">
        <f t="shared" ref="AJ86" si="302">(AJ44-AD44)/ABS(AD44)</f>
        <v>2.6010877275951761E-3</v>
      </c>
      <c r="AK86" s="86">
        <f>(AK44-AE44)/ABS(AE44)</f>
        <v>0</v>
      </c>
    </row>
    <row r="87" spans="1:37" x14ac:dyDescent="0.2">
      <c r="A87" s="23"/>
      <c r="B87" s="23"/>
      <c r="C87" s="23"/>
      <c r="D87" s="23"/>
      <c r="E87" s="23"/>
      <c r="F87" s="23"/>
      <c r="G87" s="23"/>
      <c r="H87" s="23"/>
      <c r="I87" s="23"/>
      <c r="J87" s="56"/>
      <c r="K87" s="56"/>
      <c r="L87" s="56"/>
      <c r="M87" s="56"/>
      <c r="N87" s="56"/>
      <c r="O87" s="56"/>
      <c r="P87" s="56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56"/>
      <c r="AI87" s="23"/>
      <c r="AJ87" s="56"/>
      <c r="AK87" s="56"/>
    </row>
    <row r="88" spans="1:37" x14ac:dyDescent="0.2">
      <c r="A88" s="31" t="s">
        <v>32</v>
      </c>
      <c r="B88" s="31"/>
      <c r="C88" s="23"/>
      <c r="D88" s="23"/>
      <c r="E88" s="23"/>
      <c r="F88" s="23"/>
      <c r="G88" s="23"/>
      <c r="H88" s="23"/>
      <c r="I88" s="23"/>
      <c r="J88" s="56"/>
      <c r="K88" s="56"/>
      <c r="L88" s="56"/>
      <c r="M88" s="56"/>
      <c r="N88" s="56"/>
      <c r="O88" s="56"/>
      <c r="P88" s="56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56"/>
      <c r="AI88" s="23"/>
      <c r="AJ88" s="56"/>
      <c r="AK88" s="56"/>
    </row>
    <row r="89" spans="1:37" s="3" customFormat="1" x14ac:dyDescent="0.2">
      <c r="A89" s="22" t="s">
        <v>11</v>
      </c>
      <c r="B89" s="22"/>
      <c r="C89" s="22"/>
      <c r="D89" s="22"/>
      <c r="E89" s="22"/>
      <c r="F89" s="22"/>
      <c r="G89" s="22"/>
      <c r="H89" s="22"/>
      <c r="I89" s="22"/>
      <c r="J89" s="75"/>
      <c r="K89" s="75"/>
      <c r="L89" s="75"/>
      <c r="M89" s="75"/>
      <c r="N89" s="75"/>
      <c r="O89" s="75"/>
      <c r="P89" s="75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75"/>
      <c r="AI89" s="22"/>
      <c r="AJ89" s="75"/>
      <c r="AK89" s="75"/>
    </row>
    <row r="90" spans="1:37" s="1" customFormat="1" x14ac:dyDescent="0.2">
      <c r="A90" s="24" t="s">
        <v>1</v>
      </c>
      <c r="B90" s="24"/>
      <c r="C90" s="46" t="e">
        <f>C4/C$28</f>
        <v>#DIV/0!</v>
      </c>
      <c r="D90" s="46">
        <f>D4/D$28</f>
        <v>0.52230126467931348</v>
      </c>
      <c r="E90" s="46">
        <f>E4/E$16</f>
        <v>0.60394107891912985</v>
      </c>
      <c r="F90" s="46">
        <f>F4/F$28</f>
        <v>0.52056712085992785</v>
      </c>
      <c r="G90" s="46">
        <f>G4/G$28</f>
        <v>0.51967756630896944</v>
      </c>
      <c r="H90" s="46">
        <f>H4/H$28</f>
        <v>0.50390141783233422</v>
      </c>
      <c r="I90" s="46">
        <f t="shared" ref="I90" si="303">I4/I$16</f>
        <v>0.53953677067197758</v>
      </c>
      <c r="J90" s="76">
        <f>J4/J$28</f>
        <v>0.58772769089236432</v>
      </c>
      <c r="K90" s="76">
        <f t="shared" ref="K90:L90" si="304">K4/K$28</f>
        <v>0.49118125496604242</v>
      </c>
      <c r="L90" s="76">
        <f t="shared" si="304"/>
        <v>0.48694639905355447</v>
      </c>
      <c r="M90" s="76">
        <f t="shared" ref="M90:P90" si="305">M4/M$16</f>
        <v>0.48318798330271368</v>
      </c>
      <c r="N90" s="76">
        <f t="shared" si="305"/>
        <v>0.48109285869224289</v>
      </c>
      <c r="O90" s="76">
        <f t="shared" si="305"/>
        <v>0.47827964455215621</v>
      </c>
      <c r="P90" s="76">
        <f t="shared" si="305"/>
        <v>0.46612548873877374</v>
      </c>
      <c r="Q90" s="24"/>
      <c r="R90" s="46">
        <f>R4/R$28</f>
        <v>0.2887562181350396</v>
      </c>
      <c r="S90" s="46">
        <f>S4/S$28</f>
        <v>0.27314866409341787</v>
      </c>
      <c r="T90" s="46">
        <f>T4/T$28</f>
        <v>0.26638202236920255</v>
      </c>
      <c r="U90" s="46">
        <f>U4/U$28</f>
        <v>0.26187424376717994</v>
      </c>
      <c r="V90" s="24"/>
      <c r="W90" s="46">
        <f>W4/W$16</f>
        <v>0.50226119673845682</v>
      </c>
      <c r="X90" s="46">
        <f>X4/X$28</f>
        <v>0.50028864611023627</v>
      </c>
      <c r="Y90" s="46">
        <f>Y4/Y$28</f>
        <v>0.52965737183451111</v>
      </c>
      <c r="Z90" s="46">
        <f>Z4/Z$28</f>
        <v>0.47179888904714429</v>
      </c>
      <c r="AA90" s="24"/>
      <c r="AB90" s="46">
        <f>AB4/AB$16</f>
        <v>0.49226965287096563</v>
      </c>
      <c r="AC90" s="46">
        <f>AC4/AC$28</f>
        <v>0.52359255540968419</v>
      </c>
      <c r="AD90" s="46">
        <f>AD4/AD$28</f>
        <v>0.5556575787540613</v>
      </c>
      <c r="AE90" s="46">
        <f>AE4/AE$28</f>
        <v>0.57406205374529407</v>
      </c>
      <c r="AF90" s="24"/>
      <c r="AG90" s="46">
        <f>AG4/AG$16</f>
        <v>0.44110786553156289</v>
      </c>
      <c r="AH90" s="76">
        <f>AH4/AH$28</f>
        <v>0.59386652086316938</v>
      </c>
      <c r="AI90" s="46">
        <f>AI4/AI$28</f>
        <v>0.57739732511039321</v>
      </c>
      <c r="AJ90" s="76">
        <f>AJ4/AJ$28</f>
        <v>0.5872704657123442</v>
      </c>
      <c r="AK90" s="76">
        <f>AK4/AK$28</f>
        <v>0.5934194002905645</v>
      </c>
    </row>
    <row r="91" spans="1:37" s="2" customFormat="1" x14ac:dyDescent="0.2">
      <c r="A91" s="26" t="s">
        <v>6</v>
      </c>
      <c r="B91" s="26"/>
      <c r="C91" s="47"/>
      <c r="D91" s="47"/>
      <c r="E91" s="47">
        <f>E5/E$4</f>
        <v>0</v>
      </c>
      <c r="F91" s="47">
        <f>F5/F$4</f>
        <v>0.61420994202541013</v>
      </c>
      <c r="G91" s="47">
        <f>G5/G$4</f>
        <v>0.61954854262546566</v>
      </c>
      <c r="H91" s="47">
        <f>H5/H$4</f>
        <v>0.59109936109275174</v>
      </c>
      <c r="I91" s="47">
        <f t="shared" ref="I91:M91" si="306">I5/I$4</f>
        <v>0.58069587805044776</v>
      </c>
      <c r="J91" s="77">
        <f t="shared" si="306"/>
        <v>0.59358857965751499</v>
      </c>
      <c r="K91" s="77">
        <f t="shared" si="306"/>
        <v>0</v>
      </c>
      <c r="L91" s="77">
        <f t="shared" si="306"/>
        <v>0</v>
      </c>
      <c r="M91" s="77">
        <f t="shared" si="306"/>
        <v>0</v>
      </c>
      <c r="N91" s="77">
        <f t="shared" ref="N91:P91" si="307">N5/N$4</f>
        <v>0</v>
      </c>
      <c r="O91" s="77">
        <f t="shared" si="307"/>
        <v>0</v>
      </c>
      <c r="P91" s="77">
        <f t="shared" si="307"/>
        <v>0</v>
      </c>
      <c r="Q91" s="26"/>
      <c r="R91" s="47">
        <f>R5/R$4</f>
        <v>0.64869905809941253</v>
      </c>
      <c r="S91" s="47">
        <f>S5/S$4</f>
        <v>0.65678338047400764</v>
      </c>
      <c r="T91" s="47">
        <f>T5/T$4</f>
        <v>0.60727421332243559</v>
      </c>
      <c r="U91" s="47">
        <f>U5/U$4</f>
        <v>0.56381636416577696</v>
      </c>
      <c r="V91" s="26"/>
      <c r="W91" s="47">
        <f>W5/W$4</f>
        <v>0.64116634387777061</v>
      </c>
      <c r="X91" s="47">
        <f>X5/X$4</f>
        <v>0.29863013698630136</v>
      </c>
      <c r="Y91" s="47">
        <f>Y5/Y$4</f>
        <v>0.54283604135893648</v>
      </c>
      <c r="Z91" s="47">
        <f>Z5/Z$4</f>
        <v>0.55290566037735844</v>
      </c>
      <c r="AA91" s="26"/>
      <c r="AB91" s="47">
        <f>AB5/AB$4</f>
        <v>0.59077509970521935</v>
      </c>
      <c r="AC91" s="47">
        <f>AC5/AC$4</f>
        <v>0.57463126843657819</v>
      </c>
      <c r="AD91" s="47">
        <f>AD5/AD$4</f>
        <v>0.57239100038133972</v>
      </c>
      <c r="AE91" s="47">
        <f>AE5/AE$4</f>
        <v>0.58627317955676161</v>
      </c>
      <c r="AF91" s="26"/>
      <c r="AG91" s="47">
        <f>AG5/AG$4</f>
        <v>0.62139917695473246</v>
      </c>
      <c r="AH91" s="77">
        <f>AH5/AH$4</f>
        <v>0.6064516129032258</v>
      </c>
      <c r="AI91" s="47">
        <f>AI5/AI$4</f>
        <v>0.60458839406207832</v>
      </c>
      <c r="AJ91" s="77">
        <f>AJ5/AJ$4</f>
        <v>0.58181818181818179</v>
      </c>
      <c r="AK91" s="77">
        <f>AK5/AK$4</f>
        <v>0.5714285714285714</v>
      </c>
    </row>
    <row r="92" spans="1:37" s="2" customFormat="1" x14ac:dyDescent="0.2">
      <c r="A92" s="26" t="s">
        <v>7</v>
      </c>
      <c r="B92" s="26"/>
      <c r="C92" s="47"/>
      <c r="D92" s="47"/>
      <c r="E92" s="47">
        <f>E6/E$4</f>
        <v>0</v>
      </c>
      <c r="F92" s="47">
        <f>F6/F$4</f>
        <v>0.2757863574688541</v>
      </c>
      <c r="G92" s="47">
        <f>G6/G$4</f>
        <v>0.30284656780383273</v>
      </c>
      <c r="H92" s="47">
        <f>H6/H$4</f>
        <v>0.33553646177572155</v>
      </c>
      <c r="I92" s="47">
        <f t="shared" ref="I92:M92" si="308">I6/I$4</f>
        <v>0.34746052361747215</v>
      </c>
      <c r="J92" s="77">
        <f t="shared" si="308"/>
        <v>0.34711830447985476</v>
      </c>
      <c r="K92" s="77">
        <f t="shared" si="308"/>
        <v>0</v>
      </c>
      <c r="L92" s="77">
        <f t="shared" si="308"/>
        <v>0</v>
      </c>
      <c r="M92" s="77">
        <f t="shared" si="308"/>
        <v>0</v>
      </c>
      <c r="N92" s="77">
        <f t="shared" ref="N92:P92" si="309">N6/N$4</f>
        <v>0</v>
      </c>
      <c r="O92" s="77">
        <f t="shared" si="309"/>
        <v>0</v>
      </c>
      <c r="P92" s="77">
        <f t="shared" si="309"/>
        <v>0</v>
      </c>
      <c r="Q92" s="26"/>
      <c r="R92" s="47">
        <f>R6/R$4</f>
        <v>0.25832323043924277</v>
      </c>
      <c r="S92" s="47">
        <f>S6/S$4</f>
        <v>0.27231054325563248</v>
      </c>
      <c r="T92" s="47">
        <f>T6/T$4</f>
        <v>0.31865549652635883</v>
      </c>
      <c r="U92" s="47">
        <f>U6/U$4</f>
        <v>0.36455401339415705</v>
      </c>
      <c r="V92" s="26"/>
      <c r="W92" s="47">
        <f>W6/W$4</f>
        <v>0.28416182483322572</v>
      </c>
      <c r="X92" s="47">
        <f>X6/X$4</f>
        <v>0.61983039791258965</v>
      </c>
      <c r="Y92" s="47">
        <f>Y6/Y$4</f>
        <v>0.39660265878877399</v>
      </c>
      <c r="Z92" s="47">
        <f>Z6/Z$4</f>
        <v>0.37871698113207547</v>
      </c>
      <c r="AA92" s="26"/>
      <c r="AB92" s="47">
        <f>AB6/AB$4</f>
        <v>0.32581931680249698</v>
      </c>
      <c r="AC92" s="47">
        <f>AC6/AC$4</f>
        <v>0.34955752212389379</v>
      </c>
      <c r="AD92" s="47">
        <f>AD6/AD$4</f>
        <v>0.34994279903393927</v>
      </c>
      <c r="AE92" s="47">
        <f>AE6/AE$4</f>
        <v>0.35775667118950699</v>
      </c>
      <c r="AF92" s="26"/>
      <c r="AG92" s="47">
        <f>AG6/AG$4</f>
        <v>0.32669587149873885</v>
      </c>
      <c r="AH92" s="77">
        <f>AH6/AH$4</f>
        <v>0.33548387096774196</v>
      </c>
      <c r="AI92" s="47">
        <f>AI6/AI$4</f>
        <v>0.34102564102564104</v>
      </c>
      <c r="AJ92" s="77">
        <f>AJ6/AJ$4</f>
        <v>0.3515151515151515</v>
      </c>
      <c r="AK92" s="77">
        <f>AK6/AK$4</f>
        <v>0.36571428571428571</v>
      </c>
    </row>
    <row r="93" spans="1:37" s="2" customFormat="1" x14ac:dyDescent="0.2">
      <c r="A93" s="26" t="s">
        <v>8</v>
      </c>
      <c r="B93" s="26"/>
      <c r="C93" s="47"/>
      <c r="D93" s="47"/>
      <c r="E93" s="47">
        <f>E7/E$4</f>
        <v>0</v>
      </c>
      <c r="F93" s="47">
        <f>F7/F$4</f>
        <v>0.11000370050573578</v>
      </c>
      <c r="G93" s="47">
        <f>G7/G$4</f>
        <v>7.7604889570701538E-2</v>
      </c>
      <c r="H93" s="47">
        <f>H7/H$4</f>
        <v>7.3364177131526764E-2</v>
      </c>
      <c r="I93" s="47">
        <f t="shared" ref="I93:M93" si="310">I7/I$4</f>
        <v>7.1843598332080108E-2</v>
      </c>
      <c r="J93" s="77">
        <f t="shared" si="310"/>
        <v>5.9293115862630308E-2</v>
      </c>
      <c r="K93" s="77">
        <f t="shared" si="310"/>
        <v>0</v>
      </c>
      <c r="L93" s="77">
        <f t="shared" si="310"/>
        <v>0</v>
      </c>
      <c r="M93" s="77">
        <f t="shared" si="310"/>
        <v>0</v>
      </c>
      <c r="N93" s="77">
        <f t="shared" ref="N93:P93" si="311">N7/N$4</f>
        <v>0</v>
      </c>
      <c r="O93" s="77">
        <f t="shared" si="311"/>
        <v>0</v>
      </c>
      <c r="P93" s="77">
        <f t="shared" si="311"/>
        <v>0</v>
      </c>
      <c r="Q93" s="26"/>
      <c r="R93" s="47">
        <f>R7/R$4</f>
        <v>9.2977711461344772E-2</v>
      </c>
      <c r="S93" s="47">
        <f>S7/S$4</f>
        <v>7.09060762703599E-2</v>
      </c>
      <c r="T93" s="47">
        <f>T7/T$4</f>
        <v>7.4070290151205559E-2</v>
      </c>
      <c r="U93" s="47">
        <f>U7/U$4</f>
        <v>7.1629622440066001E-2</v>
      </c>
      <c r="V93" s="26"/>
      <c r="W93" s="47">
        <f>W7/W$4</f>
        <v>7.4671831289003662E-2</v>
      </c>
      <c r="X93" s="47">
        <f>X7/X$4</f>
        <v>8.1539465101108932E-2</v>
      </c>
      <c r="Y93" s="47">
        <f>Y7/Y$4</f>
        <v>6.0561299852289516E-2</v>
      </c>
      <c r="Z93" s="47">
        <f>Z7/Z$4</f>
        <v>6.8377358490566031E-2</v>
      </c>
      <c r="AA93" s="26"/>
      <c r="AB93" s="47">
        <f>AB7/AB$4</f>
        <v>8.3405583492283678E-2</v>
      </c>
      <c r="AC93" s="47">
        <f>AC7/AC$4</f>
        <v>7.5811209439528029E-2</v>
      </c>
      <c r="AD93" s="47">
        <f>AD7/AD$4</f>
        <v>7.7666200584720985E-2</v>
      </c>
      <c r="AE93" s="47">
        <f>AE7/AE$4</f>
        <v>5.5970149253731345E-2</v>
      </c>
      <c r="AF93" s="26"/>
      <c r="AG93" s="47">
        <f>AG7/AG$4</f>
        <v>5.1904951546528605E-2</v>
      </c>
      <c r="AH93" s="77">
        <f>AH7/AH$4</f>
        <v>5.8064516129032261E-2</v>
      </c>
      <c r="AI93" s="47">
        <f>AI7/AI$4</f>
        <v>5.4385964912280704E-2</v>
      </c>
      <c r="AJ93" s="77">
        <f>AJ7/AJ$4</f>
        <v>6.6666666666666666E-2</v>
      </c>
      <c r="AK93" s="77">
        <f>AK7/AK$4</f>
        <v>6.2857142857142861E-2</v>
      </c>
    </row>
    <row r="94" spans="1:37" s="1" customFormat="1" x14ac:dyDescent="0.2">
      <c r="A94" s="24" t="s">
        <v>2</v>
      </c>
      <c r="B94" s="24"/>
      <c r="C94" s="46" t="e">
        <f>C8/C$28</f>
        <v>#DIV/0!</v>
      </c>
      <c r="D94" s="46">
        <f>D8/D$28</f>
        <v>0.324511630532972</v>
      </c>
      <c r="E94" s="46">
        <f>E8/E$16</f>
        <v>0.38176763242610479</v>
      </c>
      <c r="F94" s="46">
        <f t="shared" ref="F94:I94" si="312">F8/F$16</f>
        <v>0.29823958014878221</v>
      </c>
      <c r="G94" s="46">
        <f t="shared" si="312"/>
        <v>0.28470871654600433</v>
      </c>
      <c r="H94" s="46">
        <f t="shared" si="312"/>
        <v>0.30838646239731027</v>
      </c>
      <c r="I94" s="46">
        <f t="shared" si="312"/>
        <v>0.28621745223869588</v>
      </c>
      <c r="J94" s="76">
        <f>J8/J$16</f>
        <v>0.21604721207210237</v>
      </c>
      <c r="K94" s="76">
        <f t="shared" ref="K94:M94" si="313">K8/K$16</f>
        <v>0.21311097291701231</v>
      </c>
      <c r="L94" s="76">
        <f t="shared" si="313"/>
        <v>0.20721062393303435</v>
      </c>
      <c r="M94" s="76">
        <f t="shared" si="313"/>
        <v>0.2016572392723894</v>
      </c>
      <c r="N94" s="76">
        <f t="shared" ref="N94:P94" si="314">N8/N$16</f>
        <v>0.19692163595558093</v>
      </c>
      <c r="O94" s="76">
        <f t="shared" si="314"/>
        <v>0.19200531687453989</v>
      </c>
      <c r="P94" s="76">
        <f t="shared" si="314"/>
        <v>0.18544570842899283</v>
      </c>
      <c r="Q94" s="24"/>
      <c r="R94" s="46">
        <f>R8/R$28</f>
        <v>0.13302767113560529</v>
      </c>
      <c r="S94" s="46">
        <f>S8/S$28</f>
        <v>0.14777681066284881</v>
      </c>
      <c r="T94" s="46">
        <f>T8/T$28</f>
        <v>0.15724921590204868</v>
      </c>
      <c r="U94" s="46">
        <f>U8/U$28</f>
        <v>0.16333144622419665</v>
      </c>
      <c r="V94" s="24"/>
      <c r="W94" s="46">
        <f>W8/W$16</f>
        <v>0.32608608361521935</v>
      </c>
      <c r="X94" s="46">
        <f t="shared" ref="X94:Z94" si="315">X8/X$16</f>
        <v>0.30096156443736932</v>
      </c>
      <c r="Y94" s="46">
        <f t="shared" si="315"/>
        <v>0.27203598866325535</v>
      </c>
      <c r="Z94" s="46">
        <f t="shared" si="315"/>
        <v>0.304139393985708</v>
      </c>
      <c r="AA94" s="24"/>
      <c r="AB94" s="46">
        <f>AB8/AB$16</f>
        <v>0.31736753413807006</v>
      </c>
      <c r="AC94" s="46">
        <f t="shared" ref="AC94:AE94" si="316">AC8/AC$16</f>
        <v>0.3092060184634805</v>
      </c>
      <c r="AD94" s="46">
        <f t="shared" si="316"/>
        <v>0.26938080328712793</v>
      </c>
      <c r="AE94" s="46">
        <f t="shared" si="316"/>
        <v>0.25865923905274635</v>
      </c>
      <c r="AF94" s="24"/>
      <c r="AG94" s="46">
        <f>AG8/AG$16</f>
        <v>0.17777823971244192</v>
      </c>
      <c r="AH94" s="76">
        <f>AH8/AH$16</f>
        <v>0.24910906925750645</v>
      </c>
      <c r="AI94" s="46">
        <f>AI8/AI$16</f>
        <v>0.17820095497044483</v>
      </c>
      <c r="AJ94" s="76">
        <f t="shared" ref="AJ94:AK94" si="317">AJ8/AJ$16</f>
        <v>0.26232876817260725</v>
      </c>
      <c r="AK94" s="76">
        <f t="shared" si="317"/>
        <v>0.25320330085650966</v>
      </c>
    </row>
    <row r="95" spans="1:37" s="1" customFormat="1" x14ac:dyDescent="0.2">
      <c r="A95" s="24" t="s">
        <v>3</v>
      </c>
      <c r="B95" s="24"/>
      <c r="C95" s="46"/>
      <c r="D95" s="46"/>
      <c r="E95" s="46">
        <f t="shared" ref="E95:H95" si="318">E9/E$16</f>
        <v>0</v>
      </c>
      <c r="F95" s="46">
        <f t="shared" si="318"/>
        <v>9.084887394272903E-2</v>
      </c>
      <c r="G95" s="46">
        <f t="shared" si="318"/>
        <v>0.10007653797412766</v>
      </c>
      <c r="H95" s="46">
        <f t="shared" si="318"/>
        <v>0.13336188029308213</v>
      </c>
      <c r="I95" s="46">
        <f t="shared" ref="I95:M95" si="319">I9/I$16</f>
        <v>0.10647635907649185</v>
      </c>
      <c r="J95" s="76">
        <f t="shared" si="319"/>
        <v>8.8033390921461008E-2</v>
      </c>
      <c r="K95" s="76">
        <f t="shared" si="319"/>
        <v>8.7233792774498872E-2</v>
      </c>
      <c r="L95" s="76">
        <f t="shared" si="319"/>
        <v>8.7383707718117501E-2</v>
      </c>
      <c r="M95" s="76">
        <f t="shared" si="319"/>
        <v>8.6063772636940594E-2</v>
      </c>
      <c r="N95" s="76">
        <f t="shared" ref="N95:P95" si="320">N9/N$16</f>
        <v>8.4969641750567107E-2</v>
      </c>
      <c r="O95" s="76">
        <f t="shared" si="320"/>
        <v>8.3685152627705123E-2</v>
      </c>
      <c r="P95" s="76">
        <f t="shared" si="320"/>
        <v>8.1571960529285406E-2</v>
      </c>
      <c r="Q95" s="24"/>
      <c r="R95" s="46">
        <f>R9/R$28</f>
        <v>4.8444692383189054E-2</v>
      </c>
      <c r="S95" s="46">
        <f>S9/S$28</f>
        <v>5.6078995212781098E-2</v>
      </c>
      <c r="T95" s="46">
        <f>T9/T$28</f>
        <v>5.4049315123134073E-2</v>
      </c>
      <c r="U95" s="46">
        <f>U9/U$28</f>
        <v>5.3020447684978871E-2</v>
      </c>
      <c r="V95" s="24"/>
      <c r="W95" s="46">
        <f t="shared" ref="W95:Z95" si="321">W9/W$16</f>
        <v>0.11959371942997686</v>
      </c>
      <c r="X95" s="46">
        <f t="shared" si="321"/>
        <v>0.15103104535005005</v>
      </c>
      <c r="Y95" s="46">
        <f t="shared" si="321"/>
        <v>0.14645605852006097</v>
      </c>
      <c r="Z95" s="46">
        <f t="shared" si="321"/>
        <v>0.14563924047503349</v>
      </c>
      <c r="AA95" s="24"/>
      <c r="AB95" s="46">
        <f t="shared" ref="AB95:AE95" si="322">AB9/AB$16</f>
        <v>0.1271006611973067</v>
      </c>
      <c r="AC95" s="46">
        <f t="shared" si="322"/>
        <v>0.10533391837766917</v>
      </c>
      <c r="AD95" s="46">
        <f t="shared" si="322"/>
        <v>0.10241273328954785</v>
      </c>
      <c r="AE95" s="46">
        <f t="shared" si="322"/>
        <v>9.547998510579421E-2</v>
      </c>
      <c r="AF95" s="24"/>
      <c r="AG95" s="46">
        <f t="shared" ref="AG95:AK95" si="323">AG9/AG$16</f>
        <v>7.9871383059213027E-2</v>
      </c>
      <c r="AH95" s="76">
        <f>AH9/AH$16</f>
        <v>9.9643627703002585E-2</v>
      </c>
      <c r="AI95" s="46">
        <f>AI9/AI$16</f>
        <v>7.8654214607644615E-2</v>
      </c>
      <c r="AJ95" s="76">
        <f t="shared" si="323"/>
        <v>9.8373288064727712E-2</v>
      </c>
      <c r="AK95" s="76">
        <f t="shared" si="323"/>
        <v>9.6904966994466657E-2</v>
      </c>
    </row>
    <row r="96" spans="1:37" s="1" customFormat="1" x14ac:dyDescent="0.2">
      <c r="A96" s="24" t="s">
        <v>5</v>
      </c>
      <c r="B96" s="24"/>
      <c r="C96" s="46" t="e">
        <f>C11/C$28</f>
        <v>#DIV/0!</v>
      </c>
      <c r="D96" s="46">
        <f>D11/D$28</f>
        <v>9.8520776874435403E-3</v>
      </c>
      <c r="E96" s="46">
        <f t="shared" ref="E96:H96" si="324">E11/E$16</f>
        <v>1.4291288654765389E-2</v>
      </c>
      <c r="F96" s="46">
        <f t="shared" si="324"/>
        <v>1.2317843676755324E-2</v>
      </c>
      <c r="G96" s="46">
        <f t="shared" si="324"/>
        <v>1.7390431498513156E-2</v>
      </c>
      <c r="H96" s="46">
        <f t="shared" si="324"/>
        <v>2.9641259872490246E-2</v>
      </c>
      <c r="I96" s="46">
        <f t="shared" ref="I96:M96" si="325">I11/I$16</f>
        <v>3.8338127904403628E-2</v>
      </c>
      <c r="J96" s="76">
        <f t="shared" si="325"/>
        <v>2.1847814454110416E-2</v>
      </c>
      <c r="K96" s="76">
        <f t="shared" si="325"/>
        <v>2.3656621769355627E-2</v>
      </c>
      <c r="L96" s="76">
        <f t="shared" si="325"/>
        <v>2.6778878171681168E-2</v>
      </c>
      <c r="M96" s="76">
        <f t="shared" si="325"/>
        <v>3.0929168291400525E-2</v>
      </c>
      <c r="N96" s="76">
        <f t="shared" ref="N96:P96" si="326">N11/N$16</f>
        <v>3.2185470360063299E-2</v>
      </c>
      <c r="O96" s="76">
        <f t="shared" si="326"/>
        <v>3.3227928249235858E-2</v>
      </c>
      <c r="P96" s="76">
        <f t="shared" si="326"/>
        <v>3.3794097933561099E-2</v>
      </c>
      <c r="Q96" s="24"/>
      <c r="R96" s="46">
        <f>R11/R$28</f>
        <v>1.0152111744559352E-2</v>
      </c>
      <c r="S96" s="46">
        <f>S11/S$28</f>
        <v>8.7115588762847595E-3</v>
      </c>
      <c r="T96" s="46">
        <f>T11/T$28</f>
        <v>8.872143368651414E-3</v>
      </c>
      <c r="U96" s="46">
        <f>U11/U$28</f>
        <v>9.048551953908187E-3</v>
      </c>
      <c r="V96" s="24"/>
      <c r="W96" s="46">
        <f t="shared" ref="W96:Z96" si="327">W11/W$16</f>
        <v>2.1292329622869807E-2</v>
      </c>
      <c r="X96" s="46">
        <f t="shared" si="327"/>
        <v>2.9778945932714539E-2</v>
      </c>
      <c r="Y96" s="46">
        <f t="shared" si="327"/>
        <v>2.9084389379535495E-2</v>
      </c>
      <c r="Z96" s="46">
        <f t="shared" si="327"/>
        <v>3.9925361896358043E-2</v>
      </c>
      <c r="AA96" s="24"/>
      <c r="AB96" s="46">
        <f t="shared" ref="AB96:AE96" si="328">AB11/AB$16</f>
        <v>3.9094763484463717E-2</v>
      </c>
      <c r="AC96" s="46">
        <f t="shared" si="328"/>
        <v>3.5059823272332702E-2</v>
      </c>
      <c r="AD96" s="46">
        <f t="shared" si="328"/>
        <v>3.7433619754110595E-2</v>
      </c>
      <c r="AE96" s="46">
        <f t="shared" si="328"/>
        <v>4.1346533319096469E-2</v>
      </c>
      <c r="AF96" s="24"/>
      <c r="AG96" s="46">
        <f t="shared" ref="AG96:AK96" si="329">AG11/AG$16</f>
        <v>1.3995059055096713E-2</v>
      </c>
      <c r="AH96" s="76">
        <f>AH11/AH$16</f>
        <v>2.1352205936357695E-2</v>
      </c>
      <c r="AI96" s="46">
        <f>AI11/AI$16</f>
        <v>2.5749891687026509E-2</v>
      </c>
      <c r="AJ96" s="76">
        <f t="shared" si="329"/>
        <v>2.2953767215103133E-2</v>
      </c>
      <c r="AK96" s="76">
        <f t="shared" si="329"/>
        <v>2.5007733417926881E-2</v>
      </c>
    </row>
    <row r="97" spans="1:37" s="1" customFormat="1" x14ac:dyDescent="0.2">
      <c r="A97" s="24" t="s">
        <v>4</v>
      </c>
      <c r="B97" s="24"/>
      <c r="C97" s="46"/>
      <c r="D97" s="46"/>
      <c r="E97" s="46">
        <f t="shared" ref="E97:H97" si="330">E12/E$16</f>
        <v>0</v>
      </c>
      <c r="F97" s="46">
        <f t="shared" si="330"/>
        <v>9.107816162233771E-3</v>
      </c>
      <c r="G97" s="46">
        <f t="shared" si="330"/>
        <v>9.8621061744814872E-3</v>
      </c>
      <c r="H97" s="46">
        <f t="shared" si="330"/>
        <v>7.4380689567672157E-3</v>
      </c>
      <c r="I97" s="46">
        <f t="shared" ref="I97:M97" si="331">I12/I$16</f>
        <v>1.7555506380467656E-2</v>
      </c>
      <c r="J97" s="76">
        <f>J12/J$16</f>
        <v>0.14660510342929656</v>
      </c>
      <c r="K97" s="76">
        <f t="shared" si="331"/>
        <v>0.14785388605847266</v>
      </c>
      <c r="L97" s="76">
        <f t="shared" si="331"/>
        <v>0.14939795190516864</v>
      </c>
      <c r="M97" s="76">
        <f t="shared" si="331"/>
        <v>0.15109571083572884</v>
      </c>
      <c r="N97" s="76">
        <f t="shared" ref="N97:P97" si="332">N12/N$16</f>
        <v>0.15333364066544458</v>
      </c>
      <c r="O97" s="76">
        <f t="shared" si="332"/>
        <v>0.15742207728096974</v>
      </c>
      <c r="P97" s="76">
        <f t="shared" si="332"/>
        <v>0.17479705827704015</v>
      </c>
      <c r="Q97" s="24"/>
      <c r="R97" s="46">
        <f>R12/R$28</f>
        <v>2.7736538718557383E-3</v>
      </c>
      <c r="S97" s="46">
        <f>S12/S$28</f>
        <v>7.0331851478262278E-3</v>
      </c>
      <c r="T97" s="46">
        <f>T12/T$28</f>
        <v>4.7354384851084228E-3</v>
      </c>
      <c r="U97" s="46">
        <f>U12/U$28</f>
        <v>6.2272337885042302E-3</v>
      </c>
      <c r="V97" s="24"/>
      <c r="W97" s="46">
        <f t="shared" ref="W97:Z97" si="333">W12/W$16</f>
        <v>1.52937291453608E-2</v>
      </c>
      <c r="X97" s="46">
        <f t="shared" si="333"/>
        <v>7.8978943560677698E-3</v>
      </c>
      <c r="Y97" s="46">
        <f t="shared" si="333"/>
        <v>1.1052067964223488E-2</v>
      </c>
      <c r="Z97" s="46">
        <f t="shared" si="333"/>
        <v>2.2541929991041088E-2</v>
      </c>
      <c r="AA97" s="24"/>
      <c r="AB97" s="46">
        <f t="shared" ref="AB97:AE97" si="334">AB12/AB$16</f>
        <v>1.007244998071336E-2</v>
      </c>
      <c r="AC97" s="46">
        <f t="shared" si="334"/>
        <v>1.7916033037844024E-2</v>
      </c>
      <c r="AD97" s="46">
        <f t="shared" si="334"/>
        <v>2.1965765553827159E-2</v>
      </c>
      <c r="AE97" s="46">
        <f t="shared" si="334"/>
        <v>1.8888290731329783E-2</v>
      </c>
      <c r="AF97" s="24"/>
      <c r="AG97" s="46">
        <f t="shared" ref="AG97:AK97" si="335">AG12/AG$16</f>
        <v>0.25583436406576376</v>
      </c>
      <c r="AH97" s="76">
        <f>AH12/AH$16</f>
        <v>2.8469607915143594E-2</v>
      </c>
      <c r="AI97" s="46">
        <f>AI12/AI$16</f>
        <v>0.25281711838171483</v>
      </c>
      <c r="AJ97" s="76">
        <f t="shared" si="335"/>
        <v>2.6232876817260723E-2</v>
      </c>
      <c r="AK97" s="76">
        <f t="shared" si="335"/>
        <v>3.1259666772408601E-2</v>
      </c>
    </row>
    <row r="98" spans="1:37" s="1" customFormat="1" x14ac:dyDescent="0.2">
      <c r="A98" s="24" t="s">
        <v>28</v>
      </c>
      <c r="B98" s="24"/>
      <c r="C98" s="46"/>
      <c r="D98" s="46"/>
      <c r="E98" s="46">
        <f t="shared" ref="E98:H98" si="336">E14/E$16</f>
        <v>0</v>
      </c>
      <c r="F98" s="46">
        <f t="shared" si="336"/>
        <v>0</v>
      </c>
      <c r="G98" s="46">
        <f t="shared" si="336"/>
        <v>0</v>
      </c>
      <c r="H98" s="46">
        <f t="shared" si="336"/>
        <v>0</v>
      </c>
      <c r="I98" s="46">
        <f t="shared" ref="I98:M98" si="337">I14/I$16</f>
        <v>0</v>
      </c>
      <c r="J98" s="76">
        <f t="shared" si="337"/>
        <v>2.7688167933095847E-2</v>
      </c>
      <c r="K98" s="76">
        <f t="shared" si="337"/>
        <v>3.6963471514618165E-2</v>
      </c>
      <c r="L98" s="76">
        <f t="shared" si="337"/>
        <v>4.2282439218443948E-2</v>
      </c>
      <c r="M98" s="76">
        <f t="shared" si="337"/>
        <v>4.7066125660826887E-2</v>
      </c>
      <c r="N98" s="76">
        <f t="shared" ref="N98:P98" si="338">N14/N$16</f>
        <v>5.1496752576101278E-2</v>
      </c>
      <c r="O98" s="76">
        <f t="shared" si="338"/>
        <v>5.5379880415393094E-2</v>
      </c>
      <c r="P98" s="76">
        <f t="shared" si="338"/>
        <v>5.8265686092346718E-2</v>
      </c>
      <c r="Q98" s="24"/>
      <c r="R98" s="46">
        <f>R14/R$28</f>
        <v>0</v>
      </c>
      <c r="S98" s="46">
        <f>S14/S$28</f>
        <v>0</v>
      </c>
      <c r="T98" s="46">
        <f>T14/T$28</f>
        <v>0</v>
      </c>
      <c r="U98" s="46">
        <f>U14/U$28</f>
        <v>0</v>
      </c>
      <c r="V98" s="24"/>
      <c r="W98" s="46">
        <f t="shared" ref="W98:Z98" si="339">W14/W$16</f>
        <v>0</v>
      </c>
      <c r="X98" s="46">
        <f t="shared" si="339"/>
        <v>0</v>
      </c>
      <c r="Y98" s="46">
        <f t="shared" si="339"/>
        <v>0</v>
      </c>
      <c r="Z98" s="46">
        <f t="shared" si="339"/>
        <v>0</v>
      </c>
      <c r="AA98" s="24"/>
      <c r="AB98" s="46">
        <f t="shared" ref="AB98:AE98" si="340">AB14/AB$16</f>
        <v>0</v>
      </c>
      <c r="AC98" s="46">
        <f t="shared" si="340"/>
        <v>0</v>
      </c>
      <c r="AD98" s="46">
        <f t="shared" si="340"/>
        <v>0</v>
      </c>
      <c r="AE98" s="46">
        <f t="shared" si="340"/>
        <v>0</v>
      </c>
      <c r="AF98" s="24"/>
      <c r="AG98" s="46">
        <f t="shared" ref="AG98:AK98" si="341">AG14/AG$16</f>
        <v>2.002640249725136E-2</v>
      </c>
      <c r="AH98" s="76">
        <f>AH14/AH$16</f>
        <v>3.9145710883322443E-2</v>
      </c>
      <c r="AI98" s="46">
        <f>AI14/AI$16</f>
        <v>2.1126615679583113E-2</v>
      </c>
      <c r="AJ98" s="76">
        <f t="shared" si="341"/>
        <v>3.6594863160078712E-2</v>
      </c>
      <c r="AK98" s="76">
        <f t="shared" si="341"/>
        <v>3.4385633449649462E-2</v>
      </c>
    </row>
    <row r="99" spans="1:37" s="1" customFormat="1" x14ac:dyDescent="0.2">
      <c r="A99" s="24" t="s">
        <v>8</v>
      </c>
      <c r="B99" s="24"/>
      <c r="C99" s="46"/>
      <c r="D99" s="46"/>
      <c r="E99" s="46">
        <f t="shared" ref="E99:H99" si="342">E15/E$16</f>
        <v>0</v>
      </c>
      <c r="F99" s="46">
        <f t="shared" si="342"/>
        <v>7.3142769795169676E-2</v>
      </c>
      <c r="G99" s="46">
        <f t="shared" si="342"/>
        <v>7.268598100352576E-2</v>
      </c>
      <c r="H99" s="46">
        <f t="shared" si="342"/>
        <v>1.7270910648015985E-2</v>
      </c>
      <c r="I99" s="46">
        <f t="shared" ref="I99:M99" si="343">I15/I$16</f>
        <v>1.1875783727963414E-2</v>
      </c>
      <c r="J99" s="76">
        <f t="shared" si="343"/>
        <v>1.1405507055819714E-2</v>
      </c>
      <c r="K99" s="76">
        <f t="shared" si="343"/>
        <v>0</v>
      </c>
      <c r="L99" s="76">
        <f t="shared" si="343"/>
        <v>0</v>
      </c>
      <c r="M99" s="76">
        <f t="shared" si="343"/>
        <v>0</v>
      </c>
      <c r="N99" s="76">
        <f t="shared" ref="N99:P99" si="344">N15/N$16</f>
        <v>0</v>
      </c>
      <c r="O99" s="76">
        <f t="shared" si="344"/>
        <v>0</v>
      </c>
      <c r="P99" s="76">
        <f t="shared" si="344"/>
        <v>0</v>
      </c>
      <c r="Q99" s="24"/>
      <c r="R99" s="46">
        <f>R15/R$28</f>
        <v>5.129913229014739E-2</v>
      </c>
      <c r="S99" s="46">
        <f>S15/S$28</f>
        <v>3.479295379947369E-2</v>
      </c>
      <c r="T99" s="46">
        <f>T15/T$28</f>
        <v>3.5488573474605656E-2</v>
      </c>
      <c r="U99" s="46">
        <f>U15/U$28</f>
        <v>3.2483284823299617E-2</v>
      </c>
      <c r="V99" s="24"/>
      <c r="W99" s="46">
        <f t="shared" ref="W99:Z99" si="345">W15/W$16</f>
        <v>1.5455853482590775E-2</v>
      </c>
      <c r="X99" s="46">
        <f t="shared" si="345"/>
        <v>1.4112630898547324E-2</v>
      </c>
      <c r="Y99" s="46">
        <f t="shared" si="345"/>
        <v>1.6287258052539878E-2</v>
      </c>
      <c r="Z99" s="46">
        <f t="shared" si="345"/>
        <v>1.9574026982816243E-2</v>
      </c>
      <c r="AA99" s="24"/>
      <c r="AB99" s="46">
        <f t="shared" ref="AB99:AE99" si="346">AB15/AB$16</f>
        <v>1.408435802387885E-2</v>
      </c>
      <c r="AC99" s="46">
        <f t="shared" si="346"/>
        <v>8.8807922385864772E-3</v>
      </c>
      <c r="AD99" s="46">
        <f t="shared" si="346"/>
        <v>1.3137081649555793E-2</v>
      </c>
      <c r="AE99" s="46">
        <f t="shared" si="346"/>
        <v>1.1553662371741243E-2</v>
      </c>
      <c r="AF99" s="24"/>
      <c r="AG99" s="46">
        <f t="shared" ref="AG99:AK99" si="347">AG15/AG$16</f>
        <v>1.1360006094932059E-2</v>
      </c>
      <c r="AH99" s="76">
        <f>AH15/AH$16</f>
        <v>1.0676102968178848E-2</v>
      </c>
      <c r="AI99" s="46">
        <f>AI15/AI$16</f>
        <v>9.7732543448486968E-3</v>
      </c>
      <c r="AJ99" s="76">
        <f t="shared" si="347"/>
        <v>1.2460616488198843E-2</v>
      </c>
      <c r="AK99" s="76">
        <f t="shared" si="347"/>
        <v>1.2191270041239355E-2</v>
      </c>
    </row>
    <row r="100" spans="1:37" x14ac:dyDescent="0.2">
      <c r="A100" s="28" t="s">
        <v>50</v>
      </c>
      <c r="B100" s="25"/>
      <c r="C100" s="25"/>
      <c r="D100" s="25"/>
      <c r="E100" s="48"/>
      <c r="F100" s="48"/>
      <c r="G100" s="48"/>
      <c r="H100" s="48"/>
      <c r="I100" s="48"/>
      <c r="J100" s="78"/>
      <c r="K100" s="78"/>
      <c r="L100" s="78"/>
      <c r="M100" s="78"/>
      <c r="N100" s="78"/>
      <c r="O100" s="78"/>
      <c r="P100" s="78"/>
      <c r="Q100" s="27"/>
      <c r="R100" s="25"/>
      <c r="S100" s="25"/>
      <c r="T100" s="25"/>
      <c r="U100" s="25"/>
      <c r="V100" s="23"/>
      <c r="W100" s="48"/>
      <c r="X100" s="48"/>
      <c r="Y100" s="48"/>
      <c r="Z100" s="48"/>
      <c r="AA100" s="25"/>
      <c r="AB100" s="48"/>
      <c r="AC100" s="48"/>
      <c r="AD100" s="48"/>
      <c r="AE100" s="48"/>
      <c r="AF100" s="25"/>
      <c r="AG100" s="48"/>
      <c r="AH100" s="78"/>
      <c r="AI100" s="48"/>
      <c r="AJ100" s="78"/>
      <c r="AK100" s="78"/>
    </row>
    <row r="101" spans="1:37" s="1" customFormat="1" x14ac:dyDescent="0.2">
      <c r="A101" s="24" t="s">
        <v>1</v>
      </c>
      <c r="B101" s="24"/>
      <c r="C101" s="49">
        <f t="shared" ref="C101:I101" si="348">C18/C4</f>
        <v>0.37993706437667263</v>
      </c>
      <c r="D101" s="49">
        <f t="shared" si="348"/>
        <v>0.38433682845097827</v>
      </c>
      <c r="E101" s="49">
        <f t="shared" si="348"/>
        <v>0.41167285845043883</v>
      </c>
      <c r="F101" s="49">
        <f t="shared" si="348"/>
        <v>0.38978660416923644</v>
      </c>
      <c r="G101" s="49">
        <f t="shared" si="348"/>
        <v>0.38239949351060465</v>
      </c>
      <c r="H101" s="49">
        <f t="shared" si="348"/>
        <v>0.17527460422371197</v>
      </c>
      <c r="I101" s="49">
        <f t="shared" si="348"/>
        <v>0.2228450338368993</v>
      </c>
      <c r="J101" s="79">
        <f t="shared" ref="J101:M101" si="349">J18/J4</f>
        <v>0.34254766302476286</v>
      </c>
      <c r="K101" s="79">
        <f t="shared" si="349"/>
        <v>0.37</v>
      </c>
      <c r="L101" s="79">
        <f t="shared" si="349"/>
        <v>0.38</v>
      </c>
      <c r="M101" s="79">
        <f t="shared" si="349"/>
        <v>0.39</v>
      </c>
      <c r="N101" s="79">
        <f t="shared" ref="N101:P101" si="350">N18/N4</f>
        <v>0.4</v>
      </c>
      <c r="O101" s="79">
        <f t="shared" si="350"/>
        <v>0.40500000000000003</v>
      </c>
      <c r="P101" s="79">
        <f t="shared" si="350"/>
        <v>0.41</v>
      </c>
      <c r="Q101" s="24"/>
      <c r="R101" s="49">
        <f>R18/R4</f>
        <v>0.39988809101930428</v>
      </c>
      <c r="S101" s="49">
        <f>S18/S4</f>
        <v>0.39295815858773042</v>
      </c>
      <c r="T101" s="49">
        <f>T18/T4</f>
        <v>0.3669799754801798</v>
      </c>
      <c r="U101" s="49">
        <f>U18/U4</f>
        <v>0.36833931864505481</v>
      </c>
      <c r="V101" s="24"/>
      <c r="W101" s="49">
        <f>W18/W4</f>
        <v>0.30417473638906822</v>
      </c>
      <c r="X101" s="49">
        <f>X18/X4</f>
        <v>0.14155251141552511</v>
      </c>
      <c r="Y101" s="49">
        <f>Y18/Y4</f>
        <v>0.20371738060068931</v>
      </c>
      <c r="Z101" s="49">
        <f>Z18/Z4</f>
        <v>0.10550943396226416</v>
      </c>
      <c r="AA101" s="24"/>
      <c r="AB101" s="49">
        <f>AB18/AB4</f>
        <v>0.20461245014739032</v>
      </c>
      <c r="AC101" s="49">
        <f>AC18/AC4</f>
        <v>0.1532448377581121</v>
      </c>
      <c r="AD101" s="49">
        <f>AD18/AD4</f>
        <v>0.26350578365323502</v>
      </c>
      <c r="AE101" s="49">
        <f>AE18/AE4</f>
        <v>0.32654907281772955</v>
      </c>
      <c r="AF101" s="24"/>
      <c r="AG101" s="49">
        <f>AG18/AG4</f>
        <v>0.35112173105004646</v>
      </c>
      <c r="AH101" s="79">
        <f>AH18/AH4</f>
        <v>0.34838709677419355</v>
      </c>
      <c r="AI101" s="49">
        <f>AI18/AI4</f>
        <v>0.33697705802968964</v>
      </c>
      <c r="AJ101" s="79">
        <f>AJ18/AJ4</f>
        <v>0.33939393939393941</v>
      </c>
      <c r="AK101" s="79">
        <f>AK18/AK4</f>
        <v>0.34285714285714286</v>
      </c>
    </row>
    <row r="102" spans="1:37" s="1" customFormat="1" x14ac:dyDescent="0.2">
      <c r="A102" s="24" t="s">
        <v>2</v>
      </c>
      <c r="B102" s="24"/>
      <c r="C102" s="49">
        <f>C19/C8</f>
        <v>0.44035879143936213</v>
      </c>
      <c r="D102" s="49">
        <f>D19/D8</f>
        <v>0.49915184202514029</v>
      </c>
      <c r="E102" s="49">
        <f>E19/E8</f>
        <v>0.43554363102082533</v>
      </c>
      <c r="F102" s="49">
        <f>F19/F8</f>
        <v>0.47307051637978903</v>
      </c>
      <c r="G102" s="49">
        <f>G19/G8</f>
        <v>0.37190956767000133</v>
      </c>
      <c r="H102" s="49">
        <f>H19/H8</f>
        <v>6.6855232707636922E-2</v>
      </c>
      <c r="I102" s="49">
        <f>I19/I8</f>
        <v>-3.414728432446363E-2</v>
      </c>
      <c r="J102" s="79">
        <f t="shared" ref="J102:M102" si="351">J19/J8</f>
        <v>0.10671573137074516</v>
      </c>
      <c r="K102" s="79">
        <f t="shared" si="351"/>
        <v>0.2</v>
      </c>
      <c r="L102" s="79">
        <f t="shared" si="351"/>
        <v>0.22</v>
      </c>
      <c r="M102" s="79">
        <f t="shared" si="351"/>
        <v>0.24</v>
      </c>
      <c r="N102" s="79">
        <f t="shared" ref="N102:P102" si="352">N19/N8</f>
        <v>0.26</v>
      </c>
      <c r="O102" s="79">
        <f t="shared" si="352"/>
        <v>0.28000000000000003</v>
      </c>
      <c r="P102" s="79">
        <f t="shared" si="352"/>
        <v>0.3</v>
      </c>
      <c r="Q102" s="24"/>
      <c r="R102" s="49">
        <f>R19/R8</f>
        <v>0.34534412955465588</v>
      </c>
      <c r="S102" s="49">
        <f>S19/S8</f>
        <v>0.37678024157202089</v>
      </c>
      <c r="T102" s="49">
        <f>T19/T8</f>
        <v>0.39685012114918655</v>
      </c>
      <c r="U102" s="49">
        <f>U19/U8</f>
        <v>0.36570183629007158</v>
      </c>
      <c r="V102" s="24"/>
      <c r="W102" s="49">
        <f>W19/W8</f>
        <v>0.27941663904540937</v>
      </c>
      <c r="X102" s="49">
        <f>X19/X8</f>
        <v>4.6031404603140459E-2</v>
      </c>
      <c r="Y102" s="49">
        <f>Y19/Y8</f>
        <v>4.0389641244951294E-3</v>
      </c>
      <c r="Z102" s="49">
        <f>Z19/Z8</f>
        <v>8.6198884758364319E-2</v>
      </c>
      <c r="AA102" s="24"/>
      <c r="AB102" s="49">
        <f>AB19/AB8</f>
        <v>5.9171597633136093E-3</v>
      </c>
      <c r="AC102" s="49">
        <f>AC19/AC8</f>
        <v>-4.0209790209790208E-2</v>
      </c>
      <c r="AD102" s="49">
        <f>AD19/AD8</f>
        <v>1.8615626638699527E-2</v>
      </c>
      <c r="AE102" s="49">
        <f>AE19/AE8</f>
        <v>1.957340025094103E-2</v>
      </c>
      <c r="AF102" s="24"/>
      <c r="AG102" s="49">
        <f>AG19/AG8</f>
        <v>0.15876152832674573</v>
      </c>
      <c r="AH102" s="79">
        <f>AH19/AH8</f>
        <v>0.14285714285714285</v>
      </c>
      <c r="AI102" s="49">
        <f>AI19/AI8</f>
        <v>9.0640394088669946E-2</v>
      </c>
      <c r="AJ102" s="79">
        <f>AJ19/AJ8</f>
        <v>8.7499999999999994E-2</v>
      </c>
      <c r="AK102" s="79">
        <f>AK19/AK8</f>
        <v>9.8765432098765427E-2</v>
      </c>
    </row>
    <row r="103" spans="1:37" s="1" customFormat="1" x14ac:dyDescent="0.2">
      <c r="A103" s="24" t="s">
        <v>3</v>
      </c>
      <c r="B103" s="24"/>
      <c r="C103" s="49" t="e">
        <f>C20/C9</f>
        <v>#DIV/0!</v>
      </c>
      <c r="D103" s="49" t="e">
        <f>D20/D9</f>
        <v>#DIV/0!</v>
      </c>
      <c r="E103" s="49" t="e">
        <f>E20/E9</f>
        <v>#DIV/0!</v>
      </c>
      <c r="F103" s="49">
        <f>F20/F9</f>
        <v>0.11862030286034773</v>
      </c>
      <c r="G103" s="49">
        <f>G20/G9</f>
        <v>0.21451855566700101</v>
      </c>
      <c r="H103" s="49">
        <f>H20/H9</f>
        <v>0.12284457129266263</v>
      </c>
      <c r="I103" s="49">
        <f>I20/I9</f>
        <v>-8.3477658468998961E-2</v>
      </c>
      <c r="J103" s="79">
        <f t="shared" ref="J103" si="353">J20/J9</f>
        <v>0.11948593261549149</v>
      </c>
      <c r="K103" s="79">
        <f>J103*1.15</f>
        <v>0.13740882250781522</v>
      </c>
      <c r="L103" s="79">
        <f t="shared" ref="L103:O103" si="354">K103*1.15</f>
        <v>0.1580201458839875</v>
      </c>
      <c r="M103" s="79">
        <f t="shared" si="354"/>
        <v>0.18172316776658559</v>
      </c>
      <c r="N103" s="79">
        <f t="shared" si="354"/>
        <v>0.20898164293157342</v>
      </c>
      <c r="O103" s="79">
        <f t="shared" si="354"/>
        <v>0.24032888937130942</v>
      </c>
      <c r="P103" s="79">
        <f>O103*1.15</f>
        <v>0.2763782227770058</v>
      </c>
      <c r="Q103" s="24"/>
      <c r="R103" s="49">
        <f>R20/R9</f>
        <v>0.13507504168982767</v>
      </c>
      <c r="S103" s="49">
        <f>S20/S9</f>
        <v>0.28741092636579574</v>
      </c>
      <c r="T103" s="49">
        <f>T20/T9</f>
        <v>0.25730110775427995</v>
      </c>
      <c r="U103" s="49">
        <f>U20/U9</f>
        <v>0.16874400767018216</v>
      </c>
      <c r="V103" s="24"/>
      <c r="W103" s="49">
        <f>W20/W9</f>
        <v>0.16538635336647087</v>
      </c>
      <c r="X103" s="49">
        <f>X20/X9</f>
        <v>0.10330047149592798</v>
      </c>
      <c r="Y103" s="49">
        <f>Y20/Y9</f>
        <v>3.3097969991173877E-2</v>
      </c>
      <c r="Z103" s="49">
        <f>Z20/Z9</f>
        <v>2.8141678796700632E-2</v>
      </c>
      <c r="AA103" s="24"/>
      <c r="AB103" s="49">
        <f>AB20/AB9</f>
        <v>-4.6339825386165212E-2</v>
      </c>
      <c r="AC103" s="49">
        <f>AC20/AC9</f>
        <v>-0.13709677419354838</v>
      </c>
      <c r="AD103" s="49">
        <f>AD20/AD9</f>
        <v>1.1724137931034483E-2</v>
      </c>
      <c r="AE103" s="49">
        <f>AE20/AE9</f>
        <v>-8.1577158395649222E-3</v>
      </c>
      <c r="AF103" s="24"/>
      <c r="AG103" s="49">
        <f>AG20/AG9</f>
        <v>0.13489736070381231</v>
      </c>
      <c r="AH103" s="79">
        <f>AH20/AH9</f>
        <v>0.1357142857142857</v>
      </c>
      <c r="AI103" s="49">
        <f>AI20/AI9</f>
        <v>0.10342261904761904</v>
      </c>
      <c r="AJ103" s="79">
        <f>AJ20/AJ9</f>
        <v>0.11666666666666667</v>
      </c>
      <c r="AK103" s="79">
        <f>AK20/AK9</f>
        <v>0.12258064516129032</v>
      </c>
    </row>
    <row r="104" spans="1:37" s="52" customFormat="1" x14ac:dyDescent="0.2">
      <c r="A104" s="52" t="s">
        <v>69</v>
      </c>
      <c r="C104" s="55">
        <f t="shared" ref="C104:D104" si="355">SUM(C18:C20)/C10</f>
        <v>0.40164320575875778</v>
      </c>
      <c r="D104" s="55">
        <f t="shared" si="355"/>
        <v>0.42833569464122012</v>
      </c>
      <c r="E104" s="55">
        <f>SUM(E18:E20)/E10</f>
        <v>0.42091807280584559</v>
      </c>
      <c r="F104" s="55">
        <f t="shared" ref="F104:P104" si="356">SUM(F18:F20)/F10</f>
        <v>0.39001125492402927</v>
      </c>
      <c r="G104" s="55">
        <f t="shared" si="356"/>
        <v>0.36041486603284356</v>
      </c>
      <c r="H104" s="55">
        <f t="shared" si="356"/>
        <v>0.13252385664212521</v>
      </c>
      <c r="I104" s="55">
        <f t="shared" si="356"/>
        <v>0.10895495816272031</v>
      </c>
      <c r="J104" s="80">
        <f t="shared" si="356"/>
        <v>0.25347275814168851</v>
      </c>
      <c r="K104" s="80">
        <f t="shared" si="356"/>
        <v>0.29859530261876976</v>
      </c>
      <c r="L104" s="80">
        <f t="shared" si="356"/>
        <v>0.31275958570542478</v>
      </c>
      <c r="M104" s="80">
        <f t="shared" si="356"/>
        <v>0.32751055426135384</v>
      </c>
      <c r="N104" s="80">
        <f t="shared" si="356"/>
        <v>0.34259410083095426</v>
      </c>
      <c r="O104" s="80">
        <f t="shared" si="356"/>
        <v>0.35489033261213965</v>
      </c>
      <c r="P104" s="80">
        <f t="shared" si="356"/>
        <v>0.36730872212871485</v>
      </c>
      <c r="AH104" s="87"/>
      <c r="AJ104" s="87"/>
      <c r="AK104" s="87"/>
    </row>
    <row r="105" spans="1:37" s="1" customFormat="1" x14ac:dyDescent="0.2">
      <c r="A105" s="24" t="s">
        <v>5</v>
      </c>
      <c r="B105" s="24"/>
      <c r="C105" s="49">
        <f>C21/C11</f>
        <v>-0.13333333333333333</v>
      </c>
      <c r="D105" s="49">
        <f>D21/D11</f>
        <v>0.20487106017191978</v>
      </c>
      <c r="E105" s="49">
        <f>E21/E11</f>
        <v>0.27872582480091013</v>
      </c>
      <c r="F105" s="49">
        <f>F21/F11</f>
        <v>0.33402275077559462</v>
      </c>
      <c r="G105" s="49">
        <f>G21/G11</f>
        <v>0.39971139971139968</v>
      </c>
      <c r="H105" s="49">
        <f>H21/H11</f>
        <v>0.36918138041733545</v>
      </c>
      <c r="I105" s="49">
        <f>I21/I11</f>
        <v>0.31938431938431938</v>
      </c>
      <c r="J105" s="79">
        <f t="shared" ref="J105:M105" si="357">J21/J11</f>
        <v>0.12526242127361792</v>
      </c>
      <c r="K105" s="79">
        <f t="shared" si="357"/>
        <v>0.3</v>
      </c>
      <c r="L105" s="79">
        <f t="shared" si="357"/>
        <v>0.31</v>
      </c>
      <c r="M105" s="79">
        <f t="shared" si="357"/>
        <v>0.32</v>
      </c>
      <c r="N105" s="79">
        <f t="shared" ref="N105:P105" si="358">N21/N11</f>
        <v>0.33</v>
      </c>
      <c r="O105" s="79">
        <f t="shared" si="358"/>
        <v>0.34</v>
      </c>
      <c r="P105" s="79">
        <f t="shared" si="358"/>
        <v>0.35</v>
      </c>
      <c r="Q105" s="24"/>
      <c r="R105" s="49">
        <f>R21/R11</f>
        <v>0.45358090185676392</v>
      </c>
      <c r="S105" s="49">
        <f>S21/S11</f>
        <v>0.40672782874617736</v>
      </c>
      <c r="T105" s="49">
        <f>T21/T11</f>
        <v>0.38957055214723929</v>
      </c>
      <c r="U105" s="49">
        <f>U21/U11</f>
        <v>0.3455056179775281</v>
      </c>
      <c r="V105" s="24"/>
      <c r="W105" s="49">
        <f>W21/W11</f>
        <v>0.37563451776649748</v>
      </c>
      <c r="X105" s="49">
        <f>X21/X11</f>
        <v>0.41304347826086957</v>
      </c>
      <c r="Y105" s="49">
        <f>Y21/Y11</f>
        <v>0.31555555555555553</v>
      </c>
      <c r="Z105" s="49">
        <f>Z21/Z11</f>
        <v>0.37168141592920356</v>
      </c>
      <c r="AA105" s="24"/>
      <c r="AB105" s="49">
        <f>AB21/AB11</f>
        <v>0.26855895196506552</v>
      </c>
      <c r="AC105" s="49">
        <f>AC21/AC11</f>
        <v>0.28414096916299558</v>
      </c>
      <c r="AD105" s="49">
        <f>AD21/AD11</f>
        <v>0.32075471698113206</v>
      </c>
      <c r="AE105" s="49">
        <f>AE21/AE11</f>
        <v>0.37990580847723704</v>
      </c>
      <c r="AF105" s="24"/>
      <c r="AG105" s="49">
        <f>AG21/AG11</f>
        <v>-0.28451882845188287</v>
      </c>
      <c r="AH105" s="79">
        <f>AH21/AH11</f>
        <v>0</v>
      </c>
      <c r="AI105" s="49">
        <f>AI21/AI11</f>
        <v>0.16363636363636364</v>
      </c>
      <c r="AJ105" s="79">
        <f>AJ21/AJ11</f>
        <v>0.24285714285714285</v>
      </c>
      <c r="AK105" s="79">
        <f>AK21/AK11</f>
        <v>0.22500000000000001</v>
      </c>
    </row>
    <row r="106" spans="1:37" s="1" customFormat="1" x14ac:dyDescent="0.2">
      <c r="A106" s="24" t="s">
        <v>4</v>
      </c>
      <c r="B106" s="24"/>
      <c r="C106" s="49" t="e">
        <f>C22/C12</f>
        <v>#DIV/0!</v>
      </c>
      <c r="D106" s="49" t="e">
        <f>D22/D12</f>
        <v>#DIV/0!</v>
      </c>
      <c r="E106" s="49" t="e">
        <f>E22/E12</f>
        <v>#DIV/0!</v>
      </c>
      <c r="F106" s="49">
        <f>F22/F12</f>
        <v>6.2937062937062943E-2</v>
      </c>
      <c r="G106" s="49">
        <f>G22/G12</f>
        <v>-2.9262086513994912E-2</v>
      </c>
      <c r="H106" s="49">
        <f>H22/H12</f>
        <v>-0.59914712153518124</v>
      </c>
      <c r="I106" s="49">
        <f>I22/I12</f>
        <v>-0.50630252100840334</v>
      </c>
      <c r="J106" s="79">
        <f t="shared" ref="J106:M106" si="359">J22/J12</f>
        <v>-1.1058504536448013</v>
      </c>
      <c r="K106" s="79">
        <f t="shared" si="359"/>
        <v>-0.7</v>
      </c>
      <c r="L106" s="79">
        <f t="shared" si="359"/>
        <v>-0.330188679245283</v>
      </c>
      <c r="M106" s="79">
        <f t="shared" si="359"/>
        <v>-8.8999644001423989E-2</v>
      </c>
      <c r="N106" s="79">
        <f t="shared" ref="N106:O106" si="360">N22/N12</f>
        <v>0</v>
      </c>
      <c r="O106" s="79">
        <f t="shared" si="360"/>
        <v>0.25</v>
      </c>
      <c r="P106" s="79">
        <f>P22/P12</f>
        <v>0.27</v>
      </c>
      <c r="Q106" s="24"/>
      <c r="R106" s="49">
        <f>R22/R12</f>
        <v>-0.3300970873786408</v>
      </c>
      <c r="S106" s="49">
        <f>S22/S12</f>
        <v>0.19696969696969696</v>
      </c>
      <c r="T106" s="49">
        <f>T22/T12</f>
        <v>-0.25287356321839083</v>
      </c>
      <c r="U106" s="49">
        <f>U22/U12</f>
        <v>1.2244897959183673E-2</v>
      </c>
      <c r="V106" s="24"/>
      <c r="W106" s="49">
        <f>W22/W12</f>
        <v>-0.10954063604240283</v>
      </c>
      <c r="X106" s="49">
        <f>X22/X12</f>
        <v>-1.2704918032786885</v>
      </c>
      <c r="Y106" s="49">
        <f>Y22/Y12</f>
        <v>-0.60233918128654973</v>
      </c>
      <c r="Z106" s="49">
        <f>Z22/Z12</f>
        <v>-9.7178683385579931E-2</v>
      </c>
      <c r="AA106" s="24"/>
      <c r="AB106" s="49">
        <f>AB22/AB12</f>
        <v>-20</v>
      </c>
      <c r="AC106" s="49">
        <f>AC22/AC12</f>
        <v>-0.61637931034482762</v>
      </c>
      <c r="AD106" s="49">
        <f>AD22/AD12</f>
        <v>-0.27652733118971062</v>
      </c>
      <c r="AE106" s="49">
        <f>AE22/AE12</f>
        <v>-0.38831615120274915</v>
      </c>
      <c r="AF106" s="24"/>
      <c r="AG106" s="49">
        <f>AG22/AG12</f>
        <v>-0.5662623025864042</v>
      </c>
      <c r="AH106" s="79">
        <f>AH22/AH12</f>
        <v>-6.25</v>
      </c>
      <c r="AI106" s="49">
        <f>AI22/AI12</f>
        <v>-0.65509259259259256</v>
      </c>
      <c r="AJ106" s="79">
        <f>AJ22/AJ12</f>
        <v>-6.75</v>
      </c>
      <c r="AK106" s="79">
        <f>AK22/AK12</f>
        <v>-5.2</v>
      </c>
    </row>
    <row r="107" spans="1:37" s="1" customFormat="1" x14ac:dyDescent="0.2">
      <c r="A107" s="24" t="s">
        <v>28</v>
      </c>
      <c r="B107" s="24"/>
      <c r="C107" s="49" t="e">
        <f t="shared" ref="C107:D109" si="361">C23/C14</f>
        <v>#DIV/0!</v>
      </c>
      <c r="D107" s="49" t="e">
        <f t="shared" si="361"/>
        <v>#DIV/0!</v>
      </c>
      <c r="E107" s="49"/>
      <c r="F107" s="49"/>
      <c r="G107" s="49"/>
      <c r="H107" s="49"/>
      <c r="I107" s="49"/>
      <c r="J107" s="79">
        <f>J23/J14</f>
        <v>-2.2087244616234127E-3</v>
      </c>
      <c r="K107" s="79"/>
      <c r="L107" s="79"/>
      <c r="M107" s="79"/>
      <c r="N107" s="79"/>
      <c r="O107" s="79"/>
      <c r="P107" s="79"/>
      <c r="Q107" s="24"/>
      <c r="R107" s="49" t="e">
        <f t="shared" ref="R107:U109" si="362">R23/R14</f>
        <v>#DIV/0!</v>
      </c>
      <c r="S107" s="49" t="e">
        <f t="shared" si="362"/>
        <v>#DIV/0!</v>
      </c>
      <c r="T107" s="49" t="e">
        <f t="shared" si="362"/>
        <v>#DIV/0!</v>
      </c>
      <c r="U107" s="49" t="e">
        <f t="shared" si="362"/>
        <v>#DIV/0!</v>
      </c>
      <c r="V107" s="24"/>
      <c r="W107" s="49"/>
      <c r="X107" s="49"/>
      <c r="Y107" s="49"/>
      <c r="Z107" s="49"/>
      <c r="AA107" s="24"/>
      <c r="AB107" s="49"/>
      <c r="AC107" s="49"/>
      <c r="AD107" s="49"/>
      <c r="AE107" s="49"/>
      <c r="AF107" s="24"/>
      <c r="AG107" s="49">
        <f t="shared" ref="AG107:AK109" si="363">AG23/AG14</f>
        <v>-0.11403508771929824</v>
      </c>
      <c r="AH107" s="79">
        <f t="shared" ref="AH107:AI109" si="364">AH23/AH14</f>
        <v>0</v>
      </c>
      <c r="AI107" s="49">
        <f t="shared" si="364"/>
        <v>-6.9252077562326875E-2</v>
      </c>
      <c r="AJ107" s="79">
        <f t="shared" si="363"/>
        <v>1.7921146953405017E-2</v>
      </c>
      <c r="AK107" s="79">
        <f t="shared" si="363"/>
        <v>9.0909090909090912E-2</v>
      </c>
    </row>
    <row r="108" spans="1:37" s="1" customFormat="1" x14ac:dyDescent="0.2">
      <c r="A108" s="24" t="s">
        <v>8</v>
      </c>
      <c r="B108" s="24"/>
      <c r="C108" s="49" t="e">
        <f t="shared" si="361"/>
        <v>#DIV/0!</v>
      </c>
      <c r="D108" s="49" t="e">
        <f t="shared" si="361"/>
        <v>#DIV/0!</v>
      </c>
      <c r="E108" s="49" t="e">
        <f t="shared" ref="E108:I109" si="365">E24/E15</f>
        <v>#DIV/0!</v>
      </c>
      <c r="F108" s="49">
        <f t="shared" si="365"/>
        <v>-0.7683733890630442</v>
      </c>
      <c r="G108" s="49">
        <f t="shared" si="365"/>
        <v>-1.1960987398584499</v>
      </c>
      <c r="H108" s="49">
        <f t="shared" si="365"/>
        <v>-5.4885215794306701</v>
      </c>
      <c r="I108" s="49">
        <f t="shared" si="365"/>
        <v>-8.6909937888198758</v>
      </c>
      <c r="J108" s="79">
        <f t="shared" ref="J108:M108" si="366">J24/J15</f>
        <v>-7.7721179624664876</v>
      </c>
      <c r="K108" s="79" t="e">
        <f t="shared" si="366"/>
        <v>#DIV/0!</v>
      </c>
      <c r="L108" s="79" t="e">
        <f t="shared" si="366"/>
        <v>#DIV/0!</v>
      </c>
      <c r="M108" s="79" t="e">
        <f t="shared" si="366"/>
        <v>#DIV/0!</v>
      </c>
      <c r="N108" s="79" t="e">
        <f t="shared" ref="N108:O108" si="367">N24/N15</f>
        <v>#DIV/0!</v>
      </c>
      <c r="O108" s="79" t="e">
        <f t="shared" si="367"/>
        <v>#DIV/0!</v>
      </c>
      <c r="P108" s="79" t="e">
        <f>P24/P15</f>
        <v>#DIV/0!</v>
      </c>
      <c r="Q108" s="24"/>
      <c r="R108" s="49">
        <f t="shared" si="362"/>
        <v>-1.4068241469816274</v>
      </c>
      <c r="S108" s="49">
        <f t="shared" si="362"/>
        <v>-1.0436447166921898</v>
      </c>
      <c r="T108" s="49">
        <f t="shared" si="362"/>
        <v>-0.96012269938650308</v>
      </c>
      <c r="U108" s="49">
        <f t="shared" si="362"/>
        <v>-1.2785602503912363</v>
      </c>
      <c r="V108" s="24"/>
      <c r="W108" s="49">
        <f t="shared" ref="W108:Z109" si="368">W24/W15</f>
        <v>-2.2902097902097904</v>
      </c>
      <c r="X108" s="49">
        <f t="shared" si="368"/>
        <v>-10.435779816513762</v>
      </c>
      <c r="Y108" s="49">
        <f t="shared" si="368"/>
        <v>-7.7817460317460316</v>
      </c>
      <c r="Z108" s="49">
        <f t="shared" si="368"/>
        <v>-8.8050541516245495</v>
      </c>
      <c r="AA108" s="24"/>
      <c r="AB108" s="49">
        <f t="shared" ref="AB108:AE109" si="369">AB24/AB15</f>
        <v>-0.4</v>
      </c>
      <c r="AC108" s="49">
        <f t="shared" si="369"/>
        <v>-14.721739130434782</v>
      </c>
      <c r="AD108" s="49">
        <f t="shared" si="369"/>
        <v>-12.112903225806452</v>
      </c>
      <c r="AE108" s="49">
        <f t="shared" si="369"/>
        <v>-2.797752808988764</v>
      </c>
      <c r="AF108" s="24"/>
      <c r="AG108" s="49">
        <f t="shared" si="363"/>
        <v>-0.54123711340206182</v>
      </c>
      <c r="AH108" s="79">
        <f t="shared" si="364"/>
        <v>-10</v>
      </c>
      <c r="AI108" s="49">
        <f t="shared" si="364"/>
        <v>-12.532934131736527</v>
      </c>
      <c r="AJ108" s="79">
        <f t="shared" si="363"/>
        <v>-9.473684210526315</v>
      </c>
      <c r="AK108" s="79">
        <f t="shared" si="363"/>
        <v>-9.2307692307692299</v>
      </c>
    </row>
    <row r="109" spans="1:37" s="5" customFormat="1" x14ac:dyDescent="0.2">
      <c r="A109" s="28" t="s">
        <v>49</v>
      </c>
      <c r="B109" s="28"/>
      <c r="C109" s="49">
        <f t="shared" si="361"/>
        <v>0.39953450832441767</v>
      </c>
      <c r="D109" s="49">
        <f t="shared" si="361"/>
        <v>0.42576573904733661</v>
      </c>
      <c r="E109" s="49">
        <f t="shared" si="365"/>
        <v>0.41888596234513709</v>
      </c>
      <c r="F109" s="49">
        <f t="shared" si="365"/>
        <v>0.30161520432079891</v>
      </c>
      <c r="G109" s="49">
        <f t="shared" si="365"/>
        <v>0.24411849584060025</v>
      </c>
      <c r="H109" s="49">
        <f t="shared" si="365"/>
        <v>3.7015891140926828E-2</v>
      </c>
      <c r="I109" s="49">
        <f t="shared" si="365"/>
        <v>1.714981190528878E-3</v>
      </c>
      <c r="J109" s="79">
        <f t="shared" ref="J109:M109" si="370">J25/J16</f>
        <v>-4.7227360985827208E-2</v>
      </c>
      <c r="K109" s="79">
        <f>K25/K16</f>
        <v>0.14290229567991805</v>
      </c>
      <c r="L109" s="79">
        <f t="shared" si="370"/>
        <v>0.20763453888066652</v>
      </c>
      <c r="M109" s="79">
        <f t="shared" si="370"/>
        <v>0.25430968747549482</v>
      </c>
      <c r="N109" s="79">
        <f t="shared" ref="N109:P109" si="371">N25/N16</f>
        <v>0.27845216344852247</v>
      </c>
      <c r="O109" s="79">
        <f t="shared" si="371"/>
        <v>0.32561370353674768</v>
      </c>
      <c r="P109" s="79">
        <f t="shared" si="371"/>
        <v>0.33647021245559083</v>
      </c>
      <c r="Q109" s="28"/>
      <c r="R109" s="49">
        <f t="shared" si="362"/>
        <v>9.9010614739783079E-2</v>
      </c>
      <c r="S109" s="49">
        <f t="shared" si="362"/>
        <v>0.14708013363670097</v>
      </c>
      <c r="T109" s="49">
        <f t="shared" si="362"/>
        <v>0.14162156303949325</v>
      </c>
      <c r="U109" s="49">
        <f t="shared" si="362"/>
        <v>0.12627402970903984</v>
      </c>
      <c r="V109" s="34"/>
      <c r="W109" s="49">
        <f t="shared" si="368"/>
        <v>0.23459391597177115</v>
      </c>
      <c r="X109" s="49">
        <f t="shared" si="368"/>
        <v>-4.5315787288913431E-2</v>
      </c>
      <c r="Y109" s="49">
        <f t="shared" si="368"/>
        <v>-1.1310595869819359E-2</v>
      </c>
      <c r="Z109" s="49">
        <f t="shared" si="368"/>
        <v>-7.9992052507393455E-2</v>
      </c>
      <c r="AA109" s="28"/>
      <c r="AB109" s="49">
        <f t="shared" si="369"/>
        <v>-7.5116576127353868E-2</v>
      </c>
      <c r="AC109" s="49">
        <f t="shared" si="369"/>
        <v>-7.8459868820903139E-2</v>
      </c>
      <c r="AD109" s="49">
        <f t="shared" si="369"/>
        <v>-5.650357698733675E-4</v>
      </c>
      <c r="AE109" s="49">
        <f t="shared" si="369"/>
        <v>0.16778773725253435</v>
      </c>
      <c r="AF109" s="28"/>
      <c r="AG109" s="49">
        <f t="shared" si="363"/>
        <v>3.6597957780064624E-2</v>
      </c>
      <c r="AH109" s="79">
        <f t="shared" si="364"/>
        <v>-4.3416152070593982E-2</v>
      </c>
      <c r="AI109" s="49">
        <f t="shared" si="364"/>
        <v>-0.11493815289390924</v>
      </c>
      <c r="AJ109" s="79">
        <f t="shared" si="363"/>
        <v>-7.082876740660396E-2</v>
      </c>
      <c r="AK109" s="79">
        <f t="shared" si="363"/>
        <v>-4.1887953475027523E-2</v>
      </c>
    </row>
    <row r="110" spans="1:37" s="5" customFormat="1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81"/>
      <c r="K110" s="81"/>
      <c r="L110" s="81"/>
      <c r="M110" s="81"/>
      <c r="N110" s="81"/>
      <c r="O110" s="81"/>
      <c r="P110" s="81"/>
      <c r="Q110" s="28"/>
      <c r="R110" s="49"/>
      <c r="S110" s="49"/>
      <c r="T110" s="49"/>
      <c r="U110" s="49"/>
      <c r="V110" s="34"/>
      <c r="W110" s="49"/>
      <c r="X110" s="49"/>
      <c r="Y110" s="49"/>
      <c r="Z110" s="49"/>
      <c r="AA110" s="28"/>
      <c r="AB110" s="49"/>
      <c r="AC110" s="49"/>
      <c r="AD110" s="49"/>
      <c r="AE110" s="49"/>
      <c r="AF110" s="28"/>
      <c r="AG110" s="49"/>
      <c r="AH110" s="79"/>
      <c r="AI110" s="49"/>
      <c r="AJ110" s="79"/>
      <c r="AK110" s="79"/>
    </row>
    <row r="111" spans="1:37" x14ac:dyDescent="0.2">
      <c r="A111" s="23" t="s">
        <v>39</v>
      </c>
      <c r="B111" s="23"/>
      <c r="C111" s="50" t="e">
        <f>C30/C28</f>
        <v>#DIV/0!</v>
      </c>
      <c r="D111" s="50">
        <f t="shared" ref="D111:I111" si="372">D30/D28</f>
        <v>0.61733570460704612</v>
      </c>
      <c r="E111" s="50">
        <f t="shared" si="372"/>
        <v>0.5855624261793928</v>
      </c>
      <c r="F111" s="50">
        <f t="shared" si="372"/>
        <v>0.5600832188218372</v>
      </c>
      <c r="G111" s="50">
        <f t="shared" si="372"/>
        <v>0.5544518121077141</v>
      </c>
      <c r="H111" s="50">
        <f t="shared" si="372"/>
        <v>0.42607923367272499</v>
      </c>
      <c r="I111" s="50">
        <f t="shared" si="372"/>
        <v>0.40036512502766097</v>
      </c>
      <c r="J111" s="82">
        <f t="shared" ref="J111:M111" si="373">J30/J28</f>
        <v>0.37733210671573136</v>
      </c>
      <c r="K111" s="82">
        <f t="shared" si="373"/>
        <v>0.48990409309826927</v>
      </c>
      <c r="L111" s="82">
        <f t="shared" si="373"/>
        <v>0.49965780258174658</v>
      </c>
      <c r="M111" s="82">
        <f t="shared" si="373"/>
        <v>0.51589127891720921</v>
      </c>
      <c r="N111" s="82">
        <f t="shared" ref="N111:P111" si="374">N30/N28</f>
        <v>0.53524180800068599</v>
      </c>
      <c r="O111" s="82">
        <f t="shared" si="374"/>
        <v>0.54711564460300754</v>
      </c>
      <c r="P111" s="82">
        <f t="shared" si="374"/>
        <v>0.56883392291663426</v>
      </c>
      <c r="Q111" s="23"/>
      <c r="R111" s="50">
        <f t="shared" ref="R111:U111" si="375">R30/R28</f>
        <v>0.76251598547674027</v>
      </c>
      <c r="S111" s="50">
        <f t="shared" si="375"/>
        <v>0.77555081488471223</v>
      </c>
      <c r="T111" s="50">
        <f t="shared" si="375"/>
        <v>0.7701407273262888</v>
      </c>
      <c r="U111" s="50">
        <f t="shared" si="375"/>
        <v>0.75805290435603356</v>
      </c>
      <c r="V111" s="23"/>
      <c r="W111" s="50">
        <f t="shared" ref="W111:Z111" si="376">W30/W28</f>
        <v>0.50368642374038874</v>
      </c>
      <c r="X111" s="50">
        <f t="shared" si="376"/>
        <v>0.364669317516368</v>
      </c>
      <c r="Y111" s="50">
        <f t="shared" si="376"/>
        <v>0.42607412059832583</v>
      </c>
      <c r="Z111" s="50">
        <f t="shared" si="376"/>
        <v>0.39168209656744052</v>
      </c>
      <c r="AA111" s="23"/>
      <c r="AB111" s="50">
        <f t="shared" ref="AB111:AE111" si="377">AB30/AB28</f>
        <v>0.66032183449979687</v>
      </c>
      <c r="AC111" s="50">
        <f t="shared" si="377"/>
        <v>0.35817437639972199</v>
      </c>
      <c r="AD111" s="50">
        <f t="shared" si="377"/>
        <v>0.42506003672835146</v>
      </c>
      <c r="AE111" s="50">
        <f t="shared" si="377"/>
        <v>0.45741918732961184</v>
      </c>
      <c r="AF111" s="23"/>
      <c r="AG111" s="50">
        <f t="shared" ref="AG111:AK111" si="378">AG30/AG28</f>
        <v>0.41003370041856813</v>
      </c>
      <c r="AH111" s="82">
        <f>AH30/AH28</f>
        <v>0.41762766986321459</v>
      </c>
      <c r="AI111" s="50">
        <f>AI30/AI28</f>
        <v>0.35434355791299355</v>
      </c>
      <c r="AJ111" s="82">
        <f>AJ30/AJ28</f>
        <v>0.36290052507569931</v>
      </c>
      <c r="AK111" s="82">
        <f t="shared" si="378"/>
        <v>0.38284382369781295</v>
      </c>
    </row>
    <row r="112" spans="1:37" x14ac:dyDescent="0.2">
      <c r="A112" s="23" t="s">
        <v>33</v>
      </c>
      <c r="B112" s="23"/>
      <c r="C112" s="50" t="e">
        <f>C29/C28</f>
        <v>#DIV/0!</v>
      </c>
      <c r="D112" s="50">
        <f t="shared" ref="D112:I112" si="379">D29/D28</f>
        <v>0.38266429539295393</v>
      </c>
      <c r="E112" s="50">
        <f t="shared" si="379"/>
        <v>0.41443757382060725</v>
      </c>
      <c r="F112" s="50">
        <f t="shared" si="379"/>
        <v>0.43991678117816274</v>
      </c>
      <c r="G112" s="50">
        <f t="shared" si="379"/>
        <v>0.4455481878922859</v>
      </c>
      <c r="H112" s="50">
        <f t="shared" si="379"/>
        <v>0.57392076632727507</v>
      </c>
      <c r="I112" s="50">
        <f t="shared" si="379"/>
        <v>0.59963487497233903</v>
      </c>
      <c r="J112" s="82">
        <f t="shared" ref="J112:M112" si="380">J29/J28</f>
        <v>0.6226862925482981</v>
      </c>
      <c r="K112" s="82">
        <f t="shared" si="380"/>
        <v>0.51009590690173068</v>
      </c>
      <c r="L112" s="82">
        <f t="shared" si="380"/>
        <v>0.50034219741825348</v>
      </c>
      <c r="M112" s="82">
        <f t="shared" si="380"/>
        <v>0.48410872108279085</v>
      </c>
      <c r="N112" s="82">
        <f t="shared" ref="N112:P112" si="381">N29/N28</f>
        <v>0.46475819199931401</v>
      </c>
      <c r="O112" s="82">
        <f t="shared" si="381"/>
        <v>0.4528843553969924</v>
      </c>
      <c r="P112" s="82">
        <f t="shared" si="381"/>
        <v>0.43116607708336574</v>
      </c>
      <c r="Q112" s="23"/>
      <c r="R112" s="50">
        <f t="shared" ref="R112:U112" si="382">R29/R28</f>
        <v>0.23748401452325976</v>
      </c>
      <c r="S112" s="50">
        <f t="shared" si="382"/>
        <v>0.22444918511528777</v>
      </c>
      <c r="T112" s="50">
        <f t="shared" si="382"/>
        <v>0.22985927267371117</v>
      </c>
      <c r="U112" s="50">
        <f t="shared" si="382"/>
        <v>0.24194709564396638</v>
      </c>
      <c r="V112" s="23"/>
      <c r="W112" s="50">
        <f t="shared" ref="W112:Z112" si="383">W29/W28</f>
        <v>0.49631357625961131</v>
      </c>
      <c r="X112" s="50">
        <f t="shared" si="383"/>
        <v>0.635330682483632</v>
      </c>
      <c r="Y112" s="50">
        <f t="shared" si="383"/>
        <v>0.57392587940167417</v>
      </c>
      <c r="Z112" s="50">
        <f t="shared" si="383"/>
        <v>0.60831790343255943</v>
      </c>
      <c r="AA112" s="23"/>
      <c r="AB112" s="50">
        <f t="shared" ref="AB112:AE112" si="384">AB29/AB28</f>
        <v>0.33967816550020308</v>
      </c>
      <c r="AC112" s="50">
        <f t="shared" si="384"/>
        <v>0.64182562360027806</v>
      </c>
      <c r="AD112" s="50">
        <f t="shared" si="384"/>
        <v>0.57493996327164854</v>
      </c>
      <c r="AE112" s="50">
        <f t="shared" si="384"/>
        <v>0.54258081267038816</v>
      </c>
      <c r="AF112" s="23"/>
      <c r="AG112" s="50">
        <f t="shared" ref="AG112:AK112" si="385">AG29/AG28</f>
        <v>0.58996629958143187</v>
      </c>
      <c r="AH112" s="82">
        <f>AH29/AH28</f>
        <v>0.58237233013678547</v>
      </c>
      <c r="AI112" s="50">
        <f>AI29/AI28</f>
        <v>0.64565644208700645</v>
      </c>
      <c r="AJ112" s="82">
        <f t="shared" si="385"/>
        <v>0.63709947492430075</v>
      </c>
      <c r="AK112" s="82">
        <f t="shared" si="385"/>
        <v>0.61715617630218711</v>
      </c>
    </row>
    <row r="113" spans="1:37" x14ac:dyDescent="0.2">
      <c r="A113" s="23" t="s">
        <v>35</v>
      </c>
      <c r="B113" s="23"/>
      <c r="C113" s="50" t="e">
        <f>C35/C28</f>
        <v>#DIV/0!</v>
      </c>
      <c r="D113" s="50">
        <f t="shared" ref="D113:I113" si="386">D35/D28</f>
        <v>0.28823678861788615</v>
      </c>
      <c r="E113" s="50">
        <f t="shared" si="386"/>
        <v>0.27937191690405055</v>
      </c>
      <c r="F113" s="50">
        <f t="shared" si="386"/>
        <v>0.25600061643571731</v>
      </c>
      <c r="G113" s="50">
        <f t="shared" si="386"/>
        <v>0.30824812715124517</v>
      </c>
      <c r="H113" s="50">
        <f t="shared" si="386"/>
        <v>0.38906334253179814</v>
      </c>
      <c r="I113" s="50">
        <f t="shared" si="386"/>
        <v>0.3986501438371321</v>
      </c>
      <c r="J113" s="82">
        <f t="shared" ref="J113:M113" si="387">J35/J28</f>
        <v>0.43784728610855567</v>
      </c>
      <c r="K113" s="82">
        <f>K35/K28</f>
        <v>0.37702740944910529</v>
      </c>
      <c r="L113" s="82">
        <f t="shared" si="387"/>
        <v>0.37631370904415118</v>
      </c>
      <c r="M113" s="82">
        <f t="shared" si="387"/>
        <v>0.37595076431421065</v>
      </c>
      <c r="N113" s="82">
        <f t="shared" ref="N113:P113" si="388">N35/N28</f>
        <v>0.3768755076973983</v>
      </c>
      <c r="O113" s="82">
        <f t="shared" si="388"/>
        <v>0.37723607500285822</v>
      </c>
      <c r="P113" s="82">
        <f t="shared" si="388"/>
        <v>0.37404198933174071</v>
      </c>
      <c r="Q113" s="23"/>
      <c r="R113" s="50">
        <f t="shared" ref="R113:U113" si="389">R35/R28</f>
        <v>0.19280933711152509</v>
      </c>
      <c r="S113" s="50">
        <f t="shared" si="389"/>
        <v>0.15078722703294109</v>
      </c>
      <c r="T113" s="50">
        <f t="shared" si="389"/>
        <v>0.15020048850180107</v>
      </c>
      <c r="U113" s="50">
        <f t="shared" si="389"/>
        <v>0.15301203023181822</v>
      </c>
      <c r="V113" s="23"/>
      <c r="W113" s="50">
        <f t="shared" ref="W113:Z113" si="390">W35/W28</f>
        <v>0.26714518217157474</v>
      </c>
      <c r="X113" s="50">
        <f t="shared" si="390"/>
        <v>0.41034764750098568</v>
      </c>
      <c r="Y113" s="50">
        <f t="shared" si="390"/>
        <v>0.43746934576681057</v>
      </c>
      <c r="Z113" s="50">
        <f t="shared" si="390"/>
        <v>0.47229739353368466</v>
      </c>
      <c r="AA113" s="23"/>
      <c r="AB113" s="50">
        <f t="shared" ref="AB113:AE113" si="391">AB35/AB28</f>
        <v>0.24134911564540185</v>
      </c>
      <c r="AC113" s="50">
        <f t="shared" si="391"/>
        <v>0.4366360336705537</v>
      </c>
      <c r="AD113" s="50">
        <f t="shared" si="391"/>
        <v>0.4256250882893064</v>
      </c>
      <c r="AE113" s="50">
        <f t="shared" si="391"/>
        <v>0.2896274178891341</v>
      </c>
      <c r="AF113" s="23"/>
      <c r="AG113" s="50">
        <f t="shared" ref="AG113:AK113" si="392">AG35/AG28</f>
        <v>0.49400934583307327</v>
      </c>
      <c r="AH113" s="82">
        <f>AH35/AH28</f>
        <v>0.43677924760258907</v>
      </c>
      <c r="AI113" s="50">
        <f>AI35/AI28</f>
        <v>0.50734601670631174</v>
      </c>
      <c r="AJ113" s="82">
        <f t="shared" si="392"/>
        <v>0.38795442886451831</v>
      </c>
      <c r="AK113" s="82">
        <f t="shared" si="392"/>
        <v>0.37639744818430088</v>
      </c>
    </row>
    <row r="114" spans="1:37" x14ac:dyDescent="0.2">
      <c r="A114" s="23" t="s">
        <v>34</v>
      </c>
      <c r="B114" s="23"/>
      <c r="C114" s="50" t="e">
        <f>C32/C28</f>
        <v>#DIV/0!</v>
      </c>
      <c r="D114" s="50">
        <f t="shared" ref="D114:I114" si="393">D32/D28</f>
        <v>0.19115571364046974</v>
      </c>
      <c r="E114" s="50">
        <f t="shared" si="393"/>
        <v>0.18567359132911831</v>
      </c>
      <c r="F114" s="50">
        <f t="shared" si="393"/>
        <v>0.17409172049777183</v>
      </c>
      <c r="G114" s="50">
        <f t="shared" si="393"/>
        <v>0.19222008503745697</v>
      </c>
      <c r="H114" s="50">
        <f t="shared" si="393"/>
        <v>0.27798395026485234</v>
      </c>
      <c r="I114" s="50">
        <f t="shared" si="393"/>
        <v>0.29589879766910082</v>
      </c>
      <c r="J114" s="82">
        <f t="shared" ref="J114:M114" si="394">J32/J28</f>
        <v>0.30949402023919043</v>
      </c>
      <c r="K114" s="82">
        <f>K32/K28</f>
        <v>0.26613699490525083</v>
      </c>
      <c r="L114" s="82">
        <f t="shared" si="394"/>
        <v>0.26637936707619692</v>
      </c>
      <c r="M114" s="82">
        <f t="shared" si="394"/>
        <v>0.26686493249688847</v>
      </c>
      <c r="N114" s="82">
        <f t="shared" ref="N114:P114" si="395">N32/N28</f>
        <v>0.26826267690409156</v>
      </c>
      <c r="O114" s="82">
        <f t="shared" si="395"/>
        <v>0.26925836307665163</v>
      </c>
      <c r="P114" s="82">
        <f t="shared" si="395"/>
        <v>0.26770831518986926</v>
      </c>
      <c r="Q114" s="23"/>
      <c r="R114" s="50">
        <f t="shared" ref="R114:U114" si="396">R32/R28</f>
        <v>9.7562601725566397E-2</v>
      </c>
      <c r="S114" s="50">
        <f t="shared" si="396"/>
        <v>9.8970768273388021E-2</v>
      </c>
      <c r="T114" s="50">
        <f t="shared" si="396"/>
        <v>0.10349926757969732</v>
      </c>
      <c r="U114" s="50">
        <f t="shared" si="396"/>
        <v>0.10291456983532092</v>
      </c>
      <c r="V114" s="23"/>
      <c r="W114" s="50">
        <f t="shared" ref="W114:Z114" si="397">W32/W28</f>
        <v>0.23766822040228613</v>
      </c>
      <c r="X114" s="50">
        <f t="shared" si="397"/>
        <v>0.28718461094390602</v>
      </c>
      <c r="Y114" s="50">
        <f t="shared" si="397"/>
        <v>0.28047587563171672</v>
      </c>
      <c r="Z114" s="50">
        <f t="shared" si="397"/>
        <v>0.31790343255946446</v>
      </c>
      <c r="AA114" s="23"/>
      <c r="AB114" s="50">
        <f t="shared" ref="AB114:AE114" si="398">AB32/AB28</f>
        <v>0.18109998469447702</v>
      </c>
      <c r="AC114" s="50">
        <f t="shared" si="398"/>
        <v>0.31508224573326127</v>
      </c>
      <c r="AD114" s="50">
        <f t="shared" si="398"/>
        <v>0.27334369261195085</v>
      </c>
      <c r="AE114" s="50">
        <f t="shared" si="398"/>
        <v>0.25879527456835</v>
      </c>
      <c r="AF114" s="23"/>
      <c r="AG114" s="50">
        <f t="shared" ref="AG114:AK114" si="399">AG32/AG28</f>
        <v>0.34437622549165237</v>
      </c>
      <c r="AH114" s="82">
        <f>AH32/AH28</f>
        <v>0.32183734033874983</v>
      </c>
      <c r="AI114" s="50">
        <f>AI32/AI28</f>
        <v>0.33030867221902249</v>
      </c>
      <c r="AJ114" s="82">
        <f t="shared" si="399"/>
        <v>0.28829641044060533</v>
      </c>
      <c r="AK114" s="82">
        <f t="shared" si="399"/>
        <v>0.28145034413781056</v>
      </c>
    </row>
    <row r="115" spans="1:37" x14ac:dyDescent="0.2">
      <c r="A115" s="23" t="s">
        <v>36</v>
      </c>
      <c r="B115" s="23"/>
      <c r="C115" s="50" t="e">
        <f>C33/C28</f>
        <v>#DIV/0!</v>
      </c>
      <c r="D115" s="50">
        <f t="shared" ref="D115:I115" si="400">D33/D28</f>
        <v>9.809733514001806E-2</v>
      </c>
      <c r="E115" s="50">
        <f t="shared" si="400"/>
        <v>8.8237337594664067E-2</v>
      </c>
      <c r="F115" s="50">
        <f t="shared" si="400"/>
        <v>7.9366098604029947E-2</v>
      </c>
      <c r="G115" s="50">
        <f t="shared" si="400"/>
        <v>8.2797631099412836E-2</v>
      </c>
      <c r="H115" s="50">
        <f t="shared" si="400"/>
        <v>0.11104767342278048</v>
      </c>
      <c r="I115" s="50">
        <f t="shared" si="400"/>
        <v>0.10389466696171719</v>
      </c>
      <c r="J115" s="82">
        <f t="shared" ref="J115:M115" si="401">J33/J28</f>
        <v>0.10459981600735971</v>
      </c>
      <c r="K115" s="82">
        <f t="shared" si="401"/>
        <v>0.11089041454385451</v>
      </c>
      <c r="L115" s="82">
        <f t="shared" si="401"/>
        <v>0.10993434196795428</v>
      </c>
      <c r="M115" s="82">
        <f t="shared" si="401"/>
        <v>0.1090858318173222</v>
      </c>
      <c r="N115" s="82">
        <f t="shared" ref="N115:P115" si="402">N33/N28</f>
        <v>0.10861283079330672</v>
      </c>
      <c r="O115" s="82">
        <f t="shared" si="402"/>
        <v>0.10797771192620663</v>
      </c>
      <c r="P115" s="82">
        <f t="shared" si="402"/>
        <v>0.10633367414187143</v>
      </c>
      <c r="Q115" s="23"/>
      <c r="R115" s="50">
        <f t="shared" ref="R115:U115" si="403">R33/R28</f>
        <v>3.5761284872081751E-2</v>
      </c>
      <c r="S115" s="50">
        <f t="shared" si="403"/>
        <v>4.2598723679447496E-2</v>
      </c>
      <c r="T115" s="50">
        <f t="shared" si="403"/>
        <v>4.5558184046387937E-2</v>
      </c>
      <c r="U115" s="50">
        <f t="shared" si="403"/>
        <v>4.9360359254184548E-2</v>
      </c>
      <c r="V115" s="23"/>
      <c r="W115" s="50">
        <f t="shared" ref="W115:Z115" si="404">W33/W28</f>
        <v>9.5459587836956739E-2</v>
      </c>
      <c r="X115" s="50">
        <f t="shared" si="404"/>
        <v>0.11748461356796154</v>
      </c>
      <c r="Y115" s="50">
        <f t="shared" si="404"/>
        <v>0.1137029119250846</v>
      </c>
      <c r="Z115" s="50">
        <f t="shared" si="404"/>
        <v>0.12149266486255519</v>
      </c>
      <c r="AA115" s="23"/>
      <c r="AB115" s="50">
        <f t="shared" ref="AB115:AE115" si="405">AB33/AB28</f>
        <v>5.7428396217304348E-2</v>
      </c>
      <c r="AC115" s="50">
        <f t="shared" si="405"/>
        <v>0.10610857981311299</v>
      </c>
      <c r="AD115" s="50">
        <f t="shared" si="405"/>
        <v>9.4646136459951971E-2</v>
      </c>
      <c r="AE115" s="50">
        <f t="shared" si="405"/>
        <v>0.10495910684149033</v>
      </c>
      <c r="AF115" s="23"/>
      <c r="AG115" s="50">
        <f t="shared" ref="AG115:AK115" si="406">AG33/AG28</f>
        <v>0.12228420969078301</v>
      </c>
      <c r="AH115" s="82">
        <f>AH33/AH28</f>
        <v>0.11494190726383922</v>
      </c>
      <c r="AI115" s="50">
        <f>AI33/AI28</f>
        <v>0.10355749596109481</v>
      </c>
      <c r="AJ115" s="82">
        <f t="shared" si="406"/>
        <v>9.9658018423912961E-2</v>
      </c>
      <c r="AK115" s="82">
        <f t="shared" si="406"/>
        <v>9.4947104046490316E-2</v>
      </c>
    </row>
    <row r="116" spans="1:37" x14ac:dyDescent="0.2">
      <c r="A116" s="23" t="s">
        <v>37</v>
      </c>
      <c r="B116" s="23"/>
      <c r="C116" s="50" t="e">
        <f>C36/C28</f>
        <v>#DIV/0!</v>
      </c>
      <c r="D116" s="50">
        <f t="shared" ref="D116:I116" si="407">D36/D28</f>
        <v>0.32909891598915991</v>
      </c>
      <c r="E116" s="50">
        <f t="shared" si="407"/>
        <v>0.30619050927534219</v>
      </c>
      <c r="F116" s="50">
        <f t="shared" si="407"/>
        <v>0.30408260238611995</v>
      </c>
      <c r="G116" s="50">
        <f t="shared" si="407"/>
        <v>0.24620368495646891</v>
      </c>
      <c r="H116" s="50">
        <f t="shared" si="407"/>
        <v>3.7015891140926828E-2</v>
      </c>
      <c r="I116" s="50">
        <f t="shared" si="407"/>
        <v>1.714981190528878E-3</v>
      </c>
      <c r="J116" s="82">
        <f t="shared" ref="J116:M116" si="408">J36/J28</f>
        <v>-6.0515179392824289E-2</v>
      </c>
      <c r="K116" s="82">
        <f t="shared" si="408"/>
        <v>0.11287668364916398</v>
      </c>
      <c r="L116" s="82">
        <f t="shared" si="408"/>
        <v>0.12334409353759541</v>
      </c>
      <c r="M116" s="82">
        <f t="shared" si="408"/>
        <v>0.1399405146029985</v>
      </c>
      <c r="N116" s="82">
        <f t="shared" ref="N116:P116" si="409">N36/N28</f>
        <v>0.15836630030328766</v>
      </c>
      <c r="O116" s="82">
        <f t="shared" si="409"/>
        <v>0.16987956960014935</v>
      </c>
      <c r="P116" s="82">
        <f t="shared" si="409"/>
        <v>0.19479193358489355</v>
      </c>
      <c r="Q116" s="23"/>
      <c r="R116" s="50">
        <f t="shared" ref="R116:U116" si="410">R36/R28</f>
        <v>0.56970664836521512</v>
      </c>
      <c r="S116" s="50">
        <f t="shared" si="410"/>
        <v>0.62476358785177111</v>
      </c>
      <c r="T116" s="50">
        <f t="shared" si="410"/>
        <v>0.61994023882448779</v>
      </c>
      <c r="U116" s="50">
        <f t="shared" si="410"/>
        <v>0.60504087412421537</v>
      </c>
      <c r="V116" s="23"/>
      <c r="W116" s="50">
        <f t="shared" ref="W116:Z116" si="411">W36/W28</f>
        <v>0.23654124156881398</v>
      </c>
      <c r="X116" s="50">
        <f t="shared" si="411"/>
        <v>-4.5678329984617703E-2</v>
      </c>
      <c r="Y116" s="50">
        <f t="shared" si="411"/>
        <v>-1.1395225168484764E-2</v>
      </c>
      <c r="Z116" s="50">
        <f t="shared" si="411"/>
        <v>-8.0615296966244129E-2</v>
      </c>
      <c r="AA116" s="23"/>
      <c r="AB116" s="50">
        <f t="shared" ref="AB116:AE116" si="412">AB36/AB28</f>
        <v>0.41897271885439508</v>
      </c>
      <c r="AC116" s="50">
        <f t="shared" si="412"/>
        <v>-7.8461657270831722E-2</v>
      </c>
      <c r="AD116" s="50">
        <f t="shared" si="412"/>
        <v>-5.6505156095493713E-4</v>
      </c>
      <c r="AE116" s="50">
        <f t="shared" si="412"/>
        <v>0.16779176944047774</v>
      </c>
      <c r="AF116" s="23"/>
      <c r="AG116" s="50">
        <f t="shared" ref="AG116:AK116" si="413">AG36/AG28</f>
        <v>-8.3975645414505126E-2</v>
      </c>
      <c r="AH116" s="82">
        <f>AH36/AH28</f>
        <v>-1.9151577739374478E-2</v>
      </c>
      <c r="AI116" s="50">
        <f>AI36/AI28</f>
        <v>-0.15300245879331822</v>
      </c>
      <c r="AJ116" s="82">
        <f t="shared" si="413"/>
        <v>-2.5053903788819002E-2</v>
      </c>
      <c r="AK116" s="82">
        <f t="shared" si="413"/>
        <v>6.4463755135120305E-3</v>
      </c>
    </row>
    <row r="117" spans="1:37" x14ac:dyDescent="0.2">
      <c r="A117" s="23" t="s">
        <v>38</v>
      </c>
      <c r="B117" s="23"/>
      <c r="C117" s="50" t="e">
        <f>C41/C28</f>
        <v>#DIV/0!</v>
      </c>
      <c r="D117" s="50">
        <f t="shared" ref="D117:I117" si="414">D41/D28</f>
        <v>0.29715729448961159</v>
      </c>
      <c r="E117" s="50">
        <f t="shared" si="414"/>
        <v>0.2924755089279511</v>
      </c>
      <c r="F117" s="50">
        <f t="shared" si="414"/>
        <v>0.26839354283586114</v>
      </c>
      <c r="G117" s="50">
        <f t="shared" si="414"/>
        <v>0.25141729094958493</v>
      </c>
      <c r="H117" s="50">
        <f t="shared" si="414"/>
        <v>0.12714498683667966</v>
      </c>
      <c r="I117" s="50">
        <f t="shared" si="414"/>
        <v>3.088810208748248E-2</v>
      </c>
      <c r="J117" s="82">
        <f t="shared" ref="J117:M117" si="415">J41/J28</f>
        <v>-3.4767458586466612E-2</v>
      </c>
      <c r="K117" s="82">
        <f t="shared" si="415"/>
        <v>9.5945181101789373E-2</v>
      </c>
      <c r="L117" s="82">
        <f t="shared" si="415"/>
        <v>0.10114215670082824</v>
      </c>
      <c r="M117" s="82">
        <f t="shared" si="415"/>
        <v>0.11475122197445878</v>
      </c>
      <c r="N117" s="82">
        <f t="shared" ref="N117:P117" si="416">N41/N28</f>
        <v>0.1298603662486959</v>
      </c>
      <c r="O117" s="82">
        <f t="shared" si="416"/>
        <v>0.13930124707212246</v>
      </c>
      <c r="P117" s="82">
        <f t="shared" si="416"/>
        <v>0.15972938553961272</v>
      </c>
      <c r="Q117" s="23"/>
      <c r="R117" s="50">
        <f t="shared" ref="R117:U117" si="417">R41/R28</f>
        <v>0.56073939846882714</v>
      </c>
      <c r="S117" s="50">
        <f t="shared" si="417"/>
        <v>0.61184277422792377</v>
      </c>
      <c r="T117" s="50">
        <f t="shared" si="417"/>
        <v>0.66337564010168915</v>
      </c>
      <c r="U117" s="50">
        <f t="shared" si="417"/>
        <v>0.59573814936261316</v>
      </c>
      <c r="V117" s="23"/>
      <c r="W117" s="50">
        <f t="shared" ref="W117:Z117" si="418">W41/W28</f>
        <v>0.44206268296207929</v>
      </c>
      <c r="X117" s="50">
        <f t="shared" si="418"/>
        <v>-2.9622099463662958E-2</v>
      </c>
      <c r="Y117" s="50">
        <f t="shared" si="418"/>
        <v>6.644954366095962E-2</v>
      </c>
      <c r="Z117" s="50">
        <f t="shared" si="418"/>
        <v>-4.7073066514741489E-2</v>
      </c>
      <c r="AA117" s="23"/>
      <c r="AB117" s="50">
        <f t="shared" ref="AB117:AE117" si="419">AB41/AB28</f>
        <v>0.36167654457772919</v>
      </c>
      <c r="AC117" s="50">
        <f t="shared" si="419"/>
        <v>0.11375395783458182</v>
      </c>
      <c r="AD117" s="50">
        <f t="shared" si="419"/>
        <v>2.1895747987003816E-2</v>
      </c>
      <c r="AE117" s="50">
        <f t="shared" si="419"/>
        <v>0.17266000259639103</v>
      </c>
      <c r="AF117" s="23"/>
      <c r="AG117" s="50">
        <f t="shared" ref="AG117:AK117" si="420">AG41/AG28</f>
        <v>-3.430750883058812E-2</v>
      </c>
      <c r="AH117" s="82">
        <f>AH41/AH28</f>
        <v>-6.6619267013017826E-3</v>
      </c>
      <c r="AI117" s="50">
        <f>AI41/AI28</f>
        <v>-0.12884683520570395</v>
      </c>
      <c r="AJ117" s="82">
        <f t="shared" si="420"/>
        <v>-1.2507345293186358E-2</v>
      </c>
      <c r="AK117" s="82">
        <f t="shared" si="420"/>
        <v>1.4458773181089029E-2</v>
      </c>
    </row>
  </sheetData>
  <mergeCells count="4">
    <mergeCell ref="W1:Z1"/>
    <mergeCell ref="AB1:AE1"/>
    <mergeCell ref="AG1:AK1"/>
    <mergeCell ref="R1:U1"/>
  </mergeCells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4C9C-E643-414F-8E43-09B6D58AC513}">
  <dimension ref="A1:AP242"/>
  <sheetViews>
    <sheetView workbookViewId="0">
      <pane xSplit="1" ySplit="2" topLeftCell="F44" activePane="bottomRight" state="frozen"/>
      <selection pane="topRight" activeCell="B1" sqref="B1"/>
      <selection pane="bottomLeft" activeCell="A3" sqref="A3"/>
      <selection pane="bottomRight" activeCell="A237" sqref="A237"/>
    </sheetView>
  </sheetViews>
  <sheetFormatPr baseColWidth="10" defaultRowHeight="16" outlineLevelRow="1" x14ac:dyDescent="0.2"/>
  <cols>
    <col min="1" max="1" width="45.33203125" bestFit="1" customWidth="1"/>
    <col min="2" max="5" width="12.6640625" bestFit="1" customWidth="1"/>
    <col min="6" max="6" width="11.5" bestFit="1" customWidth="1"/>
    <col min="7" max="7" width="10.6640625" bestFit="1" customWidth="1"/>
    <col min="8" max="8" width="11.5" bestFit="1" customWidth="1"/>
    <col min="9" max="14" width="12.83203125" bestFit="1" customWidth="1"/>
  </cols>
  <sheetData>
    <row r="1" spans="1:14" x14ac:dyDescent="0.2">
      <c r="A1" s="22" t="s">
        <v>0</v>
      </c>
      <c r="B1" s="23"/>
      <c r="C1" s="23"/>
      <c r="D1" s="23"/>
      <c r="E1" s="23"/>
      <c r="F1" s="23"/>
      <c r="G1" s="23"/>
      <c r="H1" s="56"/>
      <c r="I1" s="56"/>
      <c r="J1" s="56"/>
      <c r="K1" s="56"/>
      <c r="L1" s="56"/>
      <c r="M1" s="56"/>
      <c r="N1" s="56"/>
    </row>
    <row r="2" spans="1:14" x14ac:dyDescent="0.2">
      <c r="A2" s="23"/>
      <c r="B2" s="22">
        <f t="shared" ref="B2:E2" si="0">C2-1</f>
        <v>2018</v>
      </c>
      <c r="C2" s="22">
        <f t="shared" si="0"/>
        <v>2019</v>
      </c>
      <c r="D2" s="22">
        <f t="shared" si="0"/>
        <v>2020</v>
      </c>
      <c r="E2" s="22">
        <f t="shared" si="0"/>
        <v>2021</v>
      </c>
      <c r="F2" s="22">
        <f>G2-1</f>
        <v>2022</v>
      </c>
      <c r="G2" s="22">
        <v>2023</v>
      </c>
      <c r="H2" s="75" t="s">
        <v>53</v>
      </c>
      <c r="I2" s="75" t="s">
        <v>54</v>
      </c>
      <c r="J2" s="75" t="s">
        <v>55</v>
      </c>
      <c r="K2" s="75" t="s">
        <v>56</v>
      </c>
      <c r="L2" s="75" t="s">
        <v>57</v>
      </c>
      <c r="M2" s="75" t="s">
        <v>58</v>
      </c>
      <c r="N2" s="75" t="s">
        <v>59</v>
      </c>
    </row>
    <row r="3" spans="1:14" x14ac:dyDescent="0.2">
      <c r="A3" s="22" t="s">
        <v>11</v>
      </c>
      <c r="B3" s="23"/>
      <c r="C3" s="23"/>
      <c r="D3" s="23"/>
      <c r="E3" s="23"/>
      <c r="F3" s="23"/>
      <c r="G3" s="23"/>
      <c r="H3" s="56"/>
      <c r="I3" s="56"/>
      <c r="J3" s="56"/>
      <c r="K3" s="56"/>
      <c r="L3" s="56"/>
      <c r="M3" s="56"/>
      <c r="N3" s="56"/>
    </row>
    <row r="4" spans="1:14" x14ac:dyDescent="0.2">
      <c r="A4" s="24" t="s">
        <v>1</v>
      </c>
      <c r="B4" s="25">
        <v>37004</v>
      </c>
      <c r="C4" s="25">
        <v>37146</v>
      </c>
      <c r="D4" s="25">
        <f t="shared" ref="D4:F4" si="1">SUM(D5:D7)</f>
        <v>40535</v>
      </c>
      <c r="E4" s="25">
        <f t="shared" si="1"/>
        <v>41067</v>
      </c>
      <c r="F4" s="25">
        <f t="shared" si="1"/>
        <v>31773</v>
      </c>
      <c r="G4" s="25">
        <f>SUM(G5:G7)</f>
        <v>29258</v>
      </c>
      <c r="H4" s="57">
        <v>31943</v>
      </c>
      <c r="I4" s="58">
        <v>33220.720000000001</v>
      </c>
      <c r="J4" s="58">
        <v>34549.548800000004</v>
      </c>
      <c r="K4" s="58">
        <v>35931.530752000006</v>
      </c>
      <c r="L4" s="58">
        <v>37368.791982080009</v>
      </c>
      <c r="M4" s="58">
        <v>38863.543661363212</v>
      </c>
      <c r="N4" s="58">
        <v>40000</v>
      </c>
    </row>
    <row r="5" spans="1:14" x14ac:dyDescent="0.2">
      <c r="A5" s="26" t="s">
        <v>6</v>
      </c>
      <c r="B5" s="27"/>
      <c r="C5" s="27"/>
      <c r="D5" s="27">
        <v>24897</v>
      </c>
      <c r="E5" s="27">
        <v>25443</v>
      </c>
      <c r="F5" s="27">
        <v>18781</v>
      </c>
      <c r="G5" s="27">
        <v>16990</v>
      </c>
      <c r="H5" s="59">
        <v>18961</v>
      </c>
      <c r="I5" s="60"/>
      <c r="J5" s="60"/>
      <c r="K5" s="60"/>
      <c r="L5" s="60"/>
      <c r="M5" s="60"/>
      <c r="N5" s="60"/>
    </row>
    <row r="6" spans="1:14" x14ac:dyDescent="0.2">
      <c r="A6" s="26" t="s">
        <v>7</v>
      </c>
      <c r="B6" s="27"/>
      <c r="C6" s="27"/>
      <c r="D6" s="27">
        <v>11179</v>
      </c>
      <c r="E6" s="27">
        <v>12437</v>
      </c>
      <c r="F6" s="27">
        <v>10661</v>
      </c>
      <c r="G6" s="27">
        <v>10166</v>
      </c>
      <c r="H6" s="59">
        <v>11088</v>
      </c>
      <c r="I6" s="60"/>
      <c r="J6" s="60"/>
      <c r="K6" s="60"/>
      <c r="L6" s="60"/>
      <c r="M6" s="60"/>
      <c r="N6" s="60"/>
    </row>
    <row r="7" spans="1:14" x14ac:dyDescent="0.2">
      <c r="A7" s="26" t="s">
        <v>8</v>
      </c>
      <c r="B7" s="27"/>
      <c r="C7" s="27"/>
      <c r="D7" s="27">
        <v>4459</v>
      </c>
      <c r="E7" s="27">
        <v>3187</v>
      </c>
      <c r="F7" s="27">
        <v>2331</v>
      </c>
      <c r="G7" s="27">
        <v>2102</v>
      </c>
      <c r="H7" s="59">
        <v>1894</v>
      </c>
      <c r="I7" s="60"/>
      <c r="J7" s="60"/>
      <c r="K7" s="60"/>
      <c r="L7" s="60"/>
      <c r="M7" s="60"/>
      <c r="N7" s="60"/>
    </row>
    <row r="8" spans="1:14" x14ac:dyDescent="0.2">
      <c r="A8" s="24" t="s">
        <v>2</v>
      </c>
      <c r="B8" s="25">
        <v>22991</v>
      </c>
      <c r="C8" s="25">
        <v>23481</v>
      </c>
      <c r="D8" s="25">
        <v>23413</v>
      </c>
      <c r="E8" s="27">
        <v>22691</v>
      </c>
      <c r="F8" s="27">
        <v>19445</v>
      </c>
      <c r="G8" s="27">
        <v>15521</v>
      </c>
      <c r="H8" s="57">
        <v>14131</v>
      </c>
      <c r="I8" s="59">
        <v>14413.62</v>
      </c>
      <c r="J8" s="59">
        <v>14701.892400000001</v>
      </c>
      <c r="K8" s="59">
        <v>14995.930248000001</v>
      </c>
      <c r="L8" s="59">
        <v>15295.848852960002</v>
      </c>
      <c r="M8" s="59">
        <v>15601.765830019202</v>
      </c>
      <c r="N8" s="59">
        <v>15913.801146619586</v>
      </c>
    </row>
    <row r="9" spans="1:14" x14ac:dyDescent="0.2">
      <c r="A9" s="24" t="s">
        <v>3</v>
      </c>
      <c r="B9" s="25"/>
      <c r="C9" s="25"/>
      <c r="D9" s="25">
        <v>7132</v>
      </c>
      <c r="E9" s="27">
        <v>7976</v>
      </c>
      <c r="F9" s="27">
        <v>8409</v>
      </c>
      <c r="G9" s="27">
        <v>5774</v>
      </c>
      <c r="H9" s="57">
        <v>5758</v>
      </c>
      <c r="I9" s="59">
        <v>5900</v>
      </c>
      <c r="J9" s="59">
        <v>6200</v>
      </c>
      <c r="K9" s="59">
        <v>6400</v>
      </c>
      <c r="L9" s="59">
        <v>6600</v>
      </c>
      <c r="M9" s="59">
        <v>6800</v>
      </c>
      <c r="N9" s="59">
        <v>7000</v>
      </c>
    </row>
    <row r="10" spans="1:14" x14ac:dyDescent="0.2">
      <c r="A10" s="52" t="s">
        <v>69</v>
      </c>
      <c r="B10" s="53">
        <f t="shared" ref="B10:G10" si="2">SUM(B8:B9)+B4</f>
        <v>59995</v>
      </c>
      <c r="C10" s="53">
        <f t="shared" si="2"/>
        <v>60627</v>
      </c>
      <c r="D10" s="53">
        <f t="shared" si="2"/>
        <v>71080</v>
      </c>
      <c r="E10" s="53">
        <f t="shared" si="2"/>
        <v>71734</v>
      </c>
      <c r="F10" s="53">
        <f t="shared" si="2"/>
        <v>59627</v>
      </c>
      <c r="G10" s="53">
        <f t="shared" si="2"/>
        <v>50553</v>
      </c>
      <c r="H10" s="131">
        <v>51832</v>
      </c>
      <c r="I10" s="131">
        <v>53534.340000000004</v>
      </c>
      <c r="J10" s="131">
        <v>55451.441200000001</v>
      </c>
      <c r="K10" s="131">
        <v>57327.46100000001</v>
      </c>
      <c r="L10" s="131">
        <v>59264.640835040009</v>
      </c>
      <c r="M10" s="131">
        <v>61265.309491382417</v>
      </c>
      <c r="N10" s="131">
        <v>62913.801146619589</v>
      </c>
    </row>
    <row r="11" spans="1:14" x14ac:dyDescent="0.2">
      <c r="A11" s="24" t="s">
        <v>5</v>
      </c>
      <c r="B11" s="25">
        <v>698</v>
      </c>
      <c r="C11" s="25">
        <v>879</v>
      </c>
      <c r="D11" s="25">
        <v>967</v>
      </c>
      <c r="E11" s="27">
        <v>1386</v>
      </c>
      <c r="F11" s="27">
        <v>1869</v>
      </c>
      <c r="G11" s="27">
        <v>2079</v>
      </c>
      <c r="H11" s="57">
        <v>1429</v>
      </c>
      <c r="I11" s="59">
        <v>1600</v>
      </c>
      <c r="J11" s="59">
        <v>1900</v>
      </c>
      <c r="K11" s="59">
        <v>2300</v>
      </c>
      <c r="L11" s="59">
        <v>2500</v>
      </c>
      <c r="M11" s="59">
        <v>2700</v>
      </c>
      <c r="N11" s="59">
        <v>2900</v>
      </c>
    </row>
    <row r="12" spans="1:14" x14ac:dyDescent="0.2">
      <c r="A12" s="24" t="s">
        <v>4</v>
      </c>
      <c r="B12" s="25"/>
      <c r="C12" s="25"/>
      <c r="D12" s="25">
        <v>715</v>
      </c>
      <c r="E12" s="27">
        <v>786</v>
      </c>
      <c r="F12" s="27">
        <v>469</v>
      </c>
      <c r="G12" s="27">
        <v>952</v>
      </c>
      <c r="H12" s="57">
        <v>9689</v>
      </c>
      <c r="I12" s="62">
        <v>10000</v>
      </c>
      <c r="J12" s="62">
        <v>10600</v>
      </c>
      <c r="K12" s="62">
        <v>11236</v>
      </c>
      <c r="L12" s="62">
        <v>11910.16</v>
      </c>
      <c r="M12" s="62">
        <v>12791.637368134529</v>
      </c>
      <c r="N12" s="62">
        <v>15000</v>
      </c>
    </row>
    <row r="13" spans="1:14" x14ac:dyDescent="0.2">
      <c r="A13" s="24" t="s">
        <v>28</v>
      </c>
      <c r="B13" s="25"/>
      <c r="C13" s="25"/>
      <c r="D13" s="25"/>
      <c r="E13" s="27"/>
      <c r="F13" s="27"/>
      <c r="G13" s="27"/>
      <c r="H13" s="57">
        <v>1811</v>
      </c>
      <c r="I13" s="56">
        <v>2500</v>
      </c>
      <c r="J13" s="56">
        <v>3000</v>
      </c>
      <c r="K13" s="56">
        <v>3500</v>
      </c>
      <c r="L13" s="56">
        <v>4000</v>
      </c>
      <c r="M13" s="56">
        <v>4500</v>
      </c>
      <c r="N13" s="56">
        <v>5000</v>
      </c>
    </row>
    <row r="14" spans="1:14" x14ac:dyDescent="0.2">
      <c r="A14" s="24" t="s">
        <v>8</v>
      </c>
      <c r="B14" s="25"/>
      <c r="C14" s="25"/>
      <c r="D14" s="25">
        <f>5091+651</f>
        <v>5742</v>
      </c>
      <c r="E14" s="27">
        <f>5019+774</f>
        <v>5793</v>
      </c>
      <c r="F14" s="27">
        <v>1089</v>
      </c>
      <c r="G14" s="27">
        <v>644</v>
      </c>
      <c r="H14" s="57">
        <v>746</v>
      </c>
      <c r="I14" s="56"/>
      <c r="J14" s="56"/>
      <c r="K14" s="56"/>
      <c r="L14" s="56"/>
      <c r="M14" s="56"/>
      <c r="N14" s="56"/>
    </row>
    <row r="15" spans="1:14" x14ac:dyDescent="0.2">
      <c r="A15" s="28" t="s">
        <v>45</v>
      </c>
      <c r="B15" s="29">
        <f t="shared" ref="B15:G15" si="3">SUM(B11:B14)+B10</f>
        <v>60693</v>
      </c>
      <c r="C15" s="29">
        <f t="shared" si="3"/>
        <v>61506</v>
      </c>
      <c r="D15" s="29">
        <f t="shared" si="3"/>
        <v>78504</v>
      </c>
      <c r="E15" s="29">
        <f t="shared" si="3"/>
        <v>79699</v>
      </c>
      <c r="F15" s="29">
        <f t="shared" si="3"/>
        <v>63054</v>
      </c>
      <c r="G15" s="29">
        <f t="shared" si="3"/>
        <v>54228</v>
      </c>
      <c r="H15" s="63">
        <v>65507</v>
      </c>
      <c r="I15" s="63">
        <v>67634.34</v>
      </c>
      <c r="J15" s="63">
        <v>70951.441200000001</v>
      </c>
      <c r="K15" s="63">
        <v>74363.46100000001</v>
      </c>
      <c r="L15" s="63">
        <v>77674.800835040005</v>
      </c>
      <c r="M15" s="63">
        <v>81256.946859516946</v>
      </c>
      <c r="N15" s="63">
        <v>85813.801146619589</v>
      </c>
    </row>
    <row r="16" spans="1:14" x14ac:dyDescent="0.2">
      <c r="A16" s="28" t="s">
        <v>46</v>
      </c>
      <c r="B16" s="25"/>
      <c r="C16" s="25"/>
      <c r="D16" s="25"/>
      <c r="E16" s="25"/>
      <c r="F16" s="25"/>
      <c r="G16" s="25"/>
      <c r="H16" s="57"/>
      <c r="I16" s="56"/>
      <c r="J16" s="56"/>
      <c r="K16" s="56"/>
      <c r="L16" s="56"/>
      <c r="M16" s="56"/>
      <c r="N16" s="56"/>
    </row>
    <row r="17" spans="1:14" x14ac:dyDescent="0.2">
      <c r="A17" s="24" t="s">
        <v>1</v>
      </c>
      <c r="B17" s="24">
        <v>14222</v>
      </c>
      <c r="C17" s="33">
        <v>15292</v>
      </c>
      <c r="D17" s="33">
        <v>15800</v>
      </c>
      <c r="E17" s="33">
        <v>15704</v>
      </c>
      <c r="F17" s="33">
        <v>5569</v>
      </c>
      <c r="G17" s="33">
        <v>6520</v>
      </c>
      <c r="H17" s="57">
        <v>11292</v>
      </c>
      <c r="I17" s="64">
        <v>12291.6664</v>
      </c>
      <c r="J17" s="64">
        <v>13128.828544000002</v>
      </c>
      <c r="K17" s="64">
        <v>14013.296993280002</v>
      </c>
      <c r="L17" s="64">
        <v>14947.516792832004</v>
      </c>
      <c r="M17" s="64">
        <v>15739.735182852102</v>
      </c>
      <c r="N17" s="64">
        <v>16400</v>
      </c>
    </row>
    <row r="18" spans="1:14" x14ac:dyDescent="0.2">
      <c r="A18" s="24" t="s">
        <v>2</v>
      </c>
      <c r="B18" s="24">
        <v>11476</v>
      </c>
      <c r="C18" s="33">
        <v>10227</v>
      </c>
      <c r="D18" s="33">
        <v>11076</v>
      </c>
      <c r="E18" s="33">
        <v>8439</v>
      </c>
      <c r="F18" s="33">
        <v>1300</v>
      </c>
      <c r="G18" s="33">
        <v>-530</v>
      </c>
      <c r="H18" s="57">
        <v>1908</v>
      </c>
      <c r="I18" s="64">
        <v>2882.7240000000002</v>
      </c>
      <c r="J18" s="64">
        <v>3234.4163280000002</v>
      </c>
      <c r="K18" s="64">
        <v>3599.02325952</v>
      </c>
      <c r="L18" s="64">
        <v>3976.9207017696008</v>
      </c>
      <c r="M18" s="64">
        <v>4368.4944324053768</v>
      </c>
      <c r="N18" s="64">
        <v>4774.1403439858759</v>
      </c>
    </row>
    <row r="19" spans="1:14" x14ac:dyDescent="0.2">
      <c r="A19" s="24" t="s">
        <v>3</v>
      </c>
      <c r="B19" s="24"/>
      <c r="C19" s="33"/>
      <c r="D19" s="33">
        <v>846</v>
      </c>
      <c r="E19" s="33">
        <v>1711</v>
      </c>
      <c r="F19" s="33">
        <v>1033</v>
      </c>
      <c r="G19" s="33">
        <v>-482</v>
      </c>
      <c r="H19" s="57">
        <v>718</v>
      </c>
      <c r="I19" s="64">
        <v>846.06286905175398</v>
      </c>
      <c r="J19" s="64">
        <v>1022.4454671761025</v>
      </c>
      <c r="K19" s="64">
        <v>1213.7417158735668</v>
      </c>
      <c r="L19" s="64">
        <v>1439.4218161688079</v>
      </c>
      <c r="M19" s="64">
        <v>1705.4967579454665</v>
      </c>
      <c r="N19" s="64">
        <v>2019.0071913913241</v>
      </c>
    </row>
    <row r="20" spans="1:14" x14ac:dyDescent="0.2">
      <c r="A20" s="24" t="s">
        <v>5</v>
      </c>
      <c r="B20" s="24">
        <v>143</v>
      </c>
      <c r="C20" s="33">
        <v>245</v>
      </c>
      <c r="D20" s="33">
        <v>323</v>
      </c>
      <c r="E20" s="33">
        <v>554</v>
      </c>
      <c r="F20" s="33">
        <v>690</v>
      </c>
      <c r="G20" s="33">
        <v>664</v>
      </c>
      <c r="H20" s="57">
        <v>254</v>
      </c>
      <c r="I20" s="64">
        <v>480</v>
      </c>
      <c r="J20" s="64">
        <v>589</v>
      </c>
      <c r="K20" s="64">
        <v>736</v>
      </c>
      <c r="L20" s="64">
        <v>825</v>
      </c>
      <c r="M20" s="64">
        <v>918.00000000000011</v>
      </c>
      <c r="N20" s="64">
        <v>1014.9999999999999</v>
      </c>
    </row>
    <row r="21" spans="1:14" x14ac:dyDescent="0.2">
      <c r="A21" s="24" t="s">
        <v>4</v>
      </c>
      <c r="B21" s="24"/>
      <c r="C21" s="33"/>
      <c r="D21" s="33">
        <v>45</v>
      </c>
      <c r="E21" s="33">
        <v>-23</v>
      </c>
      <c r="F21" s="33">
        <v>-281</v>
      </c>
      <c r="G21" s="33">
        <v>-482</v>
      </c>
      <c r="H21" s="57">
        <v>-10254</v>
      </c>
      <c r="I21" s="64">
        <v>-7000</v>
      </c>
      <c r="J21" s="64">
        <v>-3500</v>
      </c>
      <c r="K21" s="64">
        <v>-1000</v>
      </c>
      <c r="L21" s="64">
        <v>0</v>
      </c>
      <c r="M21" s="64">
        <v>3197.9093420336321</v>
      </c>
      <c r="N21" s="64">
        <v>4050.0000000000005</v>
      </c>
    </row>
    <row r="22" spans="1:14" x14ac:dyDescent="0.2">
      <c r="A22" s="24" t="s">
        <v>28</v>
      </c>
      <c r="B22" s="24"/>
      <c r="C22" s="33"/>
      <c r="D22" s="33"/>
      <c r="E22" s="33"/>
      <c r="F22" s="33"/>
      <c r="G22" s="33"/>
      <c r="H22" s="57">
        <v>-4</v>
      </c>
      <c r="I22" s="64">
        <v>200</v>
      </c>
      <c r="J22" s="64">
        <v>300</v>
      </c>
      <c r="K22" s="64">
        <v>400</v>
      </c>
      <c r="L22" s="64">
        <v>500</v>
      </c>
      <c r="M22" s="64">
        <v>600</v>
      </c>
      <c r="N22" s="64">
        <v>700</v>
      </c>
    </row>
    <row r="23" spans="1:14" x14ac:dyDescent="0.2">
      <c r="A23" s="24" t="s">
        <v>8</v>
      </c>
      <c r="B23" s="24"/>
      <c r="C23" s="33"/>
      <c r="D23" s="33">
        <f>-4009-403</f>
        <v>-4412</v>
      </c>
      <c r="E23" s="33">
        <f>-5722-1207</f>
        <v>-6929</v>
      </c>
      <c r="F23" s="33">
        <v>-5977</v>
      </c>
      <c r="G23" s="33">
        <v>-5597</v>
      </c>
      <c r="H23" s="57">
        <v>-5198</v>
      </c>
      <c r="I23" s="64"/>
      <c r="J23" s="64"/>
      <c r="K23" s="64"/>
      <c r="L23" s="64"/>
      <c r="M23" s="64"/>
      <c r="N23" s="64"/>
    </row>
    <row r="24" spans="1:14" x14ac:dyDescent="0.2">
      <c r="A24" s="28" t="s">
        <v>47</v>
      </c>
      <c r="B24" s="28">
        <f t="shared" ref="B24:G24" si="4">SUM(B18:B23)+B17</f>
        <v>25841</v>
      </c>
      <c r="C24" s="34">
        <f t="shared" si="4"/>
        <v>25764</v>
      </c>
      <c r="D24" s="34">
        <f t="shared" si="4"/>
        <v>23678</v>
      </c>
      <c r="E24" s="34">
        <f t="shared" si="4"/>
        <v>19456</v>
      </c>
      <c r="F24" s="34">
        <f t="shared" si="4"/>
        <v>2334</v>
      </c>
      <c r="G24" s="34">
        <f t="shared" si="4"/>
        <v>93</v>
      </c>
      <c r="H24" s="65">
        <v>-1284</v>
      </c>
      <c r="I24" s="65">
        <v>9700.4532690517553</v>
      </c>
      <c r="J24" s="65">
        <v>14774.690339176104</v>
      </c>
      <c r="K24" s="65">
        <v>18962.06196867357</v>
      </c>
      <c r="L24" s="65">
        <v>21688.859310770415</v>
      </c>
      <c r="M24" s="65">
        <v>26529.635715236578</v>
      </c>
      <c r="N24" s="65">
        <v>28958.1475353772</v>
      </c>
    </row>
    <row r="25" spans="1:14" x14ac:dyDescent="0.2">
      <c r="A25" s="24"/>
      <c r="B25" s="25"/>
      <c r="C25" s="25"/>
      <c r="D25" s="25"/>
      <c r="E25" s="27"/>
      <c r="F25" s="27"/>
      <c r="G25" s="27"/>
      <c r="H25" s="57"/>
      <c r="I25" s="56"/>
      <c r="J25" s="56"/>
      <c r="K25" s="56"/>
      <c r="L25" s="56"/>
      <c r="M25" s="56"/>
      <c r="N25" s="56"/>
    </row>
    <row r="26" spans="1:14" x14ac:dyDescent="0.2">
      <c r="A26" s="35" t="s">
        <v>48</v>
      </c>
      <c r="B26" s="25"/>
      <c r="C26" s="25"/>
      <c r="D26" s="25">
        <v>-637</v>
      </c>
      <c r="E26" s="27">
        <v>-675</v>
      </c>
      <c r="F26" s="27"/>
      <c r="G26" s="27"/>
      <c r="H26" s="57">
        <v>-11057</v>
      </c>
      <c r="I26" s="56"/>
      <c r="J26" s="56"/>
      <c r="K26" s="56"/>
      <c r="L26" s="56"/>
      <c r="M26" s="56"/>
      <c r="N26" s="56"/>
    </row>
    <row r="27" spans="1:14" x14ac:dyDescent="0.2">
      <c r="A27" s="11" t="s">
        <v>44</v>
      </c>
      <c r="B27" s="12">
        <v>70848</v>
      </c>
      <c r="C27" s="12">
        <v>71965</v>
      </c>
      <c r="D27" s="12">
        <f>D15+D26</f>
        <v>77867</v>
      </c>
      <c r="E27" s="12">
        <f>E15+E26</f>
        <v>79024</v>
      </c>
      <c r="F27" s="12">
        <f>F15+F26</f>
        <v>63054</v>
      </c>
      <c r="G27" s="12">
        <f>G15+G26</f>
        <v>54228</v>
      </c>
      <c r="H27" s="66">
        <v>54450</v>
      </c>
      <c r="I27" s="66">
        <v>67634.34</v>
      </c>
      <c r="J27" s="66">
        <v>70951.441200000001</v>
      </c>
      <c r="K27" s="66">
        <v>74363.46100000001</v>
      </c>
      <c r="L27" s="66">
        <v>77674.800835040005</v>
      </c>
      <c r="M27" s="66">
        <v>81256.946859516946</v>
      </c>
      <c r="N27" s="66">
        <v>85813.801146619589</v>
      </c>
    </row>
    <row r="28" spans="1:14" x14ac:dyDescent="0.2">
      <c r="A28" s="35" t="s">
        <v>10</v>
      </c>
      <c r="B28" s="25">
        <v>27111</v>
      </c>
      <c r="C28" s="25">
        <v>29825</v>
      </c>
      <c r="D28" s="25">
        <v>34255</v>
      </c>
      <c r="E28" s="25">
        <v>35209</v>
      </c>
      <c r="F28" s="25">
        <v>36188</v>
      </c>
      <c r="G28" s="27">
        <v>32517</v>
      </c>
      <c r="H28" s="57">
        <v>32243</v>
      </c>
      <c r="I28" s="67">
        <v>34500</v>
      </c>
      <c r="J28" s="67">
        <v>35500</v>
      </c>
      <c r="K28" s="67">
        <v>36000</v>
      </c>
      <c r="L28" s="68">
        <v>36100</v>
      </c>
      <c r="M28" s="68">
        <v>36800</v>
      </c>
      <c r="N28" s="67">
        <v>37000</v>
      </c>
    </row>
    <row r="29" spans="1:14" x14ac:dyDescent="0.2">
      <c r="A29" s="36" t="s">
        <v>12</v>
      </c>
      <c r="B29" s="25">
        <f t="shared" ref="B29:D29" si="5">B27-B28</f>
        <v>43737</v>
      </c>
      <c r="C29" s="25">
        <f t="shared" si="5"/>
        <v>42140</v>
      </c>
      <c r="D29" s="25">
        <f t="shared" si="5"/>
        <v>43612</v>
      </c>
      <c r="E29" s="25">
        <f>E27-E28</f>
        <v>43815</v>
      </c>
      <c r="F29" s="25">
        <f t="shared" ref="F29:G29" si="6">F27-F28</f>
        <v>26866</v>
      </c>
      <c r="G29" s="25">
        <f t="shared" si="6"/>
        <v>21711</v>
      </c>
      <c r="H29" s="57">
        <v>22207</v>
      </c>
      <c r="I29" s="57">
        <v>33134.339999999997</v>
      </c>
      <c r="J29" s="57">
        <v>35451.441200000001</v>
      </c>
      <c r="K29" s="57">
        <v>38363.46100000001</v>
      </c>
      <c r="L29" s="57">
        <v>41574.800835040005</v>
      </c>
      <c r="M29" s="57">
        <v>44456.946859516946</v>
      </c>
      <c r="N29" s="57">
        <v>48813.801146619589</v>
      </c>
    </row>
    <row r="30" spans="1:14" x14ac:dyDescent="0.2">
      <c r="A30" s="22" t="s">
        <v>16</v>
      </c>
      <c r="B30" s="25"/>
      <c r="C30" s="25"/>
      <c r="D30" s="25"/>
      <c r="E30" s="25"/>
      <c r="F30" s="25"/>
      <c r="G30" s="25"/>
      <c r="H30" s="57">
        <v>0</v>
      </c>
      <c r="I30" s="56"/>
      <c r="J30" s="56"/>
      <c r="K30" s="56"/>
      <c r="L30" s="56"/>
      <c r="M30" s="56"/>
      <c r="N30" s="56"/>
    </row>
    <row r="31" spans="1:14" x14ac:dyDescent="0.2">
      <c r="A31" s="24" t="s">
        <v>13</v>
      </c>
      <c r="B31" s="25">
        <v>13543</v>
      </c>
      <c r="C31" s="25">
        <v>13362</v>
      </c>
      <c r="D31" s="25">
        <v>13556</v>
      </c>
      <c r="E31" s="25">
        <v>15190</v>
      </c>
      <c r="F31" s="25">
        <v>17528</v>
      </c>
      <c r="G31" s="27">
        <v>16046</v>
      </c>
      <c r="H31" s="57">
        <v>16821</v>
      </c>
      <c r="I31" s="116">
        <v>18000</v>
      </c>
      <c r="J31" s="116">
        <v>18900</v>
      </c>
      <c r="K31" s="116">
        <v>19845</v>
      </c>
      <c r="L31" s="116">
        <v>20837.25</v>
      </c>
      <c r="M31" s="116">
        <v>21879.112499999999</v>
      </c>
      <c r="N31" s="116">
        <v>22973.068125000002</v>
      </c>
    </row>
    <row r="32" spans="1:14" x14ac:dyDescent="0.2">
      <c r="A32" s="24" t="s">
        <v>14</v>
      </c>
      <c r="B32" s="25">
        <v>6950</v>
      </c>
      <c r="C32" s="25">
        <v>6350</v>
      </c>
      <c r="D32" s="25">
        <v>6180</v>
      </c>
      <c r="E32" s="25">
        <v>6543</v>
      </c>
      <c r="F32" s="25">
        <v>7002</v>
      </c>
      <c r="G32" s="27">
        <v>5634</v>
      </c>
      <c r="H32" s="57">
        <v>5685</v>
      </c>
      <c r="I32" s="116">
        <v>7500</v>
      </c>
      <c r="J32" s="116">
        <v>7800</v>
      </c>
      <c r="K32" s="116">
        <v>8112</v>
      </c>
      <c r="L32" s="116">
        <v>8436.48</v>
      </c>
      <c r="M32" s="116">
        <v>8773.9392000000007</v>
      </c>
      <c r="N32" s="116">
        <v>9124.8967680000005</v>
      </c>
    </row>
    <row r="33" spans="1:14" x14ac:dyDescent="0.2">
      <c r="A33" s="24" t="s">
        <v>15</v>
      </c>
      <c r="B33" s="25">
        <v>-72</v>
      </c>
      <c r="C33" s="25">
        <v>393</v>
      </c>
      <c r="D33" s="25">
        <v>198</v>
      </c>
      <c r="E33" s="25">
        <v>2626</v>
      </c>
      <c r="F33" s="25">
        <v>2</v>
      </c>
      <c r="G33" s="27">
        <v>-62</v>
      </c>
      <c r="H33" s="57">
        <v>1291</v>
      </c>
      <c r="I33" s="56"/>
      <c r="J33" s="56"/>
      <c r="K33" s="56"/>
      <c r="L33" s="56"/>
      <c r="M33" s="56"/>
      <c r="N33" s="56"/>
    </row>
    <row r="34" spans="1:14" x14ac:dyDescent="0.2">
      <c r="A34" s="36" t="s">
        <v>17</v>
      </c>
      <c r="B34" s="25">
        <f t="shared" ref="B34" si="7">SUM(B31:B33)</f>
        <v>20421</v>
      </c>
      <c r="C34" s="25">
        <f t="shared" ref="C34:F34" si="8">SUM(C31:C33)</f>
        <v>20105</v>
      </c>
      <c r="D34" s="25">
        <f t="shared" si="8"/>
        <v>19934</v>
      </c>
      <c r="E34" s="25">
        <f t="shared" si="8"/>
        <v>24359</v>
      </c>
      <c r="F34" s="25">
        <f t="shared" si="8"/>
        <v>24532</v>
      </c>
      <c r="G34" s="25">
        <f>SUM(G31:G33)</f>
        <v>21618</v>
      </c>
      <c r="H34" s="57">
        <v>23797</v>
      </c>
      <c r="I34" s="57">
        <v>25500</v>
      </c>
      <c r="J34" s="57">
        <v>26700</v>
      </c>
      <c r="K34" s="57">
        <v>27957</v>
      </c>
      <c r="L34" s="57">
        <v>29273.73</v>
      </c>
      <c r="M34" s="57">
        <v>30653.0517</v>
      </c>
      <c r="N34" s="57">
        <v>32097.964893000004</v>
      </c>
    </row>
    <row r="35" spans="1:14" x14ac:dyDescent="0.2">
      <c r="A35" s="11" t="s">
        <v>18</v>
      </c>
      <c r="B35" s="12">
        <f t="shared" ref="B35:F35" si="9">B29-B34</f>
        <v>23316</v>
      </c>
      <c r="C35" s="12">
        <f t="shared" si="9"/>
        <v>22035</v>
      </c>
      <c r="D35" s="12">
        <f t="shared" si="9"/>
        <v>23678</v>
      </c>
      <c r="E35" s="12">
        <f t="shared" si="9"/>
        <v>19456</v>
      </c>
      <c r="F35" s="12">
        <f t="shared" si="9"/>
        <v>2334</v>
      </c>
      <c r="G35" s="12">
        <f>G29-G34</f>
        <v>93</v>
      </c>
      <c r="H35" s="66">
        <v>-1590</v>
      </c>
      <c r="I35" s="66">
        <v>7634.3399999999965</v>
      </c>
      <c r="J35" s="66">
        <v>8751.4412000000011</v>
      </c>
      <c r="K35" s="66">
        <v>10406.46100000001</v>
      </c>
      <c r="L35" s="66">
        <v>12301.070835040005</v>
      </c>
      <c r="M35" s="66">
        <v>13803.895159516946</v>
      </c>
      <c r="N35" s="66">
        <v>16715.836253619585</v>
      </c>
    </row>
    <row r="36" spans="1:14" x14ac:dyDescent="0.2">
      <c r="A36" s="24" t="s">
        <v>19</v>
      </c>
      <c r="B36" s="25">
        <v>-125</v>
      </c>
      <c r="C36" s="25">
        <v>1539</v>
      </c>
      <c r="D36" s="25">
        <v>1904</v>
      </c>
      <c r="E36" s="25">
        <v>2729</v>
      </c>
      <c r="F36" s="25">
        <v>4268</v>
      </c>
      <c r="G36" s="27">
        <v>40</v>
      </c>
      <c r="H36" s="57">
        <v>85</v>
      </c>
      <c r="I36" s="56"/>
      <c r="J36" s="56"/>
      <c r="K36" s="56"/>
      <c r="L36" s="56"/>
      <c r="M36" s="56"/>
      <c r="N36" s="56"/>
    </row>
    <row r="37" spans="1:14" x14ac:dyDescent="0.2">
      <c r="A37" s="24" t="s">
        <v>20</v>
      </c>
      <c r="B37" s="25">
        <v>126</v>
      </c>
      <c r="C37" s="25">
        <v>484</v>
      </c>
      <c r="D37" s="25">
        <v>-504</v>
      </c>
      <c r="E37" s="25">
        <v>-482</v>
      </c>
      <c r="F37" s="25">
        <v>1166</v>
      </c>
      <c r="G37" s="27">
        <v>629</v>
      </c>
      <c r="H37" s="57">
        <v>675</v>
      </c>
      <c r="I37" s="56"/>
      <c r="J37" s="56"/>
      <c r="K37" s="56"/>
      <c r="L37" s="56"/>
      <c r="M37" s="56"/>
      <c r="N37" s="56"/>
    </row>
    <row r="38" spans="1:14" x14ac:dyDescent="0.2">
      <c r="A38" s="36" t="s">
        <v>21</v>
      </c>
      <c r="B38" s="25">
        <f t="shared" ref="B38:F38" si="10">B35+B36+B37</f>
        <v>23317</v>
      </c>
      <c r="C38" s="25">
        <f t="shared" si="10"/>
        <v>24058</v>
      </c>
      <c r="D38" s="25">
        <f t="shared" si="10"/>
        <v>25078</v>
      </c>
      <c r="E38" s="25">
        <f t="shared" si="10"/>
        <v>21703</v>
      </c>
      <c r="F38" s="25">
        <f t="shared" si="10"/>
        <v>7768</v>
      </c>
      <c r="G38" s="25">
        <f>G35+G36+G37</f>
        <v>762</v>
      </c>
      <c r="H38" s="57">
        <v>-830</v>
      </c>
      <c r="I38" s="57">
        <v>7634.3399999999965</v>
      </c>
      <c r="J38" s="57">
        <v>8751.4412000000011</v>
      </c>
      <c r="K38" s="57">
        <v>10406.46100000001</v>
      </c>
      <c r="L38" s="57">
        <v>12301.070835040005</v>
      </c>
      <c r="M38" s="57">
        <v>13803.895159516946</v>
      </c>
      <c r="N38" s="57">
        <v>16715.836253619585</v>
      </c>
    </row>
    <row r="39" spans="1:14" x14ac:dyDescent="0.2">
      <c r="A39" s="35" t="s">
        <v>22</v>
      </c>
      <c r="B39" s="23">
        <v>2264</v>
      </c>
      <c r="C39" s="23">
        <v>3010</v>
      </c>
      <c r="D39" s="23">
        <v>4179</v>
      </c>
      <c r="E39" s="23">
        <v>1835</v>
      </c>
      <c r="F39" s="23">
        <v>-249</v>
      </c>
      <c r="G39" s="23">
        <v>-913</v>
      </c>
      <c r="H39" s="57">
        <v>-418.40999999999997</v>
      </c>
      <c r="I39" s="62">
        <v>1145.1509999999994</v>
      </c>
      <c r="J39" s="62">
        <v>1575.2594160000001</v>
      </c>
      <c r="K39" s="62">
        <v>1873.1629800000019</v>
      </c>
      <c r="L39" s="62">
        <v>2214.1927503072011</v>
      </c>
      <c r="M39" s="62">
        <v>2484.7011287130499</v>
      </c>
      <c r="N39" s="62">
        <v>3008.8505256515255</v>
      </c>
    </row>
    <row r="40" spans="1:14" x14ac:dyDescent="0.2">
      <c r="A40" s="14" t="s">
        <v>23</v>
      </c>
      <c r="B40" s="12">
        <f t="shared" ref="B40:F40" si="11">B38-B39</f>
        <v>21053</v>
      </c>
      <c r="C40" s="12">
        <f t="shared" si="11"/>
        <v>21048</v>
      </c>
      <c r="D40" s="12">
        <f t="shared" si="11"/>
        <v>20899</v>
      </c>
      <c r="E40" s="12">
        <f t="shared" si="11"/>
        <v>19868</v>
      </c>
      <c r="F40" s="12">
        <f t="shared" si="11"/>
        <v>8017</v>
      </c>
      <c r="G40" s="12">
        <f>G38-G39</f>
        <v>1675</v>
      </c>
      <c r="H40" s="66">
        <v>-411.59000000000003</v>
      </c>
      <c r="I40" s="66">
        <v>6489.1889999999967</v>
      </c>
      <c r="J40" s="66">
        <v>7176.1817840000012</v>
      </c>
      <c r="K40" s="66">
        <v>8533.2980200000093</v>
      </c>
      <c r="L40" s="66">
        <v>10086.878084732805</v>
      </c>
      <c r="M40" s="66">
        <v>11319.194030803896</v>
      </c>
      <c r="N40" s="66">
        <v>13706.98572796806</v>
      </c>
    </row>
    <row r="41" spans="1:14" x14ac:dyDescent="0.2">
      <c r="A41" s="23"/>
      <c r="B41" s="23"/>
      <c r="C41" s="23"/>
      <c r="D41" s="23"/>
      <c r="E41" s="23"/>
      <c r="F41" s="23"/>
      <c r="G41" s="23"/>
      <c r="H41" s="56"/>
      <c r="I41" s="56"/>
      <c r="J41" s="56"/>
      <c r="K41" s="56"/>
      <c r="L41" s="56"/>
      <c r="M41" s="56"/>
      <c r="N41" s="56"/>
    </row>
    <row r="42" spans="1:14" x14ac:dyDescent="0.2">
      <c r="A42" s="23" t="s">
        <v>31</v>
      </c>
      <c r="B42" s="37">
        <f t="shared" ref="B42:G42" si="12">B40/B43</f>
        <v>4.478408849181025</v>
      </c>
      <c r="C42" s="37">
        <f t="shared" si="12"/>
        <v>4.7055667337357479</v>
      </c>
      <c r="D42" s="37">
        <f t="shared" si="12"/>
        <v>4.9383270321361055</v>
      </c>
      <c r="E42" s="37">
        <f t="shared" si="12"/>
        <v>4.8577017114914423</v>
      </c>
      <c r="F42" s="37">
        <f t="shared" si="12"/>
        <v>1.944457918991026</v>
      </c>
      <c r="G42" s="37">
        <f t="shared" si="12"/>
        <v>0.39767331433998099</v>
      </c>
      <c r="H42" s="69">
        <v>-9.7031920411146208E-2</v>
      </c>
      <c r="I42" s="69">
        <v>1.529026625824693</v>
      </c>
      <c r="J42" s="69">
        <v>1.6877191401693323</v>
      </c>
      <c r="K42" s="69">
        <v>2.0031216009389694</v>
      </c>
      <c r="L42" s="69">
        <v>2.36226653038239</v>
      </c>
      <c r="M42" s="69">
        <v>2.6446715025242749</v>
      </c>
      <c r="N42" s="69">
        <v>3.195101568290923</v>
      </c>
    </row>
    <row r="43" spans="1:14" x14ac:dyDescent="0.2">
      <c r="A43" s="23" t="s">
        <v>30</v>
      </c>
      <c r="B43" s="23">
        <v>4701</v>
      </c>
      <c r="C43" s="23">
        <v>4473</v>
      </c>
      <c r="D43" s="23">
        <v>4232</v>
      </c>
      <c r="E43" s="23">
        <v>4090</v>
      </c>
      <c r="F43" s="23">
        <v>4123</v>
      </c>
      <c r="G43" s="23">
        <v>4212</v>
      </c>
      <c r="H43" s="70">
        <v>4241.8</v>
      </c>
      <c r="I43" s="56">
        <v>4244</v>
      </c>
      <c r="J43" s="56">
        <v>4252</v>
      </c>
      <c r="K43" s="56">
        <v>4260</v>
      </c>
      <c r="L43" s="56">
        <v>4270</v>
      </c>
      <c r="M43" s="56">
        <v>4280</v>
      </c>
      <c r="N43" s="56">
        <v>4290</v>
      </c>
    </row>
    <row r="44" spans="1:14" x14ac:dyDescent="0.2">
      <c r="A44" s="23"/>
      <c r="B44" s="23"/>
      <c r="C44" s="23"/>
      <c r="D44" s="23"/>
      <c r="E44" s="23"/>
      <c r="F44" s="23"/>
      <c r="G44" s="23"/>
      <c r="H44" s="56"/>
      <c r="I44" s="56"/>
      <c r="J44" s="56"/>
      <c r="K44" s="56"/>
      <c r="L44" s="56"/>
      <c r="M44" s="56"/>
      <c r="N44" s="56"/>
    </row>
    <row r="45" spans="1:14" x14ac:dyDescent="0.2">
      <c r="A45" s="31" t="s">
        <v>29</v>
      </c>
      <c r="B45" s="23"/>
      <c r="C45" s="23"/>
      <c r="D45" s="23"/>
      <c r="E45" s="23"/>
      <c r="F45" s="23"/>
      <c r="G45" s="23"/>
      <c r="H45" s="56"/>
      <c r="I45" s="56"/>
      <c r="J45" s="56"/>
      <c r="K45" s="56"/>
      <c r="L45" s="56"/>
      <c r="M45" s="56"/>
      <c r="N45" s="56"/>
    </row>
    <row r="46" spans="1:14" x14ac:dyDescent="0.2">
      <c r="A46" s="22" t="s">
        <v>11</v>
      </c>
      <c r="B46" s="23"/>
      <c r="C46" s="23"/>
      <c r="D46" s="23"/>
      <c r="E46" s="23"/>
      <c r="F46" s="23"/>
      <c r="G46" s="23"/>
      <c r="H46" s="56"/>
      <c r="I46" s="56"/>
      <c r="J46" s="56"/>
      <c r="K46" s="56"/>
      <c r="L46" s="56"/>
      <c r="M46" s="56"/>
      <c r="N46" s="56"/>
    </row>
    <row r="47" spans="1:14" x14ac:dyDescent="0.2">
      <c r="A47" s="38" t="s">
        <v>1</v>
      </c>
      <c r="B47" s="40"/>
      <c r="C47" s="40">
        <f t="shared" ref="C47:G52" si="13">(C4-B4)/ABS(B4)</f>
        <v>3.8374229812993192E-3</v>
      </c>
      <c r="D47" s="40">
        <f t="shared" si="13"/>
        <v>9.1234587842567161E-2</v>
      </c>
      <c r="E47" s="40">
        <f t="shared" si="13"/>
        <v>1.3124460342913532E-2</v>
      </c>
      <c r="F47" s="40">
        <f t="shared" si="13"/>
        <v>-0.2263130981079699</v>
      </c>
      <c r="G47" s="40">
        <f t="shared" si="13"/>
        <v>-7.9155257608661447E-2</v>
      </c>
      <c r="H47" s="71">
        <v>9.1769772369950098E-2</v>
      </c>
      <c r="I47" s="71">
        <v>4.0000000000000036E-2</v>
      </c>
      <c r="J47" s="71">
        <v>4.0000000000000091E-2</v>
      </c>
      <c r="K47" s="71">
        <v>4.0000000000000049E-2</v>
      </c>
      <c r="L47" s="71">
        <v>4.000000000000007E-2</v>
      </c>
      <c r="M47" s="71">
        <v>4.000000000000007E-2</v>
      </c>
      <c r="N47" s="71">
        <v>2.9242221155622864E-2</v>
      </c>
    </row>
    <row r="48" spans="1:14" x14ac:dyDescent="0.2">
      <c r="A48" s="26" t="s">
        <v>6</v>
      </c>
      <c r="B48" s="42"/>
      <c r="C48" s="42" t="e">
        <f t="shared" si="13"/>
        <v>#DIV/0!</v>
      </c>
      <c r="D48" s="42" t="e">
        <f t="shared" si="13"/>
        <v>#DIV/0!</v>
      </c>
      <c r="E48" s="42">
        <f t="shared" si="13"/>
        <v>2.1930353054584888E-2</v>
      </c>
      <c r="F48" s="42">
        <f t="shared" si="13"/>
        <v>-0.26184019180128132</v>
      </c>
      <c r="G48" s="42">
        <f t="shared" si="13"/>
        <v>-9.5362334274000315E-2</v>
      </c>
      <c r="H48" s="72">
        <v>0.11600941730429665</v>
      </c>
      <c r="I48" s="72">
        <v>-1</v>
      </c>
      <c r="J48" s="72" t="e">
        <v>#DIV/0!</v>
      </c>
      <c r="K48" s="72" t="e">
        <v>#DIV/0!</v>
      </c>
      <c r="L48" s="72" t="e">
        <v>#DIV/0!</v>
      </c>
      <c r="M48" s="72" t="e">
        <v>#DIV/0!</v>
      </c>
      <c r="N48" s="72" t="e">
        <v>#DIV/0!</v>
      </c>
    </row>
    <row r="49" spans="1:14" x14ac:dyDescent="0.2">
      <c r="A49" s="26" t="s">
        <v>7</v>
      </c>
      <c r="B49" s="42"/>
      <c r="C49" s="42" t="e">
        <f t="shared" si="13"/>
        <v>#DIV/0!</v>
      </c>
      <c r="D49" s="42" t="e">
        <f t="shared" si="13"/>
        <v>#DIV/0!</v>
      </c>
      <c r="E49" s="42">
        <f t="shared" si="13"/>
        <v>0.11253242687181322</v>
      </c>
      <c r="F49" s="42">
        <f t="shared" si="13"/>
        <v>-0.14279971054112728</v>
      </c>
      <c r="G49" s="42">
        <f t="shared" si="13"/>
        <v>-4.6430916424350439E-2</v>
      </c>
      <c r="H49" s="72">
        <v>9.0694471768640567E-2</v>
      </c>
      <c r="I49" s="72">
        <v>-1</v>
      </c>
      <c r="J49" s="72" t="e">
        <v>#DIV/0!</v>
      </c>
      <c r="K49" s="72" t="e">
        <v>#DIV/0!</v>
      </c>
      <c r="L49" s="72" t="e">
        <v>#DIV/0!</v>
      </c>
      <c r="M49" s="72" t="e">
        <v>#DIV/0!</v>
      </c>
      <c r="N49" s="72" t="e">
        <v>#DIV/0!</v>
      </c>
    </row>
    <row r="50" spans="1:14" x14ac:dyDescent="0.2">
      <c r="A50" s="26" t="s">
        <v>8</v>
      </c>
      <c r="B50" s="42"/>
      <c r="C50" s="42" t="e">
        <f t="shared" si="13"/>
        <v>#DIV/0!</v>
      </c>
      <c r="D50" s="42" t="e">
        <f t="shared" si="13"/>
        <v>#DIV/0!</v>
      </c>
      <c r="E50" s="42">
        <f t="shared" si="13"/>
        <v>-0.28526575465350973</v>
      </c>
      <c r="F50" s="42">
        <f t="shared" si="13"/>
        <v>-0.2685911515531848</v>
      </c>
      <c r="G50" s="42">
        <f t="shared" si="13"/>
        <v>-9.8241098241098238E-2</v>
      </c>
      <c r="H50" s="72">
        <v>-9.8953377735490011E-2</v>
      </c>
      <c r="I50" s="72">
        <v>-1</v>
      </c>
      <c r="J50" s="72" t="e">
        <v>#DIV/0!</v>
      </c>
      <c r="K50" s="72" t="e">
        <v>#DIV/0!</v>
      </c>
      <c r="L50" s="72" t="e">
        <v>#DIV/0!</v>
      </c>
      <c r="M50" s="72" t="e">
        <v>#DIV/0!</v>
      </c>
      <c r="N50" s="72" t="e">
        <v>#DIV/0!</v>
      </c>
    </row>
    <row r="51" spans="1:14" x14ac:dyDescent="0.2">
      <c r="A51" s="38" t="s">
        <v>2</v>
      </c>
      <c r="B51" s="40"/>
      <c r="C51" s="40">
        <f t="shared" si="13"/>
        <v>2.1312687573398287E-2</v>
      </c>
      <c r="D51" s="40">
        <f t="shared" si="13"/>
        <v>-2.8959584344789404E-3</v>
      </c>
      <c r="E51" s="40">
        <f t="shared" si="13"/>
        <v>-3.0837568871994191E-2</v>
      </c>
      <c r="F51" s="40">
        <f t="shared" si="13"/>
        <v>-0.14305231148913666</v>
      </c>
      <c r="G51" s="40">
        <f t="shared" si="13"/>
        <v>-0.20179994857289793</v>
      </c>
      <c r="H51" s="71">
        <v>-8.9556085303781979E-2</v>
      </c>
      <c r="I51" s="71">
        <v>2.0000000000000056E-2</v>
      </c>
      <c r="J51" s="71">
        <v>1.9999999999999987E-2</v>
      </c>
      <c r="K51" s="71">
        <v>1.9999999999999993E-2</v>
      </c>
      <c r="L51" s="71">
        <v>2.0000000000000077E-2</v>
      </c>
      <c r="M51" s="71">
        <v>1.9999999999999983E-2</v>
      </c>
      <c r="N51" s="71">
        <v>2.0000000000000014E-2</v>
      </c>
    </row>
    <row r="52" spans="1:14" x14ac:dyDescent="0.2">
      <c r="A52" s="38" t="s">
        <v>3</v>
      </c>
      <c r="B52" s="40"/>
      <c r="C52" s="40" t="e">
        <f t="shared" si="13"/>
        <v>#DIV/0!</v>
      </c>
      <c r="D52" s="40" t="e">
        <f t="shared" si="13"/>
        <v>#DIV/0!</v>
      </c>
      <c r="E52" s="40">
        <f t="shared" si="13"/>
        <v>0.11833987661245092</v>
      </c>
      <c r="F52" s="40">
        <f t="shared" si="13"/>
        <v>5.4287863590772319E-2</v>
      </c>
      <c r="G52" s="40">
        <f t="shared" si="13"/>
        <v>-0.31335473897015104</v>
      </c>
      <c r="H52" s="71">
        <v>-2.7710426047800486E-3</v>
      </c>
      <c r="I52" s="71">
        <v>2.4661340743313651E-2</v>
      </c>
      <c r="J52" s="71">
        <v>5.0847457627118647E-2</v>
      </c>
      <c r="K52" s="71">
        <v>3.2258064516129031E-2</v>
      </c>
      <c r="L52" s="71">
        <v>3.125E-2</v>
      </c>
      <c r="M52" s="71">
        <v>3.0303030303030304E-2</v>
      </c>
      <c r="N52" s="71">
        <v>2.9411764705882353E-2</v>
      </c>
    </row>
    <row r="53" spans="1:14" x14ac:dyDescent="0.2">
      <c r="A53" s="38" t="s">
        <v>5</v>
      </c>
      <c r="B53" s="40"/>
      <c r="C53" s="40">
        <f t="shared" ref="C53:G54" si="14">(C11-B11)/ABS(B11)</f>
        <v>0.25931232091690543</v>
      </c>
      <c r="D53" s="40">
        <f t="shared" si="14"/>
        <v>0.10011376564277588</v>
      </c>
      <c r="E53" s="40">
        <f t="shared" si="14"/>
        <v>0.43329886246122029</v>
      </c>
      <c r="F53" s="40">
        <f t="shared" si="14"/>
        <v>0.34848484848484851</v>
      </c>
      <c r="G53" s="40">
        <f t="shared" si="14"/>
        <v>0.11235955056179775</v>
      </c>
      <c r="H53" s="71">
        <v>-0.31265031265031262</v>
      </c>
      <c r="I53" s="71">
        <v>0.11966410076976906</v>
      </c>
      <c r="J53" s="71">
        <v>0.1875</v>
      </c>
      <c r="K53" s="71">
        <v>0.21052631578947367</v>
      </c>
      <c r="L53" s="71">
        <v>8.6956521739130432E-2</v>
      </c>
      <c r="M53" s="71">
        <v>0.08</v>
      </c>
      <c r="N53" s="71">
        <v>7.407407407407407E-2</v>
      </c>
    </row>
    <row r="54" spans="1:14" x14ac:dyDescent="0.2">
      <c r="A54" s="38" t="s">
        <v>4</v>
      </c>
      <c r="B54" s="40"/>
      <c r="C54" s="40" t="e">
        <f t="shared" si="14"/>
        <v>#DIV/0!</v>
      </c>
      <c r="D54" s="40" t="e">
        <f t="shared" si="14"/>
        <v>#DIV/0!</v>
      </c>
      <c r="E54" s="40">
        <f t="shared" si="14"/>
        <v>9.9300699300699305E-2</v>
      </c>
      <c r="F54" s="40">
        <f t="shared" si="14"/>
        <v>-0.40330788804071249</v>
      </c>
      <c r="G54" s="40">
        <f t="shared" si="14"/>
        <v>1.0298507462686568</v>
      </c>
      <c r="H54" s="71">
        <v>9.177521008403362</v>
      </c>
      <c r="I54" s="71">
        <v>3.2098255753947778E-2</v>
      </c>
      <c r="J54" s="71">
        <v>0.06</v>
      </c>
      <c r="K54" s="71">
        <v>0.06</v>
      </c>
      <c r="L54" s="71">
        <v>5.9999999999999984E-2</v>
      </c>
      <c r="M54" s="71">
        <v>7.401053958423133E-2</v>
      </c>
      <c r="N54" s="71">
        <v>0.17264112234503787</v>
      </c>
    </row>
    <row r="55" spans="1:14" x14ac:dyDescent="0.2">
      <c r="A55" s="38" t="s">
        <v>28</v>
      </c>
      <c r="B55" s="40"/>
      <c r="C55" s="40"/>
      <c r="D55" s="40"/>
      <c r="E55" s="40"/>
      <c r="F55" s="40"/>
      <c r="G55" s="40"/>
      <c r="H55" s="71"/>
      <c r="I55" s="71">
        <v>0.38045278851463282</v>
      </c>
      <c r="J55" s="71">
        <v>0.2</v>
      </c>
      <c r="K55" s="71">
        <v>0.16666666666666666</v>
      </c>
      <c r="L55" s="71">
        <v>0.14285714285714285</v>
      </c>
      <c r="M55" s="71">
        <v>0.125</v>
      </c>
      <c r="N55" s="71">
        <v>0.1111111111111111</v>
      </c>
    </row>
    <row r="56" spans="1:14" x14ac:dyDescent="0.2">
      <c r="A56" s="38" t="s">
        <v>8</v>
      </c>
      <c r="B56" s="40"/>
      <c r="C56" s="40" t="e">
        <f>(C14-B14)/ABS(B14)</f>
        <v>#DIV/0!</v>
      </c>
      <c r="D56" s="40" t="e">
        <f>(D14-C14)/ABS(C14)</f>
        <v>#DIV/0!</v>
      </c>
      <c r="E56" s="40">
        <f>(E14-D14)/ABS(D14)</f>
        <v>8.881922675026124E-3</v>
      </c>
      <c r="F56" s="40">
        <f>(F14-E14)/ABS(E14)</f>
        <v>-0.81201450025893318</v>
      </c>
      <c r="G56" s="40">
        <f>(G14-F14)/ABS(F14)</f>
        <v>-0.40863177226813591</v>
      </c>
      <c r="H56" s="71">
        <v>0.15838509316770186</v>
      </c>
      <c r="I56" s="71">
        <v>-1</v>
      </c>
      <c r="J56" s="71" t="e">
        <v>#DIV/0!</v>
      </c>
      <c r="K56" s="71" t="e">
        <v>#DIV/0!</v>
      </c>
      <c r="L56" s="71" t="e">
        <v>#DIV/0!</v>
      </c>
      <c r="M56" s="71" t="e">
        <v>#DIV/0!</v>
      </c>
      <c r="N56" s="71" t="e">
        <v>#DIV/0!</v>
      </c>
    </row>
    <row r="57" spans="1:14" x14ac:dyDescent="0.2">
      <c r="A57" s="28" t="s">
        <v>46</v>
      </c>
      <c r="B57" s="25"/>
      <c r="C57" s="25"/>
      <c r="D57" s="25"/>
      <c r="E57" s="25"/>
      <c r="F57" s="25"/>
      <c r="G57" s="25"/>
      <c r="H57" s="57"/>
      <c r="I57" s="57"/>
      <c r="J57" s="57"/>
      <c r="K57" s="57"/>
      <c r="L57" s="57"/>
      <c r="M57" s="57"/>
      <c r="N57" s="57"/>
    </row>
    <row r="58" spans="1:14" x14ac:dyDescent="0.2">
      <c r="A58" s="24" t="s">
        <v>1</v>
      </c>
      <c r="B58" s="44"/>
      <c r="C58" s="44">
        <f t="shared" ref="C58:G65" si="15">(C17-B17)/ABS(B17)</f>
        <v>7.5235550555477426E-2</v>
      </c>
      <c r="D58" s="44">
        <f t="shared" si="15"/>
        <v>3.3219984305519229E-2</v>
      </c>
      <c r="E58" s="44">
        <f t="shared" si="15"/>
        <v>-6.0759493670886075E-3</v>
      </c>
      <c r="F58" s="44">
        <f t="shared" si="15"/>
        <v>-0.64537697401935812</v>
      </c>
      <c r="G58" s="44">
        <f t="shared" si="15"/>
        <v>0.17076674447836238</v>
      </c>
      <c r="H58" s="73">
        <v>0.73190184049079754</v>
      </c>
      <c r="I58" s="73">
        <v>8.8528728303223531E-2</v>
      </c>
      <c r="J58" s="73">
        <v>6.8108108108108245E-2</v>
      </c>
      <c r="K58" s="73">
        <v>6.7368421052631619E-2</v>
      </c>
      <c r="L58" s="73">
        <v>6.6666666666666791E-2</v>
      </c>
      <c r="M58" s="73">
        <v>5.3000000000000116E-2</v>
      </c>
      <c r="N58" s="73">
        <v>4.194891524396379E-2</v>
      </c>
    </row>
    <row r="59" spans="1:14" x14ac:dyDescent="0.2">
      <c r="A59" s="24" t="s">
        <v>2</v>
      </c>
      <c r="B59" s="44"/>
      <c r="C59" s="44">
        <f t="shared" si="15"/>
        <v>-0.10883583130010456</v>
      </c>
      <c r="D59" s="44">
        <f t="shared" si="15"/>
        <v>8.3015547081255497E-2</v>
      </c>
      <c r="E59" s="44">
        <f t="shared" si="15"/>
        <v>-0.23808234019501626</v>
      </c>
      <c r="F59" s="44">
        <f t="shared" si="15"/>
        <v>-0.84595331200379187</v>
      </c>
      <c r="G59" s="44">
        <f t="shared" si="15"/>
        <v>-1.4076923076923078</v>
      </c>
      <c r="H59" s="73">
        <v>4.5999999999999996</v>
      </c>
      <c r="I59" s="73">
        <v>0.51086163522012584</v>
      </c>
      <c r="J59" s="73">
        <v>0.12200000000000003</v>
      </c>
      <c r="K59" s="73">
        <v>0.11272727272727265</v>
      </c>
      <c r="L59" s="73">
        <v>0.10500000000000022</v>
      </c>
      <c r="M59" s="73">
        <v>9.8461538461538434E-2</v>
      </c>
      <c r="N59" s="73">
        <v>9.2857142857142833E-2</v>
      </c>
    </row>
    <row r="60" spans="1:14" x14ac:dyDescent="0.2">
      <c r="A60" s="24" t="s">
        <v>3</v>
      </c>
      <c r="B60" s="44"/>
      <c r="C60" s="44" t="e">
        <f t="shared" si="15"/>
        <v>#DIV/0!</v>
      </c>
      <c r="D60" s="44" t="e">
        <f t="shared" si="15"/>
        <v>#DIV/0!</v>
      </c>
      <c r="E60" s="44">
        <f t="shared" si="15"/>
        <v>1.0224586288416075</v>
      </c>
      <c r="F60" s="44">
        <f t="shared" si="15"/>
        <v>-0.39625949736995908</v>
      </c>
      <c r="G60" s="44">
        <f t="shared" si="15"/>
        <v>-1.4666021297192642</v>
      </c>
      <c r="H60" s="73">
        <v>2.4896265560165975</v>
      </c>
      <c r="I60" s="73">
        <v>0.17836054185481057</v>
      </c>
      <c r="J60" s="73">
        <v>0.20847457627118623</v>
      </c>
      <c r="K60" s="73">
        <v>0.18709677419354837</v>
      </c>
      <c r="L60" s="73">
        <v>0.18593749999999984</v>
      </c>
      <c r="M60" s="73">
        <v>0.18484848484848493</v>
      </c>
      <c r="N60" s="73">
        <v>0.18382352941176461</v>
      </c>
    </row>
    <row r="61" spans="1:14" x14ac:dyDescent="0.2">
      <c r="A61" s="24" t="s">
        <v>5</v>
      </c>
      <c r="B61" s="44"/>
      <c r="C61" s="44">
        <f t="shared" si="15"/>
        <v>0.71328671328671334</v>
      </c>
      <c r="D61" s="44">
        <f t="shared" si="15"/>
        <v>0.3183673469387755</v>
      </c>
      <c r="E61" s="44">
        <f t="shared" si="15"/>
        <v>0.71517027863777094</v>
      </c>
      <c r="F61" s="44">
        <f t="shared" si="15"/>
        <v>0.24548736462093862</v>
      </c>
      <c r="G61" s="44">
        <f t="shared" si="15"/>
        <v>-3.7681159420289857E-2</v>
      </c>
      <c r="H61" s="73">
        <v>-0.61746987951807231</v>
      </c>
      <c r="I61" s="73">
        <v>0.88976377952755903</v>
      </c>
      <c r="J61" s="73">
        <v>0.22708333333333333</v>
      </c>
      <c r="K61" s="73">
        <v>0.24957555178268251</v>
      </c>
      <c r="L61" s="73">
        <v>0.12092391304347826</v>
      </c>
      <c r="M61" s="73">
        <v>0.11272727272727287</v>
      </c>
      <c r="N61" s="73">
        <v>0.10566448801742893</v>
      </c>
    </row>
    <row r="62" spans="1:14" x14ac:dyDescent="0.2">
      <c r="A62" s="24" t="s">
        <v>4</v>
      </c>
      <c r="B62" s="44"/>
      <c r="C62" s="44" t="e">
        <f t="shared" si="15"/>
        <v>#DIV/0!</v>
      </c>
      <c r="D62" s="44" t="e">
        <f t="shared" si="15"/>
        <v>#DIV/0!</v>
      </c>
      <c r="E62" s="44">
        <f t="shared" si="15"/>
        <v>-1.5111111111111111</v>
      </c>
      <c r="F62" s="44">
        <f t="shared" si="15"/>
        <v>-11.217391304347826</v>
      </c>
      <c r="G62" s="44">
        <f t="shared" si="15"/>
        <v>-0.71530249110320288</v>
      </c>
      <c r="H62" s="73">
        <v>-20.273858921161825</v>
      </c>
      <c r="I62" s="73">
        <v>0.31733957480007802</v>
      </c>
      <c r="J62" s="73">
        <v>0.5</v>
      </c>
      <c r="K62" s="73">
        <v>0.7142857142857143</v>
      </c>
      <c r="L62" s="73">
        <v>1</v>
      </c>
      <c r="M62" s="73" t="e">
        <v>#DIV/0!</v>
      </c>
      <c r="N62" s="73">
        <v>0.26645241213264104</v>
      </c>
    </row>
    <row r="63" spans="1:14" x14ac:dyDescent="0.2">
      <c r="A63" s="24" t="s">
        <v>28</v>
      </c>
      <c r="B63" s="44"/>
      <c r="C63" s="44"/>
      <c r="D63" s="44"/>
      <c r="E63" s="44"/>
      <c r="F63" s="44"/>
      <c r="G63" s="44"/>
      <c r="H63" s="73"/>
      <c r="I63" s="73"/>
      <c r="J63" s="73"/>
      <c r="K63" s="73"/>
      <c r="L63" s="73"/>
      <c r="M63" s="73"/>
      <c r="N63" s="73"/>
    </row>
    <row r="64" spans="1:14" x14ac:dyDescent="0.2">
      <c r="A64" s="24" t="s">
        <v>8</v>
      </c>
      <c r="B64" s="44"/>
      <c r="C64" s="44" t="e">
        <f t="shared" si="15"/>
        <v>#DIV/0!</v>
      </c>
      <c r="D64" s="44" t="e">
        <f t="shared" si="15"/>
        <v>#DIV/0!</v>
      </c>
      <c r="E64" s="44">
        <f t="shared" si="15"/>
        <v>-0.57048957388939259</v>
      </c>
      <c r="F64" s="44">
        <f t="shared" si="15"/>
        <v>0.13739356328474528</v>
      </c>
      <c r="G64" s="44">
        <f t="shared" si="15"/>
        <v>6.3577045340471802E-2</v>
      </c>
      <c r="H64" s="73">
        <v>7.1288190101840274E-2</v>
      </c>
      <c r="I64" s="73">
        <v>1</v>
      </c>
      <c r="J64" s="73" t="e">
        <v>#DIV/0!</v>
      </c>
      <c r="K64" s="73" t="e">
        <v>#DIV/0!</v>
      </c>
      <c r="L64" s="73" t="e">
        <v>#DIV/0!</v>
      </c>
      <c r="M64" s="73" t="e">
        <v>#DIV/0!</v>
      </c>
      <c r="N64" s="73" t="e">
        <v>#DIV/0!</v>
      </c>
    </row>
    <row r="65" spans="1:14" x14ac:dyDescent="0.2">
      <c r="A65" s="28" t="s">
        <v>47</v>
      </c>
      <c r="B65" s="44"/>
      <c r="C65" s="44">
        <f t="shared" si="15"/>
        <v>-2.9797608451685308E-3</v>
      </c>
      <c r="D65" s="44">
        <f t="shared" si="15"/>
        <v>-8.0965688557677384E-2</v>
      </c>
      <c r="E65" s="44">
        <f t="shared" si="15"/>
        <v>-0.17830897879888505</v>
      </c>
      <c r="F65" s="44">
        <f t="shared" si="15"/>
        <v>-0.88003700657894735</v>
      </c>
      <c r="G65" s="44">
        <f t="shared" si="15"/>
        <v>-0.96015424164524421</v>
      </c>
      <c r="H65" s="73">
        <v>-14.806451612903226</v>
      </c>
      <c r="I65" s="73">
        <v>8.5548701472365689</v>
      </c>
      <c r="J65" s="73">
        <v>0.52309278024287298</v>
      </c>
      <c r="K65" s="73">
        <v>0.28341518728107368</v>
      </c>
      <c r="L65" s="73">
        <v>0.14380278614222824</v>
      </c>
      <c r="M65" s="73">
        <v>0.22319183941878837</v>
      </c>
      <c r="N65" s="73">
        <v>9.153958411671187E-2</v>
      </c>
    </row>
    <row r="66" spans="1:14" x14ac:dyDescent="0.2">
      <c r="A66" s="24"/>
      <c r="B66" s="25"/>
      <c r="C66" s="25"/>
      <c r="D66" s="25"/>
      <c r="E66" s="27"/>
      <c r="F66" s="27"/>
      <c r="G66" s="27"/>
      <c r="H66" s="59"/>
      <c r="I66" s="59"/>
      <c r="J66" s="59"/>
      <c r="K66" s="59"/>
      <c r="L66" s="59"/>
      <c r="M66" s="59"/>
      <c r="N66" s="59"/>
    </row>
    <row r="67" spans="1:14" x14ac:dyDescent="0.2">
      <c r="A67" s="35" t="s">
        <v>48</v>
      </c>
      <c r="B67" s="44"/>
      <c r="C67" s="44" t="e">
        <f t="shared" ref="C67:G67" si="16">(C25-B25)/ABS(B25)</f>
        <v>#DIV/0!</v>
      </c>
      <c r="D67" s="44" t="e">
        <f t="shared" si="16"/>
        <v>#DIV/0!</v>
      </c>
      <c r="E67" s="44" t="e">
        <f t="shared" si="16"/>
        <v>#DIV/0!</v>
      </c>
      <c r="F67" s="44" t="e">
        <f t="shared" si="16"/>
        <v>#DIV/0!</v>
      </c>
      <c r="G67" s="44" t="e">
        <f t="shared" si="16"/>
        <v>#DIV/0!</v>
      </c>
      <c r="H67" s="73" t="e">
        <v>#DIV/0!</v>
      </c>
      <c r="I67" s="73" t="e">
        <v>#DIV/0!</v>
      </c>
      <c r="J67" s="73" t="e">
        <v>#DIV/0!</v>
      </c>
      <c r="K67" s="73" t="e">
        <v>#DIV/0!</v>
      </c>
      <c r="L67" s="73" t="e">
        <v>#DIV/0!</v>
      </c>
      <c r="M67" s="73" t="e">
        <v>#DIV/0!</v>
      </c>
      <c r="N67" s="73" t="e">
        <v>#DIV/0!</v>
      </c>
    </row>
    <row r="68" spans="1:14" x14ac:dyDescent="0.2">
      <c r="A68" s="36" t="s">
        <v>9</v>
      </c>
      <c r="B68" s="44"/>
      <c r="C68" s="44">
        <f t="shared" ref="C68:G70" si="17">(C27-B27)/ABS(B27)</f>
        <v>1.5766147244805781E-2</v>
      </c>
      <c r="D68" s="44">
        <f t="shared" si="17"/>
        <v>8.2012089210032654E-2</v>
      </c>
      <c r="E68" s="44">
        <f t="shared" si="17"/>
        <v>1.4858669269395251E-2</v>
      </c>
      <c r="F68" s="44">
        <f t="shared" si="17"/>
        <v>-0.20209050415063778</v>
      </c>
      <c r="G68" s="44">
        <f t="shared" si="17"/>
        <v>-0.13997525930155105</v>
      </c>
      <c r="H68" s="73">
        <v>4.0938260677140957E-3</v>
      </c>
      <c r="I68" s="73">
        <v>0.24213663911845723</v>
      </c>
      <c r="J68" s="73">
        <v>4.9044630286922367E-2</v>
      </c>
      <c r="K68" s="73">
        <v>4.8089506601875893E-2</v>
      </c>
      <c r="L68" s="73">
        <v>4.4529124794769767E-2</v>
      </c>
      <c r="M68" s="73">
        <v>4.6117221878488455E-2</v>
      </c>
      <c r="N68" s="73">
        <v>5.6079565664470171E-2</v>
      </c>
    </row>
    <row r="69" spans="1:14" x14ac:dyDescent="0.2">
      <c r="A69" s="35" t="s">
        <v>10</v>
      </c>
      <c r="B69" s="44"/>
      <c r="C69" s="44">
        <f t="shared" si="17"/>
        <v>0.10010696765150677</v>
      </c>
      <c r="D69" s="44">
        <f t="shared" si="17"/>
        <v>0.14853310980720871</v>
      </c>
      <c r="E69" s="44">
        <f t="shared" si="17"/>
        <v>2.7849948912567507E-2</v>
      </c>
      <c r="F69" s="44">
        <f t="shared" si="17"/>
        <v>2.7805390667158966E-2</v>
      </c>
      <c r="G69" s="44">
        <f t="shared" si="17"/>
        <v>-0.10144246711617111</v>
      </c>
      <c r="H69" s="73">
        <v>-8.4263615954731363E-3</v>
      </c>
      <c r="I69" s="73">
        <v>6.9999689855162361E-2</v>
      </c>
      <c r="J69" s="73">
        <v>2.8985507246376812E-2</v>
      </c>
      <c r="K69" s="73">
        <v>1.4084507042253521E-2</v>
      </c>
      <c r="L69" s="73">
        <v>2.7777777777777779E-3</v>
      </c>
      <c r="M69" s="73">
        <v>1.9390581717451522E-2</v>
      </c>
      <c r="N69" s="73">
        <v>5.434782608695652E-3</v>
      </c>
    </row>
    <row r="70" spans="1:14" x14ac:dyDescent="0.2">
      <c r="A70" s="36" t="s">
        <v>12</v>
      </c>
      <c r="B70" s="44"/>
      <c r="C70" s="44">
        <f t="shared" si="17"/>
        <v>-3.6513706930059217E-2</v>
      </c>
      <c r="D70" s="44">
        <f t="shared" si="17"/>
        <v>3.4931181775035597E-2</v>
      </c>
      <c r="E70" s="44">
        <f t="shared" si="17"/>
        <v>4.6546821975603043E-3</v>
      </c>
      <c r="F70" s="44">
        <f t="shared" si="17"/>
        <v>-0.38683099395184295</v>
      </c>
      <c r="G70" s="44">
        <f t="shared" si="17"/>
        <v>-0.19187821037742872</v>
      </c>
      <c r="H70" s="73">
        <v>2.2845562157431717E-2</v>
      </c>
      <c r="I70" s="73">
        <v>0.4920673661458097</v>
      </c>
      <c r="J70" s="73">
        <v>6.9930507141533677E-2</v>
      </c>
      <c r="K70" s="73">
        <v>8.2141083731174486E-2</v>
      </c>
      <c r="L70" s="73">
        <v>8.3708293030182915E-2</v>
      </c>
      <c r="M70" s="73">
        <v>6.932434952395046E-2</v>
      </c>
      <c r="N70" s="73">
        <v>9.8001653169530856E-2</v>
      </c>
    </row>
    <row r="71" spans="1:14" x14ac:dyDescent="0.2">
      <c r="A71" s="22" t="s">
        <v>16</v>
      </c>
      <c r="B71" s="44"/>
      <c r="C71" s="44"/>
      <c r="D71" s="44"/>
      <c r="E71" s="44"/>
      <c r="F71" s="44"/>
      <c r="G71" s="44"/>
      <c r="H71" s="73"/>
      <c r="I71" s="73"/>
      <c r="J71" s="73"/>
      <c r="K71" s="73"/>
      <c r="L71" s="73"/>
      <c r="M71" s="73"/>
      <c r="N71" s="73"/>
    </row>
    <row r="72" spans="1:14" x14ac:dyDescent="0.2">
      <c r="A72" s="24" t="s">
        <v>13</v>
      </c>
      <c r="B72" s="44"/>
      <c r="C72" s="44">
        <f t="shared" ref="C72:G80" si="18">(C31-B31)/ABS(B31)</f>
        <v>-1.3364837923650594E-2</v>
      </c>
      <c r="D72" s="44">
        <f t="shared" si="18"/>
        <v>1.4518784613081873E-2</v>
      </c>
      <c r="E72" s="44">
        <f t="shared" si="18"/>
        <v>0.12053703157273532</v>
      </c>
      <c r="F72" s="44">
        <f t="shared" si="18"/>
        <v>0.15391705069124423</v>
      </c>
      <c r="G72" s="44">
        <f t="shared" si="18"/>
        <v>-8.4550433591967136E-2</v>
      </c>
      <c r="H72" s="73">
        <v>4.8298641405957868E-2</v>
      </c>
      <c r="I72" s="73">
        <v>7.0090957731407166E-2</v>
      </c>
      <c r="J72" s="73">
        <v>0.05</v>
      </c>
      <c r="K72" s="73">
        <v>0.05</v>
      </c>
      <c r="L72" s="73">
        <v>0.05</v>
      </c>
      <c r="M72" s="73">
        <v>4.9999999999999968E-2</v>
      </c>
      <c r="N72" s="73">
        <v>5.0000000000000107E-2</v>
      </c>
    </row>
    <row r="73" spans="1:14" x14ac:dyDescent="0.2">
      <c r="A73" s="24" t="s">
        <v>14</v>
      </c>
      <c r="B73" s="44"/>
      <c r="C73" s="44">
        <f t="shared" si="18"/>
        <v>-8.6330935251798566E-2</v>
      </c>
      <c r="D73" s="44">
        <f t="shared" si="18"/>
        <v>-2.6771653543307086E-2</v>
      </c>
      <c r="E73" s="44">
        <f t="shared" si="18"/>
        <v>5.8737864077669906E-2</v>
      </c>
      <c r="F73" s="44">
        <f t="shared" si="18"/>
        <v>7.0151306740027508E-2</v>
      </c>
      <c r="G73" s="44">
        <f t="shared" si="18"/>
        <v>-0.19537275064267351</v>
      </c>
      <c r="H73" s="73">
        <v>9.0521831735889246E-3</v>
      </c>
      <c r="I73" s="73">
        <v>0.31926121372031663</v>
      </c>
      <c r="J73" s="73">
        <v>0.04</v>
      </c>
      <c r="K73" s="73">
        <v>0.04</v>
      </c>
      <c r="L73" s="73">
        <v>3.9999999999999945E-2</v>
      </c>
      <c r="M73" s="73">
        <v>4.000000000000014E-2</v>
      </c>
      <c r="N73" s="73">
        <v>3.9999999999999973E-2</v>
      </c>
    </row>
    <row r="74" spans="1:14" x14ac:dyDescent="0.2">
      <c r="A74" s="24" t="s">
        <v>15</v>
      </c>
      <c r="B74" s="44"/>
      <c r="C74" s="44">
        <f t="shared" si="18"/>
        <v>6.458333333333333</v>
      </c>
      <c r="D74" s="44">
        <f t="shared" si="18"/>
        <v>-0.49618320610687022</v>
      </c>
      <c r="E74" s="44">
        <f t="shared" si="18"/>
        <v>12.262626262626263</v>
      </c>
      <c r="F74" s="44">
        <f t="shared" si="18"/>
        <v>-0.99923838537699927</v>
      </c>
      <c r="G74" s="44">
        <f t="shared" si="18"/>
        <v>-32</v>
      </c>
      <c r="H74" s="73">
        <v>21.822580645161292</v>
      </c>
      <c r="I74" s="73">
        <v>-1</v>
      </c>
      <c r="J74" s="73" t="e">
        <v>#DIV/0!</v>
      </c>
      <c r="K74" s="73" t="e">
        <v>#DIV/0!</v>
      </c>
      <c r="L74" s="73" t="e">
        <v>#DIV/0!</v>
      </c>
      <c r="M74" s="73" t="e">
        <v>#DIV/0!</v>
      </c>
      <c r="N74" s="73" t="e">
        <v>#DIV/0!</v>
      </c>
    </row>
    <row r="75" spans="1:14" x14ac:dyDescent="0.2">
      <c r="A75" s="36" t="s">
        <v>17</v>
      </c>
      <c r="B75" s="44"/>
      <c r="C75" s="44">
        <f t="shared" si="18"/>
        <v>-1.5474266686254345E-2</v>
      </c>
      <c r="D75" s="44">
        <f t="shared" si="18"/>
        <v>-8.505346928624721E-3</v>
      </c>
      <c r="E75" s="44">
        <f t="shared" si="18"/>
        <v>0.22198254238988663</v>
      </c>
      <c r="F75" s="44">
        <f t="shared" si="18"/>
        <v>7.1020977872654871E-3</v>
      </c>
      <c r="G75" s="44">
        <f t="shared" si="18"/>
        <v>-0.11878362954508397</v>
      </c>
      <c r="H75" s="73">
        <v>0.10079563326857248</v>
      </c>
      <c r="I75" s="73">
        <v>7.1563642475942352E-2</v>
      </c>
      <c r="J75" s="73">
        <v>4.7058823529411764E-2</v>
      </c>
      <c r="K75" s="73">
        <v>4.7078651685393255E-2</v>
      </c>
      <c r="L75" s="73">
        <v>4.7098401115999555E-2</v>
      </c>
      <c r="M75" s="73">
        <v>4.7118071390287487E-2</v>
      </c>
      <c r="N75" s="73">
        <v>4.7137662087980751E-2</v>
      </c>
    </row>
    <row r="76" spans="1:14" x14ac:dyDescent="0.2">
      <c r="A76" s="36" t="s">
        <v>18</v>
      </c>
      <c r="B76" s="44"/>
      <c r="C76" s="44">
        <f t="shared" si="18"/>
        <v>-5.4940813175501799E-2</v>
      </c>
      <c r="D76" s="44">
        <f t="shared" si="18"/>
        <v>7.4563194917177222E-2</v>
      </c>
      <c r="E76" s="44">
        <f t="shared" si="18"/>
        <v>-0.17830897879888505</v>
      </c>
      <c r="F76" s="44">
        <f t="shared" si="18"/>
        <v>-0.88003700657894735</v>
      </c>
      <c r="G76" s="44">
        <f t="shared" si="18"/>
        <v>-0.96015424164524421</v>
      </c>
      <c r="H76" s="73">
        <v>-18.096774193548388</v>
      </c>
      <c r="I76" s="73">
        <v>5.8014716981132057</v>
      </c>
      <c r="J76" s="73">
        <v>0.14632583825189932</v>
      </c>
      <c r="K76" s="73">
        <v>0.18911397130794971</v>
      </c>
      <c r="L76" s="73">
        <v>0.18206091725515461</v>
      </c>
      <c r="M76" s="73">
        <v>0.12217020327987183</v>
      </c>
      <c r="N76" s="73">
        <v>0.21095068170631778</v>
      </c>
    </row>
    <row r="77" spans="1:14" x14ac:dyDescent="0.2">
      <c r="A77" s="24" t="s">
        <v>19</v>
      </c>
      <c r="B77" s="44"/>
      <c r="C77" s="44">
        <f t="shared" si="18"/>
        <v>13.311999999999999</v>
      </c>
      <c r="D77" s="44">
        <f t="shared" si="18"/>
        <v>0.23716699155295645</v>
      </c>
      <c r="E77" s="44">
        <f t="shared" si="18"/>
        <v>0.43329831932773111</v>
      </c>
      <c r="F77" s="44">
        <f t="shared" si="18"/>
        <v>0.56394283620373764</v>
      </c>
      <c r="G77" s="44">
        <f t="shared" si="18"/>
        <v>-0.99062792877225869</v>
      </c>
      <c r="H77" s="73">
        <v>1.125</v>
      </c>
      <c r="I77" s="73">
        <v>-1</v>
      </c>
      <c r="J77" s="73" t="e">
        <v>#DIV/0!</v>
      </c>
      <c r="K77" s="73" t="e">
        <v>#DIV/0!</v>
      </c>
      <c r="L77" s="73" t="e">
        <v>#DIV/0!</v>
      </c>
      <c r="M77" s="73" t="e">
        <v>#DIV/0!</v>
      </c>
      <c r="N77" s="73" t="e">
        <v>#DIV/0!</v>
      </c>
    </row>
    <row r="78" spans="1:14" x14ac:dyDescent="0.2">
      <c r="A78" s="24" t="s">
        <v>20</v>
      </c>
      <c r="B78" s="44"/>
      <c r="C78" s="44">
        <f t="shared" si="18"/>
        <v>2.8412698412698414</v>
      </c>
      <c r="D78" s="44">
        <f t="shared" si="18"/>
        <v>-2.0413223140495869</v>
      </c>
      <c r="E78" s="44">
        <f t="shared" si="18"/>
        <v>4.3650793650793648E-2</v>
      </c>
      <c r="F78" s="44">
        <f t="shared" si="18"/>
        <v>3.4190871369294604</v>
      </c>
      <c r="G78" s="44">
        <f t="shared" si="18"/>
        <v>-0.46054888507718694</v>
      </c>
      <c r="H78" s="73">
        <v>7.3131955484896663E-2</v>
      </c>
      <c r="I78" s="73">
        <v>-1</v>
      </c>
      <c r="J78" s="73" t="e">
        <v>#DIV/0!</v>
      </c>
      <c r="K78" s="73" t="e">
        <v>#DIV/0!</v>
      </c>
      <c r="L78" s="73" t="e">
        <v>#DIV/0!</v>
      </c>
      <c r="M78" s="73" t="e">
        <v>#DIV/0!</v>
      </c>
      <c r="N78" s="73" t="e">
        <v>#DIV/0!</v>
      </c>
    </row>
    <row r="79" spans="1:14" x14ac:dyDescent="0.2">
      <c r="A79" s="36" t="s">
        <v>21</v>
      </c>
      <c r="B79" s="44"/>
      <c r="C79" s="44">
        <f t="shared" si="18"/>
        <v>3.1779388429043189E-2</v>
      </c>
      <c r="D79" s="44">
        <f t="shared" si="18"/>
        <v>4.2397539280073157E-2</v>
      </c>
      <c r="E79" s="44">
        <f t="shared" si="18"/>
        <v>-0.13458011005662335</v>
      </c>
      <c r="F79" s="44">
        <f t="shared" si="18"/>
        <v>-0.64207713219370599</v>
      </c>
      <c r="G79" s="44">
        <f t="shared" si="18"/>
        <v>-0.90190525231719876</v>
      </c>
      <c r="H79" s="73">
        <v>-2.0892388451443571</v>
      </c>
      <c r="I79" s="73">
        <v>10.197999999999995</v>
      </c>
      <c r="J79" s="73">
        <v>0.14632583825189932</v>
      </c>
      <c r="K79" s="73">
        <v>0.18911397130794971</v>
      </c>
      <c r="L79" s="73">
        <v>0.18206091725515461</v>
      </c>
      <c r="M79" s="73">
        <v>0.12217020327987183</v>
      </c>
      <c r="N79" s="73">
        <v>0.21095068170631778</v>
      </c>
    </row>
    <row r="80" spans="1:14" x14ac:dyDescent="0.2">
      <c r="A80" s="35" t="s">
        <v>22</v>
      </c>
      <c r="B80" s="44"/>
      <c r="C80" s="44">
        <f t="shared" si="18"/>
        <v>0.3295053003533569</v>
      </c>
      <c r="D80" s="44">
        <f t="shared" si="18"/>
        <v>0.38837209302325582</v>
      </c>
      <c r="E80" s="44">
        <f t="shared" si="18"/>
        <v>-0.56089973677913374</v>
      </c>
      <c r="F80" s="44">
        <f t="shared" si="18"/>
        <v>-1.1356948228882833</v>
      </c>
      <c r="G80" s="44">
        <f t="shared" si="18"/>
        <v>-2.6666666666666665</v>
      </c>
      <c r="H80" s="73">
        <v>0.54171960569550937</v>
      </c>
      <c r="I80" s="73">
        <v>3.736911163691115</v>
      </c>
      <c r="J80" s="73">
        <v>0.37559100590227923</v>
      </c>
      <c r="K80" s="73">
        <v>0.1891139713079498</v>
      </c>
      <c r="L80" s="73">
        <v>0.18206091725515464</v>
      </c>
      <c r="M80" s="73">
        <v>0.12217020327987163</v>
      </c>
      <c r="N80" s="73">
        <v>0.21095068170631795</v>
      </c>
    </row>
    <row r="81" spans="1:14" x14ac:dyDescent="0.2">
      <c r="A81" s="17" t="s">
        <v>63</v>
      </c>
      <c r="B81" s="21">
        <f>B39/B38</f>
        <v>9.7096539005875546E-2</v>
      </c>
      <c r="C81" s="21">
        <f>C39/C38</f>
        <v>0.12511430709119628</v>
      </c>
      <c r="D81" s="21">
        <f t="shared" ref="D81:G81" si="19">D39/D38</f>
        <v>0.16664008294122337</v>
      </c>
      <c r="E81" s="21">
        <f t="shared" si="19"/>
        <v>8.4550522969174771E-2</v>
      </c>
      <c r="F81" s="21">
        <f t="shared" si="19"/>
        <v>-3.2054582904222452E-2</v>
      </c>
      <c r="G81" s="21">
        <f t="shared" si="19"/>
        <v>-1.1981627296587927</v>
      </c>
      <c r="H81" s="21">
        <v>0.50410843373493974</v>
      </c>
      <c r="I81" s="21">
        <v>0.15</v>
      </c>
      <c r="J81" s="21">
        <v>0.18</v>
      </c>
      <c r="K81" s="21">
        <v>0.18</v>
      </c>
      <c r="L81" s="21">
        <v>0.18000000000000002</v>
      </c>
      <c r="M81" s="21">
        <v>0.17999999999999997</v>
      </c>
      <c r="N81" s="21">
        <v>0.18</v>
      </c>
    </row>
    <row r="82" spans="1:14" x14ac:dyDescent="0.2">
      <c r="A82" s="22" t="s">
        <v>23</v>
      </c>
      <c r="B82" s="44"/>
      <c r="C82" s="44">
        <f t="shared" ref="C82:G82" si="20">(C40-B40)/ABS(B40)</f>
        <v>-2.374958438227331E-4</v>
      </c>
      <c r="D82" s="44">
        <f t="shared" si="20"/>
        <v>-7.0790573926263782E-3</v>
      </c>
      <c r="E82" s="44">
        <f t="shared" si="20"/>
        <v>-4.9332503947557296E-2</v>
      </c>
      <c r="F82" s="44">
        <f t="shared" si="20"/>
        <v>-0.59648681296557282</v>
      </c>
      <c r="G82" s="44">
        <f t="shared" si="20"/>
        <v>-0.79106897842085566</v>
      </c>
      <c r="H82" s="73">
        <v>-1.2457253731343285</v>
      </c>
      <c r="I82" s="73">
        <v>16.766148351514847</v>
      </c>
      <c r="J82" s="73">
        <v>0.10586727925477359</v>
      </c>
      <c r="K82" s="73">
        <v>0.18911397130794977</v>
      </c>
      <c r="L82" s="73">
        <v>0.18206091725515458</v>
      </c>
      <c r="M82" s="73">
        <v>0.12217020327987176</v>
      </c>
      <c r="N82" s="73">
        <v>0.21095068170631776</v>
      </c>
    </row>
    <row r="83" spans="1:14" x14ac:dyDescent="0.2">
      <c r="A83" s="23"/>
      <c r="B83" s="23"/>
      <c r="C83" s="23"/>
      <c r="D83" s="23"/>
      <c r="E83" s="23"/>
      <c r="F83" s="23"/>
      <c r="G83" s="23"/>
      <c r="H83" s="56"/>
      <c r="I83" s="56"/>
      <c r="J83" s="56"/>
      <c r="K83" s="56"/>
      <c r="L83" s="56"/>
      <c r="M83" s="56"/>
      <c r="N83" s="56"/>
    </row>
    <row r="84" spans="1:14" x14ac:dyDescent="0.2">
      <c r="A84" s="23" t="s">
        <v>31</v>
      </c>
      <c r="B84" s="44"/>
      <c r="C84" s="44">
        <f t="shared" ref="C84:G85" si="21">(C42-B42)/ABS(B42)</f>
        <v>5.0722900075606904E-2</v>
      </c>
      <c r="D84" s="44">
        <f t="shared" si="21"/>
        <v>4.9464880974192306E-2</v>
      </c>
      <c r="E84" s="44">
        <f t="shared" si="21"/>
        <v>-1.6326444182411345E-2</v>
      </c>
      <c r="F84" s="44">
        <f t="shared" si="21"/>
        <v>-0.59971648436313174</v>
      </c>
      <c r="G84" s="44">
        <f>(G42-F42)/ABS(F42)</f>
        <v>-0.79548371273247576</v>
      </c>
      <c r="H84" s="73">
        <v>-1.2439990738935809</v>
      </c>
      <c r="I84" s="73">
        <v>16.757975513066846</v>
      </c>
      <c r="J84" s="73">
        <v>0.10378662586012671</v>
      </c>
      <c r="K84" s="73">
        <v>0.18688089342755934</v>
      </c>
      <c r="L84" s="73">
        <v>0.17929262470888951</v>
      </c>
      <c r="M84" s="73">
        <v>0.11954831028155438</v>
      </c>
      <c r="N84" s="73">
        <v>0.20812795284453134</v>
      </c>
    </row>
    <row r="85" spans="1:14" x14ac:dyDescent="0.2">
      <c r="A85" s="23" t="s">
        <v>30</v>
      </c>
      <c r="B85" s="44"/>
      <c r="C85" s="44">
        <f t="shared" si="21"/>
        <v>-4.8500319081046586E-2</v>
      </c>
      <c r="D85" s="44">
        <f t="shared" si="21"/>
        <v>-5.3878828526715848E-2</v>
      </c>
      <c r="E85" s="44">
        <f t="shared" si="21"/>
        <v>-3.3553875236294897E-2</v>
      </c>
      <c r="F85" s="44">
        <f t="shared" si="21"/>
        <v>8.0684596577017108E-3</v>
      </c>
      <c r="G85" s="44">
        <f t="shared" si="21"/>
        <v>2.1586223623575068E-2</v>
      </c>
      <c r="H85" s="73">
        <v>7.0750237416904518E-3</v>
      </c>
      <c r="I85" s="73">
        <v>5.1864774388227122E-4</v>
      </c>
      <c r="J85" s="73">
        <v>1.885014137606032E-3</v>
      </c>
      <c r="K85" s="73">
        <v>1.8814675446848542E-3</v>
      </c>
      <c r="L85" s="73">
        <v>2.3474178403755869E-3</v>
      </c>
      <c r="M85" s="73">
        <v>2.34192037470726E-3</v>
      </c>
      <c r="N85" s="73">
        <v>2.3364485981308409E-3</v>
      </c>
    </row>
    <row r="86" spans="1:14" x14ac:dyDescent="0.2">
      <c r="A86" s="23"/>
      <c r="B86" s="23"/>
      <c r="C86" s="23"/>
      <c r="D86" s="23"/>
      <c r="E86" s="23"/>
      <c r="F86" s="23"/>
      <c r="G86" s="23"/>
      <c r="H86" s="56"/>
      <c r="I86" s="56"/>
      <c r="J86" s="56"/>
      <c r="K86" s="56"/>
      <c r="L86" s="56"/>
      <c r="M86" s="56"/>
      <c r="N86" s="56"/>
    </row>
    <row r="87" spans="1:14" x14ac:dyDescent="0.2">
      <c r="A87" s="31" t="s">
        <v>32</v>
      </c>
      <c r="B87" s="23"/>
      <c r="C87" s="23"/>
      <c r="D87" s="23"/>
      <c r="E87" s="23"/>
      <c r="F87" s="23"/>
      <c r="G87" s="23"/>
      <c r="H87" s="56"/>
      <c r="I87" s="56"/>
      <c r="J87" s="56"/>
      <c r="K87" s="56"/>
      <c r="L87" s="56"/>
      <c r="M87" s="56"/>
      <c r="N87" s="56"/>
    </row>
    <row r="88" spans="1:14" x14ac:dyDescent="0.2">
      <c r="A88" s="22" t="s">
        <v>11</v>
      </c>
      <c r="B88" s="22"/>
      <c r="C88" s="22"/>
      <c r="D88" s="22"/>
      <c r="E88" s="22"/>
      <c r="F88" s="22"/>
      <c r="G88" s="22"/>
      <c r="H88" s="75"/>
      <c r="I88" s="75"/>
      <c r="J88" s="75"/>
      <c r="K88" s="75"/>
      <c r="L88" s="75"/>
      <c r="M88" s="75"/>
      <c r="N88" s="75"/>
    </row>
    <row r="89" spans="1:14" x14ac:dyDescent="0.2">
      <c r="A89" s="24" t="s">
        <v>1</v>
      </c>
      <c r="B89" s="46">
        <f>B4/B$27</f>
        <v>0.52230126467931348</v>
      </c>
      <c r="C89" s="46">
        <f>C4/C$15</f>
        <v>0.60394107891912985</v>
      </c>
      <c r="D89" s="46">
        <f>D4/D$27</f>
        <v>0.52056712085992785</v>
      </c>
      <c r="E89" s="46">
        <f>E4/E$27</f>
        <v>0.51967756630896944</v>
      </c>
      <c r="F89" s="46">
        <f>F4/F$27</f>
        <v>0.50390141783233422</v>
      </c>
      <c r="G89" s="46">
        <f t="shared" ref="G89" si="22">G4/G$15</f>
        <v>0.53953677067197758</v>
      </c>
      <c r="H89" s="76">
        <v>0.58664830119375577</v>
      </c>
      <c r="I89" s="76">
        <v>0.49118125496604242</v>
      </c>
      <c r="J89" s="76">
        <v>0.48694639905355447</v>
      </c>
      <c r="K89" s="76">
        <v>0.48318798330271368</v>
      </c>
      <c r="L89" s="76">
        <v>0.48109285869224289</v>
      </c>
      <c r="M89" s="76">
        <v>0.47827964455215621</v>
      </c>
      <c r="N89" s="76">
        <v>0.46612548873877374</v>
      </c>
    </row>
    <row r="90" spans="1:14" x14ac:dyDescent="0.2">
      <c r="A90" s="26" t="s">
        <v>6</v>
      </c>
      <c r="B90" s="47"/>
      <c r="C90" s="47">
        <f t="shared" ref="C90:G92" si="23">C5/C$4</f>
        <v>0</v>
      </c>
      <c r="D90" s="47">
        <f t="shared" si="23"/>
        <v>0.61420994202541013</v>
      </c>
      <c r="E90" s="47">
        <f t="shared" si="23"/>
        <v>0.61954854262546566</v>
      </c>
      <c r="F90" s="47">
        <f t="shared" si="23"/>
        <v>0.59109936109275174</v>
      </c>
      <c r="G90" s="47">
        <f t="shared" si="23"/>
        <v>0.58069587805044776</v>
      </c>
      <c r="H90" s="77">
        <v>0.59358857965751499</v>
      </c>
      <c r="I90" s="77">
        <v>0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</row>
    <row r="91" spans="1:14" x14ac:dyDescent="0.2">
      <c r="A91" s="26" t="s">
        <v>7</v>
      </c>
      <c r="B91" s="47"/>
      <c r="C91" s="47">
        <f t="shared" si="23"/>
        <v>0</v>
      </c>
      <c r="D91" s="47">
        <f t="shared" si="23"/>
        <v>0.2757863574688541</v>
      </c>
      <c r="E91" s="47">
        <f t="shared" si="23"/>
        <v>0.30284656780383273</v>
      </c>
      <c r="F91" s="47">
        <f t="shared" si="23"/>
        <v>0.33553646177572155</v>
      </c>
      <c r="G91" s="47">
        <f t="shared" si="23"/>
        <v>0.34746052361747215</v>
      </c>
      <c r="H91" s="77">
        <v>0.34711830447985476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</row>
    <row r="92" spans="1:14" x14ac:dyDescent="0.2">
      <c r="A92" s="26" t="s">
        <v>8</v>
      </c>
      <c r="B92" s="47"/>
      <c r="C92" s="47">
        <f t="shared" si="23"/>
        <v>0</v>
      </c>
      <c r="D92" s="47">
        <f t="shared" si="23"/>
        <v>0.11000370050573578</v>
      </c>
      <c r="E92" s="47">
        <f t="shared" si="23"/>
        <v>7.7604889570701538E-2</v>
      </c>
      <c r="F92" s="47">
        <f t="shared" si="23"/>
        <v>7.3364177131526764E-2</v>
      </c>
      <c r="G92" s="47">
        <f t="shared" si="23"/>
        <v>7.1843598332080108E-2</v>
      </c>
      <c r="H92" s="77">
        <v>5.9293115862630308E-2</v>
      </c>
      <c r="I92" s="77">
        <v>0</v>
      </c>
      <c r="J92" s="77">
        <v>0</v>
      </c>
      <c r="K92" s="77">
        <v>0</v>
      </c>
      <c r="L92" s="77">
        <v>0</v>
      </c>
      <c r="M92" s="77">
        <v>0</v>
      </c>
      <c r="N92" s="77">
        <v>0</v>
      </c>
    </row>
    <row r="93" spans="1:14" x14ac:dyDescent="0.2">
      <c r="A93" s="24" t="s">
        <v>2</v>
      </c>
      <c r="B93" s="46">
        <f>B8/B$27</f>
        <v>0.324511630532972</v>
      </c>
      <c r="C93" s="46">
        <f>C8/C$15</f>
        <v>0.38176763242610479</v>
      </c>
      <c r="D93" s="46">
        <f t="shared" ref="D93:G94" si="24">D8/D$15</f>
        <v>0.29823958014878221</v>
      </c>
      <c r="E93" s="46">
        <f t="shared" si="24"/>
        <v>0.28470871654600433</v>
      </c>
      <c r="F93" s="46">
        <f t="shared" si="24"/>
        <v>0.30838646239731027</v>
      </c>
      <c r="G93" s="46">
        <f t="shared" si="24"/>
        <v>0.28621745223869588</v>
      </c>
      <c r="H93" s="76">
        <v>0.21571740424687438</v>
      </c>
      <c r="I93" s="76">
        <v>0.21311097291701231</v>
      </c>
      <c r="J93" s="76">
        <v>0.20721062393303435</v>
      </c>
      <c r="K93" s="76">
        <v>0.2016572392723894</v>
      </c>
      <c r="L93" s="76">
        <v>0.19692163595558093</v>
      </c>
      <c r="M93" s="76">
        <v>0.19200531687453989</v>
      </c>
      <c r="N93" s="76">
        <v>0.18544570842899283</v>
      </c>
    </row>
    <row r="94" spans="1:14" x14ac:dyDescent="0.2">
      <c r="A94" s="24" t="s">
        <v>3</v>
      </c>
      <c r="B94" s="46"/>
      <c r="C94" s="46">
        <f t="shared" ref="C94:F94" si="25">C9/C$15</f>
        <v>0</v>
      </c>
      <c r="D94" s="46">
        <f t="shared" si="25"/>
        <v>9.084887394272903E-2</v>
      </c>
      <c r="E94" s="46">
        <f t="shared" si="25"/>
        <v>0.10007653797412766</v>
      </c>
      <c r="F94" s="46">
        <f t="shared" si="25"/>
        <v>0.13336188029308213</v>
      </c>
      <c r="G94" s="46">
        <f t="shared" si="24"/>
        <v>0.10647635907649185</v>
      </c>
      <c r="H94" s="76">
        <v>8.789900315996764E-2</v>
      </c>
      <c r="I94" s="76">
        <v>8.7233792774498872E-2</v>
      </c>
      <c r="J94" s="76">
        <v>8.7383707718117501E-2</v>
      </c>
      <c r="K94" s="76">
        <v>8.6063772636940594E-2</v>
      </c>
      <c r="L94" s="76">
        <v>8.4969641750567107E-2</v>
      </c>
      <c r="M94" s="76">
        <v>8.3685152627705123E-2</v>
      </c>
      <c r="N94" s="76">
        <v>8.1571960529285406E-2</v>
      </c>
    </row>
    <row r="95" spans="1:14" x14ac:dyDescent="0.2">
      <c r="A95" s="24" t="s">
        <v>5</v>
      </c>
      <c r="B95" s="46">
        <f>B11/B$27</f>
        <v>9.8520776874435403E-3</v>
      </c>
      <c r="C95" s="46">
        <f t="shared" ref="C95:G98" si="26">C11/C$15</f>
        <v>1.4291288654765389E-2</v>
      </c>
      <c r="D95" s="46">
        <f t="shared" si="26"/>
        <v>1.2317843676755324E-2</v>
      </c>
      <c r="E95" s="46">
        <f t="shared" si="26"/>
        <v>1.7390431498513156E-2</v>
      </c>
      <c r="F95" s="46">
        <f t="shared" si="26"/>
        <v>2.9641259872490246E-2</v>
      </c>
      <c r="G95" s="46">
        <f t="shared" si="26"/>
        <v>3.8338127904403628E-2</v>
      </c>
      <c r="H95" s="76">
        <v>2.1814462576518541E-2</v>
      </c>
      <c r="I95" s="76">
        <v>2.3656621769355627E-2</v>
      </c>
      <c r="J95" s="76">
        <v>2.6778878171681168E-2</v>
      </c>
      <c r="K95" s="76">
        <v>3.0929168291400525E-2</v>
      </c>
      <c r="L95" s="76">
        <v>3.2185470360063299E-2</v>
      </c>
      <c r="M95" s="76">
        <v>3.3227928249235858E-2</v>
      </c>
      <c r="N95" s="76">
        <v>3.3794097933561099E-2</v>
      </c>
    </row>
    <row r="96" spans="1:14" x14ac:dyDescent="0.2">
      <c r="A96" s="24" t="s">
        <v>4</v>
      </c>
      <c r="B96" s="46"/>
      <c r="C96" s="46">
        <f t="shared" si="26"/>
        <v>0</v>
      </c>
      <c r="D96" s="46">
        <f t="shared" si="26"/>
        <v>9.107816162233771E-3</v>
      </c>
      <c r="E96" s="46">
        <f t="shared" si="26"/>
        <v>9.8621061744814872E-3</v>
      </c>
      <c r="F96" s="46">
        <f t="shared" si="26"/>
        <v>7.4380689567672157E-3</v>
      </c>
      <c r="G96" s="46">
        <f t="shared" si="26"/>
        <v>1.7555506380467656E-2</v>
      </c>
      <c r="H96" s="76">
        <v>0.14790785717556904</v>
      </c>
      <c r="I96" s="76">
        <v>0.14785388605847266</v>
      </c>
      <c r="J96" s="76">
        <v>0.14939795190516864</v>
      </c>
      <c r="K96" s="76">
        <v>0.15109571083572884</v>
      </c>
      <c r="L96" s="76">
        <v>0.15333364066544458</v>
      </c>
      <c r="M96" s="76">
        <v>0.15742207728096974</v>
      </c>
      <c r="N96" s="76">
        <v>0.17479705827704015</v>
      </c>
    </row>
    <row r="97" spans="1:14" x14ac:dyDescent="0.2">
      <c r="A97" s="24" t="s">
        <v>28</v>
      </c>
      <c r="B97" s="46"/>
      <c r="C97" s="46">
        <f t="shared" si="26"/>
        <v>0</v>
      </c>
      <c r="D97" s="46">
        <f t="shared" si="26"/>
        <v>0</v>
      </c>
      <c r="E97" s="46">
        <f t="shared" si="26"/>
        <v>0</v>
      </c>
      <c r="F97" s="46">
        <f t="shared" si="26"/>
        <v>0</v>
      </c>
      <c r="G97" s="46">
        <f t="shared" si="26"/>
        <v>0</v>
      </c>
      <c r="H97" s="76">
        <v>2.7645900438121117E-2</v>
      </c>
      <c r="I97" s="76">
        <v>3.6963471514618165E-2</v>
      </c>
      <c r="J97" s="76">
        <v>4.2282439218443948E-2</v>
      </c>
      <c r="K97" s="76">
        <v>4.7066125660826887E-2</v>
      </c>
      <c r="L97" s="76">
        <v>5.1496752576101278E-2</v>
      </c>
      <c r="M97" s="76">
        <v>5.5379880415393094E-2</v>
      </c>
      <c r="N97" s="76">
        <v>5.8265686092346718E-2</v>
      </c>
    </row>
    <row r="98" spans="1:14" x14ac:dyDescent="0.2">
      <c r="A98" s="24" t="s">
        <v>8</v>
      </c>
      <c r="B98" s="46"/>
      <c r="C98" s="46">
        <f t="shared" si="26"/>
        <v>0</v>
      </c>
      <c r="D98" s="46">
        <f t="shared" si="26"/>
        <v>7.3142769795169676E-2</v>
      </c>
      <c r="E98" s="46">
        <f t="shared" si="26"/>
        <v>7.268598100352576E-2</v>
      </c>
      <c r="F98" s="46">
        <f t="shared" si="26"/>
        <v>1.7270910648015985E-2</v>
      </c>
      <c r="G98" s="46">
        <f t="shared" si="26"/>
        <v>1.1875783727963414E-2</v>
      </c>
      <c r="H98" s="76">
        <v>1.1388095928679377E-2</v>
      </c>
      <c r="I98" s="76">
        <v>0</v>
      </c>
      <c r="J98" s="76">
        <v>0</v>
      </c>
      <c r="K98" s="76">
        <v>0</v>
      </c>
      <c r="L98" s="76">
        <v>0</v>
      </c>
      <c r="M98" s="76">
        <v>0</v>
      </c>
      <c r="N98" s="76">
        <v>0</v>
      </c>
    </row>
    <row r="99" spans="1:14" x14ac:dyDescent="0.2">
      <c r="A99" s="28" t="s">
        <v>50</v>
      </c>
      <c r="B99" s="25"/>
      <c r="C99" s="48"/>
      <c r="D99" s="48"/>
      <c r="E99" s="48"/>
      <c r="F99" s="48"/>
      <c r="G99" s="48"/>
      <c r="H99" s="78"/>
      <c r="I99" s="78"/>
      <c r="J99" s="78"/>
      <c r="K99" s="78"/>
      <c r="L99" s="78"/>
      <c r="M99" s="78"/>
      <c r="N99" s="78"/>
    </row>
    <row r="100" spans="1:14" x14ac:dyDescent="0.2">
      <c r="A100" s="24" t="s">
        <v>1</v>
      </c>
      <c r="B100" s="49">
        <f t="shared" ref="B100:G100" si="27">B17/B4</f>
        <v>0.38433682845097827</v>
      </c>
      <c r="C100" s="49">
        <f t="shared" si="27"/>
        <v>0.41167285845043883</v>
      </c>
      <c r="D100" s="49">
        <f t="shared" si="27"/>
        <v>0.38978660416923644</v>
      </c>
      <c r="E100" s="49">
        <f t="shared" si="27"/>
        <v>0.38239949351060465</v>
      </c>
      <c r="F100" s="49">
        <f t="shared" si="27"/>
        <v>0.17527460422371197</v>
      </c>
      <c r="G100" s="49">
        <f t="shared" si="27"/>
        <v>0.2228450338368993</v>
      </c>
      <c r="H100" s="79">
        <v>0.35350468021162695</v>
      </c>
      <c r="I100" s="79">
        <v>0.37</v>
      </c>
      <c r="J100" s="79">
        <v>0.38</v>
      </c>
      <c r="K100" s="79">
        <v>0.39</v>
      </c>
      <c r="L100" s="79">
        <v>0.4</v>
      </c>
      <c r="M100" s="79">
        <v>0.40500000000000003</v>
      </c>
      <c r="N100" s="79">
        <v>0.41</v>
      </c>
    </row>
    <row r="101" spans="1:14" x14ac:dyDescent="0.2">
      <c r="A101" s="24" t="s">
        <v>2</v>
      </c>
      <c r="B101" s="49">
        <f t="shared" ref="B101:G102" si="28">B18/B8</f>
        <v>0.49915184202514029</v>
      </c>
      <c r="C101" s="49">
        <f t="shared" si="28"/>
        <v>0.43554363102082533</v>
      </c>
      <c r="D101" s="49">
        <f t="shared" si="28"/>
        <v>0.47307051637978903</v>
      </c>
      <c r="E101" s="49">
        <f t="shared" si="28"/>
        <v>0.37190956767000133</v>
      </c>
      <c r="F101" s="49">
        <f t="shared" si="28"/>
        <v>6.6855232707636922E-2</v>
      </c>
      <c r="G101" s="49">
        <f t="shared" si="28"/>
        <v>-3.414728432446363E-2</v>
      </c>
      <c r="H101" s="79">
        <v>0.13502229141603567</v>
      </c>
      <c r="I101" s="79">
        <v>0.2</v>
      </c>
      <c r="J101" s="79">
        <v>0.22</v>
      </c>
      <c r="K101" s="79">
        <v>0.24</v>
      </c>
      <c r="L101" s="79">
        <v>0.26</v>
      </c>
      <c r="M101" s="79">
        <v>0.28000000000000003</v>
      </c>
      <c r="N101" s="79">
        <v>0.3</v>
      </c>
    </row>
    <row r="102" spans="1:14" x14ac:dyDescent="0.2">
      <c r="A102" s="24" t="s">
        <v>3</v>
      </c>
      <c r="B102" s="49" t="e">
        <f t="shared" si="28"/>
        <v>#DIV/0!</v>
      </c>
      <c r="C102" s="49" t="e">
        <f t="shared" si="28"/>
        <v>#DIV/0!</v>
      </c>
      <c r="D102" s="49">
        <f t="shared" si="28"/>
        <v>0.11862030286034773</v>
      </c>
      <c r="E102" s="49">
        <f t="shared" si="28"/>
        <v>0.21451855566700101</v>
      </c>
      <c r="F102" s="49">
        <f t="shared" si="28"/>
        <v>0.12284457129266263</v>
      </c>
      <c r="G102" s="49">
        <f t="shared" si="28"/>
        <v>-8.3477658468998961E-2</v>
      </c>
      <c r="H102" s="79">
        <v>0.12469607502605071</v>
      </c>
      <c r="I102" s="79">
        <v>0.1434004862799583</v>
      </c>
      <c r="J102" s="79">
        <v>0.16491055922195202</v>
      </c>
      <c r="K102" s="79">
        <v>0.1896471431052448</v>
      </c>
      <c r="L102" s="79">
        <v>0.21809421457103151</v>
      </c>
      <c r="M102" s="79">
        <v>0.25080834675668623</v>
      </c>
      <c r="N102" s="79">
        <v>0.28842959877018914</v>
      </c>
    </row>
    <row r="103" spans="1:14" x14ac:dyDescent="0.2">
      <c r="A103" s="52" t="s">
        <v>69</v>
      </c>
      <c r="B103" s="55">
        <f t="shared" ref="B103" si="29">SUM(B17:B19)/B10</f>
        <v>0.42833569464122012</v>
      </c>
      <c r="C103" s="55">
        <f>SUM(C17:C19)/C10</f>
        <v>0.42091807280584559</v>
      </c>
      <c r="D103" s="55">
        <f t="shared" ref="D103:G103" si="30">SUM(D17:D19)/D10</f>
        <v>0.39001125492402927</v>
      </c>
      <c r="E103" s="55">
        <f t="shared" si="30"/>
        <v>0.36041486603284356</v>
      </c>
      <c r="F103" s="55">
        <f t="shared" si="30"/>
        <v>0.13252385664212521</v>
      </c>
      <c r="G103" s="55">
        <f t="shared" si="30"/>
        <v>0.10895495816272031</v>
      </c>
      <c r="H103" s="80">
        <v>0.26852137675567217</v>
      </c>
      <c r="I103" s="80">
        <v>0.29925564168815294</v>
      </c>
      <c r="J103" s="80">
        <v>0.31352999963463718</v>
      </c>
      <c r="K103" s="80">
        <v>0.32839518165078979</v>
      </c>
      <c r="L103" s="80">
        <v>0.34360892133729681</v>
      </c>
      <c r="M103" s="80">
        <v>0.35605347551980077</v>
      </c>
      <c r="N103" s="80">
        <v>0.36864959854080265</v>
      </c>
    </row>
    <row r="104" spans="1:14" x14ac:dyDescent="0.2">
      <c r="A104" s="24" t="s">
        <v>5</v>
      </c>
      <c r="B104" s="49">
        <f t="shared" ref="B104:G108" si="31">B20/B11</f>
        <v>0.20487106017191978</v>
      </c>
      <c r="C104" s="49">
        <f t="shared" si="31"/>
        <v>0.27872582480091013</v>
      </c>
      <c r="D104" s="49">
        <f t="shared" si="31"/>
        <v>0.33402275077559462</v>
      </c>
      <c r="E104" s="49">
        <f t="shared" si="31"/>
        <v>0.39971139971139968</v>
      </c>
      <c r="F104" s="49">
        <f t="shared" si="31"/>
        <v>0.36918138041733545</v>
      </c>
      <c r="G104" s="49">
        <f t="shared" si="31"/>
        <v>0.31938431938431938</v>
      </c>
      <c r="H104" s="79">
        <v>0.17774667599720084</v>
      </c>
      <c r="I104" s="79">
        <v>0.3</v>
      </c>
      <c r="J104" s="79">
        <v>0.31</v>
      </c>
      <c r="K104" s="79">
        <v>0.32</v>
      </c>
      <c r="L104" s="79">
        <v>0.33</v>
      </c>
      <c r="M104" s="79">
        <v>0.34</v>
      </c>
      <c r="N104" s="79">
        <v>0.35</v>
      </c>
    </row>
    <row r="105" spans="1:14" x14ac:dyDescent="0.2">
      <c r="A105" s="24" t="s">
        <v>4</v>
      </c>
      <c r="B105" s="49" t="e">
        <f t="shared" si="31"/>
        <v>#DIV/0!</v>
      </c>
      <c r="C105" s="49" t="e">
        <f t="shared" si="31"/>
        <v>#DIV/0!</v>
      </c>
      <c r="D105" s="49">
        <f t="shared" si="31"/>
        <v>6.2937062937062943E-2</v>
      </c>
      <c r="E105" s="49">
        <f t="shared" si="31"/>
        <v>-2.9262086513994912E-2</v>
      </c>
      <c r="F105" s="49">
        <f t="shared" si="31"/>
        <v>-0.59914712153518124</v>
      </c>
      <c r="G105" s="49">
        <f t="shared" si="31"/>
        <v>-0.50630252100840334</v>
      </c>
      <c r="H105" s="79">
        <v>-1.0583135514500981</v>
      </c>
      <c r="I105" s="79">
        <v>-0.7</v>
      </c>
      <c r="J105" s="79">
        <v>-0.330188679245283</v>
      </c>
      <c r="K105" s="79">
        <v>-8.8999644001423989E-2</v>
      </c>
      <c r="L105" s="79">
        <v>0</v>
      </c>
      <c r="M105" s="79">
        <v>0.25</v>
      </c>
      <c r="N105" s="79">
        <v>0.27</v>
      </c>
    </row>
    <row r="106" spans="1:14" x14ac:dyDescent="0.2">
      <c r="A106" s="24" t="s">
        <v>28</v>
      </c>
      <c r="B106" s="49" t="e">
        <f t="shared" si="31"/>
        <v>#DIV/0!</v>
      </c>
      <c r="C106" s="49"/>
      <c r="D106" s="49"/>
      <c r="E106" s="49"/>
      <c r="F106" s="49"/>
      <c r="G106" s="49"/>
      <c r="H106" s="79">
        <v>-2.2087244616234127E-3</v>
      </c>
      <c r="I106" s="79"/>
      <c r="J106" s="79"/>
      <c r="K106" s="79"/>
      <c r="L106" s="79"/>
      <c r="M106" s="79"/>
      <c r="N106" s="79"/>
    </row>
    <row r="107" spans="1:14" x14ac:dyDescent="0.2">
      <c r="A107" s="24" t="s">
        <v>8</v>
      </c>
      <c r="B107" s="49" t="e">
        <f t="shared" si="31"/>
        <v>#DIV/0!</v>
      </c>
      <c r="C107" s="49" t="e">
        <f t="shared" si="31"/>
        <v>#DIV/0!</v>
      </c>
      <c r="D107" s="49">
        <f t="shared" si="31"/>
        <v>-0.7683733890630442</v>
      </c>
      <c r="E107" s="49">
        <f t="shared" si="31"/>
        <v>-1.1960987398584499</v>
      </c>
      <c r="F107" s="49">
        <f t="shared" si="31"/>
        <v>-5.4885215794306701</v>
      </c>
      <c r="G107" s="49">
        <f t="shared" si="31"/>
        <v>-8.6909937888198758</v>
      </c>
      <c r="H107" s="79">
        <v>-6.967828418230563</v>
      </c>
      <c r="I107" s="79" t="e">
        <v>#DIV/0!</v>
      </c>
      <c r="J107" s="79" t="e">
        <v>#DIV/0!</v>
      </c>
      <c r="K107" s="79" t="e">
        <v>#DIV/0!</v>
      </c>
      <c r="L107" s="79" t="e">
        <v>#DIV/0!</v>
      </c>
      <c r="M107" s="79" t="e">
        <v>#DIV/0!</v>
      </c>
      <c r="N107" s="79" t="e">
        <v>#DIV/0!</v>
      </c>
    </row>
    <row r="108" spans="1:14" x14ac:dyDescent="0.2">
      <c r="A108" s="28" t="s">
        <v>49</v>
      </c>
      <c r="B108" s="49">
        <f t="shared" si="31"/>
        <v>0.42576573904733661</v>
      </c>
      <c r="C108" s="49">
        <f t="shared" si="31"/>
        <v>0.41888596234513709</v>
      </c>
      <c r="D108" s="49">
        <f t="shared" si="31"/>
        <v>0.30161520432079891</v>
      </c>
      <c r="E108" s="49">
        <f t="shared" si="31"/>
        <v>0.24411849584060025</v>
      </c>
      <c r="F108" s="49">
        <f t="shared" si="31"/>
        <v>3.7015891140926828E-2</v>
      </c>
      <c r="G108" s="49">
        <f t="shared" si="31"/>
        <v>1.714981190528878E-3</v>
      </c>
      <c r="H108" s="79">
        <v>-1.9600958676172012E-2</v>
      </c>
      <c r="I108" s="79">
        <v>0.1434249712357917</v>
      </c>
      <c r="J108" s="79">
        <v>0.20823664874584821</v>
      </c>
      <c r="K108" s="79">
        <v>0.25499165468742191</v>
      </c>
      <c r="L108" s="79">
        <v>0.27922645539615365</v>
      </c>
      <c r="M108" s="79">
        <v>0.32649067852749852</v>
      </c>
      <c r="N108" s="79">
        <v>0.33745326682243038</v>
      </c>
    </row>
    <row r="109" spans="1:14" x14ac:dyDescent="0.2">
      <c r="A109" s="28"/>
      <c r="B109" s="28"/>
      <c r="C109" s="28"/>
      <c r="D109" s="28"/>
      <c r="E109" s="28"/>
      <c r="F109" s="28"/>
      <c r="G109" s="28"/>
      <c r="H109" s="81"/>
      <c r="I109" s="81"/>
      <c r="J109" s="81"/>
      <c r="K109" s="81"/>
      <c r="L109" s="81"/>
      <c r="M109" s="81"/>
      <c r="N109" s="81"/>
    </row>
    <row r="110" spans="1:14" x14ac:dyDescent="0.2">
      <c r="A110" s="23" t="s">
        <v>39</v>
      </c>
      <c r="B110" s="50">
        <f t="shared" ref="B110:G110" si="32">B29/B27</f>
        <v>0.61733570460704612</v>
      </c>
      <c r="C110" s="50">
        <f t="shared" si="32"/>
        <v>0.5855624261793928</v>
      </c>
      <c r="D110" s="50">
        <f t="shared" si="32"/>
        <v>0.5600832188218372</v>
      </c>
      <c r="E110" s="50">
        <f t="shared" si="32"/>
        <v>0.5544518121077141</v>
      </c>
      <c r="F110" s="50">
        <f t="shared" si="32"/>
        <v>0.42607923367272499</v>
      </c>
      <c r="G110" s="50">
        <f t="shared" si="32"/>
        <v>0.40036512502766097</v>
      </c>
      <c r="H110" s="82">
        <v>0.40784205693296605</v>
      </c>
      <c r="I110" s="82">
        <v>0.48990409309826927</v>
      </c>
      <c r="J110" s="82">
        <v>0.49965780258174658</v>
      </c>
      <c r="K110" s="82">
        <v>0.51589127891720921</v>
      </c>
      <c r="L110" s="82">
        <v>0.53524180800068599</v>
      </c>
      <c r="M110" s="82">
        <v>0.54711564460300754</v>
      </c>
      <c r="N110" s="82">
        <v>0.56883392291663426</v>
      </c>
    </row>
    <row r="111" spans="1:14" x14ac:dyDescent="0.2">
      <c r="A111" s="23" t="s">
        <v>33</v>
      </c>
      <c r="B111" s="50">
        <f t="shared" ref="B111:G111" si="33">B28/B27</f>
        <v>0.38266429539295393</v>
      </c>
      <c r="C111" s="50">
        <f t="shared" si="33"/>
        <v>0.41443757382060725</v>
      </c>
      <c r="D111" s="50">
        <f t="shared" si="33"/>
        <v>0.43991678117816274</v>
      </c>
      <c r="E111" s="50">
        <f t="shared" si="33"/>
        <v>0.4455481878922859</v>
      </c>
      <c r="F111" s="50">
        <f t="shared" si="33"/>
        <v>0.57392076632727507</v>
      </c>
      <c r="G111" s="50">
        <f t="shared" si="33"/>
        <v>0.59963487497233903</v>
      </c>
      <c r="H111" s="82">
        <v>0.59215794306703395</v>
      </c>
      <c r="I111" s="82">
        <v>0.51009590690173068</v>
      </c>
      <c r="J111" s="82">
        <v>0.50034219741825348</v>
      </c>
      <c r="K111" s="82">
        <v>0.48410872108279085</v>
      </c>
      <c r="L111" s="82">
        <v>0.46475819199931401</v>
      </c>
      <c r="M111" s="82">
        <v>0.4528843553969924</v>
      </c>
      <c r="N111" s="82">
        <v>0.43116607708336574</v>
      </c>
    </row>
    <row r="112" spans="1:14" x14ac:dyDescent="0.2">
      <c r="A112" s="23" t="s">
        <v>35</v>
      </c>
      <c r="B112" s="50">
        <f t="shared" ref="B112:G112" si="34">B34/B27</f>
        <v>0.28823678861788615</v>
      </c>
      <c r="C112" s="50">
        <f t="shared" si="34"/>
        <v>0.27937191690405055</v>
      </c>
      <c r="D112" s="50">
        <f t="shared" si="34"/>
        <v>0.25600061643571731</v>
      </c>
      <c r="E112" s="50">
        <f t="shared" si="34"/>
        <v>0.30824812715124517</v>
      </c>
      <c r="F112" s="50">
        <f t="shared" si="34"/>
        <v>0.38906334253179814</v>
      </c>
      <c r="G112" s="50">
        <f t="shared" si="34"/>
        <v>0.3986501438371321</v>
      </c>
      <c r="H112" s="82">
        <v>0.43704315886134065</v>
      </c>
      <c r="I112" s="82">
        <v>0.37702740944910529</v>
      </c>
      <c r="J112" s="82">
        <v>0.37631370904415118</v>
      </c>
      <c r="K112" s="82">
        <v>0.37595076431421065</v>
      </c>
      <c r="L112" s="82">
        <v>0.3768755076973983</v>
      </c>
      <c r="M112" s="82">
        <v>0.37723607500285822</v>
      </c>
      <c r="N112" s="82">
        <v>0.37404198933174071</v>
      </c>
    </row>
    <row r="113" spans="1:14" x14ac:dyDescent="0.2">
      <c r="A113" s="23" t="s">
        <v>34</v>
      </c>
      <c r="B113" s="50">
        <f t="shared" ref="B113:G113" si="35">B31/B27</f>
        <v>0.19115571364046974</v>
      </c>
      <c r="C113" s="50">
        <f t="shared" si="35"/>
        <v>0.18567359132911831</v>
      </c>
      <c r="D113" s="50">
        <f t="shared" si="35"/>
        <v>0.17409172049777183</v>
      </c>
      <c r="E113" s="50">
        <f t="shared" si="35"/>
        <v>0.19222008503745697</v>
      </c>
      <c r="F113" s="50">
        <f t="shared" si="35"/>
        <v>0.27798395026485234</v>
      </c>
      <c r="G113" s="50">
        <f t="shared" si="35"/>
        <v>0.29589879766910082</v>
      </c>
      <c r="H113" s="82">
        <v>0.30892561983471073</v>
      </c>
      <c r="I113" s="82">
        <v>0.26613699490525083</v>
      </c>
      <c r="J113" s="82">
        <v>0.26637936707619692</v>
      </c>
      <c r="K113" s="82">
        <v>0.26686493249688847</v>
      </c>
      <c r="L113" s="82">
        <v>0.26826267690409156</v>
      </c>
      <c r="M113" s="82">
        <v>0.26925836307665163</v>
      </c>
      <c r="N113" s="82">
        <v>0.26770831518986926</v>
      </c>
    </row>
    <row r="114" spans="1:14" x14ac:dyDescent="0.2">
      <c r="A114" s="23" t="s">
        <v>36</v>
      </c>
      <c r="B114" s="50">
        <f t="shared" ref="B114:G114" si="36">B32/B27</f>
        <v>9.809733514001806E-2</v>
      </c>
      <c r="C114" s="50">
        <f t="shared" si="36"/>
        <v>8.8237337594664067E-2</v>
      </c>
      <c r="D114" s="50">
        <f t="shared" si="36"/>
        <v>7.9366098604029947E-2</v>
      </c>
      <c r="E114" s="50">
        <f t="shared" si="36"/>
        <v>8.2797631099412836E-2</v>
      </c>
      <c r="F114" s="50">
        <f t="shared" si="36"/>
        <v>0.11104767342278048</v>
      </c>
      <c r="G114" s="50">
        <f t="shared" si="36"/>
        <v>0.10389466696171719</v>
      </c>
      <c r="H114" s="82">
        <v>0.10440771349862259</v>
      </c>
      <c r="I114" s="82">
        <v>0.11089041454385451</v>
      </c>
      <c r="J114" s="82">
        <v>0.10993434196795428</v>
      </c>
      <c r="K114" s="82">
        <v>0.1090858318173222</v>
      </c>
      <c r="L114" s="82">
        <v>0.10861283079330672</v>
      </c>
      <c r="M114" s="82">
        <v>0.10797771192620663</v>
      </c>
      <c r="N114" s="82">
        <v>0.10633367414187143</v>
      </c>
    </row>
    <row r="115" spans="1:14" x14ac:dyDescent="0.2">
      <c r="A115" s="23" t="s">
        <v>37</v>
      </c>
      <c r="B115" s="50">
        <f t="shared" ref="B115:G115" si="37">B35/B27</f>
        <v>0.32909891598915991</v>
      </c>
      <c r="C115" s="50">
        <f t="shared" si="37"/>
        <v>0.30619050927534219</v>
      </c>
      <c r="D115" s="50">
        <f t="shared" si="37"/>
        <v>0.30408260238611995</v>
      </c>
      <c r="E115" s="50">
        <f t="shared" si="37"/>
        <v>0.24620368495646891</v>
      </c>
      <c r="F115" s="50">
        <f t="shared" si="37"/>
        <v>3.7015891140926828E-2</v>
      </c>
      <c r="G115" s="50">
        <f t="shared" si="37"/>
        <v>1.714981190528878E-3</v>
      </c>
      <c r="H115" s="82">
        <v>-2.9201101928374655E-2</v>
      </c>
      <c r="I115" s="82">
        <v>0.11287668364916398</v>
      </c>
      <c r="J115" s="82">
        <v>0.12334409353759541</v>
      </c>
      <c r="K115" s="82">
        <v>0.1399405146029985</v>
      </c>
      <c r="L115" s="82">
        <v>0.15836630030328766</v>
      </c>
      <c r="M115" s="82">
        <v>0.16987956960014935</v>
      </c>
      <c r="N115" s="82">
        <v>0.19479193358489355</v>
      </c>
    </row>
    <row r="116" spans="1:14" x14ac:dyDescent="0.2">
      <c r="A116" s="23" t="s">
        <v>38</v>
      </c>
      <c r="B116" s="50">
        <f t="shared" ref="B116:G116" si="38">B40/B27</f>
        <v>0.29715729448961159</v>
      </c>
      <c r="C116" s="50">
        <f t="shared" si="38"/>
        <v>0.2924755089279511</v>
      </c>
      <c r="D116" s="50">
        <f t="shared" si="38"/>
        <v>0.26839354283586114</v>
      </c>
      <c r="E116" s="50">
        <f t="shared" si="38"/>
        <v>0.25141729094958493</v>
      </c>
      <c r="F116" s="50">
        <f t="shared" si="38"/>
        <v>0.12714498683667966</v>
      </c>
      <c r="G116" s="50">
        <f t="shared" si="38"/>
        <v>3.088810208748248E-2</v>
      </c>
      <c r="H116" s="82">
        <v>-7.5590449954086323E-3</v>
      </c>
      <c r="I116" s="82">
        <v>9.5945181101789373E-2</v>
      </c>
      <c r="J116" s="82">
        <v>0.10114215670082824</v>
      </c>
      <c r="K116" s="82">
        <v>0.11475122197445878</v>
      </c>
      <c r="L116" s="82">
        <v>0.1298603662486959</v>
      </c>
      <c r="M116" s="82">
        <v>0.13930124707212246</v>
      </c>
      <c r="N116" s="82">
        <v>0.15972938553961272</v>
      </c>
    </row>
    <row r="119" spans="1:14" x14ac:dyDescent="0.2">
      <c r="A119" t="s">
        <v>180</v>
      </c>
    </row>
    <row r="121" spans="1:14" x14ac:dyDescent="0.2">
      <c r="A121" t="s">
        <v>111</v>
      </c>
      <c r="B121" s="100">
        <v>21053</v>
      </c>
      <c r="C121" s="100">
        <v>21048</v>
      </c>
      <c r="D121" s="100">
        <v>20899</v>
      </c>
      <c r="E121" s="100">
        <v>19868</v>
      </c>
      <c r="F121" s="100">
        <v>8017</v>
      </c>
      <c r="G121" s="100">
        <v>1675</v>
      </c>
    </row>
    <row r="122" spans="1:14" x14ac:dyDescent="0.2">
      <c r="A122" t="s">
        <v>170</v>
      </c>
      <c r="B122" s="100">
        <v>9085</v>
      </c>
      <c r="C122" s="100">
        <v>10826</v>
      </c>
      <c r="D122" s="100">
        <v>12239</v>
      </c>
      <c r="E122" s="100">
        <v>11792</v>
      </c>
      <c r="F122" s="100">
        <v>13035</v>
      </c>
      <c r="G122" s="100">
        <v>9602</v>
      </c>
    </row>
    <row r="123" spans="1:14" x14ac:dyDescent="0.2">
      <c r="A123" t="s">
        <v>114</v>
      </c>
      <c r="B123" s="100">
        <v>1546</v>
      </c>
      <c r="C123" s="100">
        <v>1705</v>
      </c>
      <c r="D123" s="100">
        <v>1854</v>
      </c>
      <c r="E123" s="100">
        <v>2036</v>
      </c>
      <c r="F123" s="100">
        <v>3128</v>
      </c>
      <c r="G123" s="100">
        <v>3229</v>
      </c>
    </row>
    <row r="124" spans="1:14" x14ac:dyDescent="0.2">
      <c r="A124" t="s">
        <v>8</v>
      </c>
      <c r="B124" s="100">
        <v>342</v>
      </c>
      <c r="C124" s="100">
        <v>-499</v>
      </c>
      <c r="D124" s="100">
        <v>-1559</v>
      </c>
      <c r="E124" s="100">
        <v>1168</v>
      </c>
      <c r="F124" s="100">
        <v>-4239</v>
      </c>
      <c r="G124" s="100">
        <v>-466</v>
      </c>
    </row>
    <row r="125" spans="1:14" x14ac:dyDescent="0.2">
      <c r="A125" t="s">
        <v>171</v>
      </c>
      <c r="B125" s="100">
        <v>-1910</v>
      </c>
      <c r="C125" s="100">
        <v>65</v>
      </c>
      <c r="D125" s="100">
        <v>1951</v>
      </c>
      <c r="E125" s="100">
        <v>-5408</v>
      </c>
      <c r="F125" s="100">
        <v>-4508</v>
      </c>
      <c r="G125" s="100">
        <v>-2569</v>
      </c>
    </row>
    <row r="126" spans="1:14" x14ac:dyDescent="0.2">
      <c r="A126" t="s">
        <v>172</v>
      </c>
      <c r="B126" s="100">
        <v>30116</v>
      </c>
      <c r="C126" s="100">
        <v>33145</v>
      </c>
      <c r="D126" s="100">
        <v>35384</v>
      </c>
      <c r="E126" s="100">
        <v>29456</v>
      </c>
      <c r="F126" s="100">
        <v>15433</v>
      </c>
      <c r="G126" s="100">
        <v>11471</v>
      </c>
    </row>
    <row r="127" spans="1:14" x14ac:dyDescent="0.2">
      <c r="A127" t="s">
        <v>173</v>
      </c>
      <c r="B127" s="100">
        <v>-15181</v>
      </c>
      <c r="C127" s="100">
        <v>-16213</v>
      </c>
      <c r="D127" s="100">
        <v>-14259</v>
      </c>
      <c r="E127" s="100">
        <v>-18733</v>
      </c>
      <c r="F127" s="100">
        <v>-24844</v>
      </c>
      <c r="G127" s="100">
        <v>-25750</v>
      </c>
    </row>
    <row r="128" spans="1:14" x14ac:dyDescent="0.2">
      <c r="A128" t="s">
        <v>174</v>
      </c>
      <c r="B128" s="100">
        <v>14935</v>
      </c>
      <c r="C128" s="100">
        <v>16932</v>
      </c>
      <c r="D128" s="100">
        <v>21125</v>
      </c>
      <c r="E128" s="100">
        <v>10723</v>
      </c>
      <c r="F128" s="100">
        <v>-9411</v>
      </c>
      <c r="G128" s="100">
        <v>-14279</v>
      </c>
    </row>
    <row r="129" spans="1:7" x14ac:dyDescent="0.2">
      <c r="A129" t="s">
        <v>175</v>
      </c>
      <c r="B129" s="99">
        <v>3.1769836205062751</v>
      </c>
      <c r="C129" s="99">
        <v>3.7853789403085178</v>
      </c>
      <c r="D129" s="99">
        <v>4.9917296786389418</v>
      </c>
      <c r="E129" s="99">
        <v>2.6217603911980438</v>
      </c>
      <c r="F129" s="99">
        <v>-2.2825612418142129</v>
      </c>
      <c r="G129" s="99">
        <v>-3.3900759734093069</v>
      </c>
    </row>
    <row r="130" spans="1:7" x14ac:dyDescent="0.2">
      <c r="A130" t="s">
        <v>176</v>
      </c>
      <c r="B130" s="100">
        <v>-190</v>
      </c>
      <c r="C130" s="100">
        <v>-1958</v>
      </c>
      <c r="D130" s="100">
        <v>-837</v>
      </c>
      <c r="E130" s="100">
        <v>0</v>
      </c>
      <c r="F130" s="100">
        <v>0</v>
      </c>
      <c r="G130" s="100">
        <v>0</v>
      </c>
    </row>
    <row r="131" spans="1:7" x14ac:dyDescent="0.2">
      <c r="A131" t="s">
        <v>177</v>
      </c>
      <c r="B131" s="100">
        <v>-10730</v>
      </c>
      <c r="C131" s="100">
        <v>-13576</v>
      </c>
      <c r="D131" s="100">
        <v>-14229</v>
      </c>
      <c r="E131" s="100">
        <v>-2415</v>
      </c>
      <c r="F131" s="100">
        <v>0</v>
      </c>
      <c r="G131" s="100">
        <v>0</v>
      </c>
    </row>
    <row r="132" spans="1:7" x14ac:dyDescent="0.2">
      <c r="A132" t="s">
        <v>178</v>
      </c>
      <c r="B132" s="100">
        <v>-2603</v>
      </c>
      <c r="C132" s="100">
        <v>765</v>
      </c>
      <c r="D132" s="100">
        <v>5722</v>
      </c>
      <c r="E132" s="100">
        <v>2474</v>
      </c>
      <c r="F132" s="100">
        <v>5164</v>
      </c>
      <c r="G132" s="100">
        <v>6928</v>
      </c>
    </row>
    <row r="133" spans="1:7" x14ac:dyDescent="0.2">
      <c r="A133" t="s">
        <v>179</v>
      </c>
      <c r="B133" s="100">
        <v>7975</v>
      </c>
      <c r="C133" s="100">
        <v>3766</v>
      </c>
      <c r="D133" s="100">
        <v>-5506</v>
      </c>
      <c r="E133" s="100">
        <v>-4120</v>
      </c>
      <c r="F133" s="100">
        <v>14573</v>
      </c>
      <c r="G133" s="100">
        <v>698</v>
      </c>
    </row>
    <row r="134" spans="1:7" x14ac:dyDescent="0.2">
      <c r="A134" t="s">
        <v>181</v>
      </c>
      <c r="B134" s="100">
        <v>-5541</v>
      </c>
      <c r="C134" s="100">
        <v>-5576</v>
      </c>
      <c r="D134" s="100">
        <v>-5568</v>
      </c>
      <c r="E134" s="100">
        <v>-5644</v>
      </c>
      <c r="F134" s="100">
        <v>-5997</v>
      </c>
      <c r="G134" s="100">
        <v>-3088</v>
      </c>
    </row>
    <row r="135" spans="1:7" x14ac:dyDescent="0.2">
      <c r="A135" t="s">
        <v>8</v>
      </c>
      <c r="B135" s="100">
        <v>-3576</v>
      </c>
      <c r="C135" s="100">
        <v>822</v>
      </c>
      <c r="D135" s="100">
        <v>1158</v>
      </c>
      <c r="E135" s="100">
        <v>-460</v>
      </c>
      <c r="F135" s="100">
        <v>2194</v>
      </c>
      <c r="G135" s="100">
        <v>5676</v>
      </c>
    </row>
    <row r="136" spans="1:7" x14ac:dyDescent="0.2">
      <c r="A136" t="s">
        <v>172</v>
      </c>
      <c r="B136" s="100">
        <v>270</v>
      </c>
      <c r="C136" s="100">
        <v>1175</v>
      </c>
      <c r="D136" s="100">
        <v>1865</v>
      </c>
      <c r="E136" s="100">
        <v>558</v>
      </c>
      <c r="F136" s="100">
        <v>6523</v>
      </c>
      <c r="G136" s="100">
        <v>-4065</v>
      </c>
    </row>
    <row r="137" spans="1:7" x14ac:dyDescent="0.2">
      <c r="B137" s="100"/>
      <c r="C137" s="100"/>
      <c r="D137" s="100"/>
      <c r="E137" s="100"/>
      <c r="F137" s="100"/>
      <c r="G137" s="100"/>
    </row>
    <row r="138" spans="1:7" x14ac:dyDescent="0.2">
      <c r="A138" t="s">
        <v>150</v>
      </c>
      <c r="B138" s="100">
        <v>-414</v>
      </c>
      <c r="C138" s="100">
        <v>1175</v>
      </c>
      <c r="D138" s="100">
        <v>1671</v>
      </c>
      <c r="E138" s="100">
        <v>-1038</v>
      </c>
      <c r="F138" s="100">
        <v>6317</v>
      </c>
      <c r="G138" s="100">
        <v>-4065</v>
      </c>
    </row>
    <row r="140" spans="1:7" ht="32" x14ac:dyDescent="0.2">
      <c r="A140" s="90" t="s">
        <v>70</v>
      </c>
      <c r="B140" s="91"/>
      <c r="C140" s="91"/>
      <c r="D140" s="91"/>
      <c r="E140" s="91"/>
      <c r="F140" s="91"/>
      <c r="G140" s="91"/>
    </row>
    <row r="141" spans="1:7" x14ac:dyDescent="0.2">
      <c r="A141" s="92" t="s">
        <v>73</v>
      </c>
      <c r="F141" s="93" t="s">
        <v>74</v>
      </c>
      <c r="G141" s="93" t="s">
        <v>74</v>
      </c>
    </row>
    <row r="142" spans="1:7" ht="32" x14ac:dyDescent="0.2">
      <c r="A142" s="93" t="s">
        <v>75</v>
      </c>
      <c r="B142" s="94">
        <v>3019</v>
      </c>
      <c r="C142" s="94">
        <v>4194</v>
      </c>
      <c r="D142" s="94">
        <v>5865</v>
      </c>
      <c r="E142" s="94">
        <v>4827</v>
      </c>
      <c r="F142" s="94">
        <v>11144</v>
      </c>
      <c r="G142" s="94">
        <v>7079</v>
      </c>
    </row>
    <row r="143" spans="1:7" x14ac:dyDescent="0.2">
      <c r="A143" s="93" t="s">
        <v>76</v>
      </c>
      <c r="B143" s="95">
        <v>2788</v>
      </c>
      <c r="C143" s="95">
        <v>1082</v>
      </c>
      <c r="D143" s="95">
        <v>2292</v>
      </c>
      <c r="E143" s="95">
        <v>2103</v>
      </c>
      <c r="F143" s="95">
        <v>17194</v>
      </c>
      <c r="G143" s="95">
        <v>17955</v>
      </c>
    </row>
    <row r="144" spans="1:7" x14ac:dyDescent="0.2">
      <c r="A144" s="93" t="s">
        <v>161</v>
      </c>
      <c r="B144" s="95">
        <v>5843</v>
      </c>
      <c r="C144" s="95">
        <v>7847</v>
      </c>
      <c r="D144" s="95">
        <v>15738</v>
      </c>
      <c r="E144" s="95">
        <v>21483</v>
      </c>
      <c r="F144" s="95">
        <v>0</v>
      </c>
      <c r="G144" s="95">
        <v>0</v>
      </c>
    </row>
    <row r="145" spans="1:7" x14ac:dyDescent="0.2">
      <c r="A145" s="93" t="s">
        <v>77</v>
      </c>
      <c r="B145" s="95">
        <v>6722</v>
      </c>
      <c r="C145" s="95">
        <v>7659</v>
      </c>
      <c r="D145" s="95">
        <v>6782</v>
      </c>
      <c r="E145" s="95">
        <v>9457</v>
      </c>
      <c r="F145" s="95">
        <v>4133</v>
      </c>
      <c r="G145" s="95">
        <v>3402</v>
      </c>
    </row>
    <row r="146" spans="1:7" x14ac:dyDescent="0.2">
      <c r="A146" s="93" t="s">
        <v>78</v>
      </c>
      <c r="B146" s="95">
        <v>7253</v>
      </c>
      <c r="C146" s="95">
        <v>8744</v>
      </c>
      <c r="D146" s="95">
        <v>8427</v>
      </c>
      <c r="E146" s="95">
        <v>10776</v>
      </c>
      <c r="F146" s="95">
        <v>13224</v>
      </c>
      <c r="G146" s="95">
        <v>11127</v>
      </c>
    </row>
    <row r="147" spans="1:7" x14ac:dyDescent="0.2">
      <c r="A147" s="93" t="s">
        <v>160</v>
      </c>
      <c r="B147" s="95">
        <v>0</v>
      </c>
      <c r="C147" s="95">
        <v>0</v>
      </c>
      <c r="D147" s="95">
        <v>5400</v>
      </c>
      <c r="E147" s="95">
        <v>6942</v>
      </c>
      <c r="F147" s="95">
        <v>0</v>
      </c>
      <c r="G147" s="95">
        <v>0</v>
      </c>
    </row>
    <row r="148" spans="1:7" x14ac:dyDescent="0.2">
      <c r="A148" s="93" t="s">
        <v>79</v>
      </c>
      <c r="B148" s="95">
        <v>3162</v>
      </c>
      <c r="C148" s="95">
        <v>1713</v>
      </c>
      <c r="D148" s="95">
        <v>2745</v>
      </c>
      <c r="E148" s="95">
        <v>2130</v>
      </c>
      <c r="F148" s="95">
        <v>4712</v>
      </c>
      <c r="G148" s="95">
        <v>3706</v>
      </c>
    </row>
    <row r="149" spans="1:7" x14ac:dyDescent="0.2">
      <c r="A149" s="93" t="s">
        <v>80</v>
      </c>
      <c r="B149" s="95">
        <v>28787</v>
      </c>
      <c r="C149" s="95">
        <v>31239</v>
      </c>
      <c r="D149" s="95">
        <v>47249</v>
      </c>
      <c r="E149" s="95">
        <v>57718</v>
      </c>
      <c r="F149" s="95">
        <v>50407</v>
      </c>
      <c r="G149" s="95">
        <v>43269</v>
      </c>
    </row>
    <row r="150" spans="1:7" x14ac:dyDescent="0.2">
      <c r="A150" s="93" t="s">
        <v>81</v>
      </c>
      <c r="B150" s="95">
        <v>48976</v>
      </c>
      <c r="C150" s="95">
        <v>55386</v>
      </c>
      <c r="D150" s="95">
        <v>56584</v>
      </c>
      <c r="E150" s="95">
        <v>63245</v>
      </c>
      <c r="F150" s="95">
        <v>80860</v>
      </c>
      <c r="G150" s="95">
        <v>96647</v>
      </c>
    </row>
    <row r="151" spans="1:7" x14ac:dyDescent="0.2">
      <c r="A151" s="93" t="s">
        <v>82</v>
      </c>
      <c r="B151" s="95">
        <v>6042</v>
      </c>
      <c r="C151" s="95">
        <v>3967</v>
      </c>
      <c r="D151" s="95">
        <v>5152</v>
      </c>
      <c r="E151" s="95">
        <v>6298</v>
      </c>
      <c r="F151" s="95">
        <v>5912</v>
      </c>
      <c r="G151" s="95">
        <v>5829</v>
      </c>
    </row>
    <row r="152" spans="1:7" x14ac:dyDescent="0.2">
      <c r="A152" s="93" t="s">
        <v>159</v>
      </c>
      <c r="B152" s="95">
        <v>3388</v>
      </c>
      <c r="C152" s="95">
        <v>3276</v>
      </c>
      <c r="D152" s="95">
        <v>2192</v>
      </c>
      <c r="E152" s="95">
        <v>840</v>
      </c>
      <c r="F152" s="95"/>
      <c r="G152" s="95"/>
    </row>
    <row r="153" spans="1:7" x14ac:dyDescent="0.2">
      <c r="A153" s="93" t="s">
        <v>83</v>
      </c>
      <c r="B153" s="95">
        <v>24513</v>
      </c>
      <c r="C153" s="95">
        <v>26276</v>
      </c>
      <c r="D153" s="95">
        <v>26971</v>
      </c>
      <c r="E153" s="95">
        <v>26963</v>
      </c>
      <c r="F153" s="95">
        <v>27591</v>
      </c>
      <c r="G153" s="95">
        <v>27591</v>
      </c>
    </row>
    <row r="154" spans="1:7" x14ac:dyDescent="0.2">
      <c r="A154" s="93" t="s">
        <v>84</v>
      </c>
      <c r="B154" s="95">
        <v>11836</v>
      </c>
      <c r="C154" s="95">
        <v>10827</v>
      </c>
      <c r="D154" s="95">
        <v>9026</v>
      </c>
      <c r="E154" s="95">
        <v>7270</v>
      </c>
      <c r="F154" s="95">
        <v>6018</v>
      </c>
      <c r="G154" s="95">
        <v>4589</v>
      </c>
    </row>
    <row r="155" spans="1:7" x14ac:dyDescent="0.2">
      <c r="A155" s="93" t="s">
        <v>85</v>
      </c>
      <c r="B155" s="95">
        <v>4421</v>
      </c>
      <c r="C155" s="95">
        <v>5553</v>
      </c>
      <c r="D155" s="95">
        <v>5917</v>
      </c>
      <c r="E155" s="95">
        <v>6072</v>
      </c>
      <c r="F155" s="95">
        <v>11315</v>
      </c>
      <c r="G155" s="95">
        <v>13647</v>
      </c>
    </row>
    <row r="156" spans="1:7" x14ac:dyDescent="0.2">
      <c r="A156" s="93" t="s">
        <v>86</v>
      </c>
      <c r="B156" s="95">
        <v>127963</v>
      </c>
      <c r="C156" s="95">
        <v>136524</v>
      </c>
      <c r="D156" s="95">
        <v>153091</v>
      </c>
      <c r="E156" s="95">
        <v>168406</v>
      </c>
      <c r="F156" s="95">
        <v>182103</v>
      </c>
      <c r="G156" s="95">
        <v>191572</v>
      </c>
    </row>
    <row r="157" spans="1:7" x14ac:dyDescent="0.2">
      <c r="A157" s="92" t="s">
        <v>87</v>
      </c>
      <c r="F157" s="93" t="s">
        <v>74</v>
      </c>
      <c r="G157" s="93" t="s">
        <v>74</v>
      </c>
    </row>
    <row r="158" spans="1:7" x14ac:dyDescent="0.2">
      <c r="A158" s="93" t="s">
        <v>88</v>
      </c>
      <c r="B158" s="95">
        <v>1261</v>
      </c>
      <c r="C158" s="95">
        <v>3693</v>
      </c>
      <c r="D158" s="95">
        <v>2504</v>
      </c>
      <c r="E158" s="95">
        <v>4591</v>
      </c>
      <c r="F158" s="95">
        <v>4367</v>
      </c>
      <c r="G158" s="95">
        <v>2288</v>
      </c>
    </row>
    <row r="159" spans="1:7" x14ac:dyDescent="0.2">
      <c r="A159" s="93" t="s">
        <v>89</v>
      </c>
      <c r="B159" s="95">
        <v>3824</v>
      </c>
      <c r="C159" s="95">
        <v>4128</v>
      </c>
      <c r="D159" s="95">
        <v>5581</v>
      </c>
      <c r="E159" s="95">
        <v>5747</v>
      </c>
      <c r="F159" s="95">
        <v>9595</v>
      </c>
      <c r="G159" s="95">
        <v>8578</v>
      </c>
    </row>
    <row r="160" spans="1:7" x14ac:dyDescent="0.2">
      <c r="A160" s="93" t="s">
        <v>90</v>
      </c>
      <c r="B160" s="95">
        <v>3622</v>
      </c>
      <c r="C160" s="95">
        <v>3853</v>
      </c>
      <c r="D160" s="95">
        <v>3999</v>
      </c>
      <c r="E160" s="95">
        <v>4535</v>
      </c>
      <c r="F160" s="95">
        <v>4084</v>
      </c>
      <c r="G160" s="95">
        <v>3655</v>
      </c>
    </row>
    <row r="161" spans="1:7" x14ac:dyDescent="0.2">
      <c r="A161" s="93" t="s">
        <v>91</v>
      </c>
      <c r="B161" s="95">
        <v>7919</v>
      </c>
      <c r="C161" s="95">
        <v>10636</v>
      </c>
      <c r="D161" s="95">
        <v>0</v>
      </c>
      <c r="E161" s="95">
        <v>0</v>
      </c>
      <c r="F161" s="95">
        <v>2251</v>
      </c>
      <c r="G161" s="95">
        <v>1107</v>
      </c>
    </row>
    <row r="162" spans="1:7" x14ac:dyDescent="0.2">
      <c r="A162" s="93" t="s">
        <v>92</v>
      </c>
      <c r="B162" s="95">
        <v>16626</v>
      </c>
      <c r="C162" s="95">
        <v>22310</v>
      </c>
      <c r="D162" s="95">
        <v>12670</v>
      </c>
      <c r="E162" s="95">
        <v>12589</v>
      </c>
      <c r="F162" s="95">
        <v>11858</v>
      </c>
      <c r="G162" s="95">
        <v>12425</v>
      </c>
    </row>
    <row r="163" spans="1:7" x14ac:dyDescent="0.2">
      <c r="A163" s="93" t="s">
        <v>93</v>
      </c>
      <c r="B163" s="95">
        <v>25098</v>
      </c>
      <c r="C163" s="95">
        <v>25308</v>
      </c>
      <c r="D163" s="95">
        <v>24754</v>
      </c>
      <c r="E163" s="95">
        <v>27462</v>
      </c>
      <c r="F163" s="95">
        <v>32155</v>
      </c>
      <c r="G163" s="95">
        <v>28053</v>
      </c>
    </row>
    <row r="164" spans="1:7" x14ac:dyDescent="0.2">
      <c r="A164" s="93" t="s">
        <v>94</v>
      </c>
      <c r="B164" s="95">
        <v>2049</v>
      </c>
      <c r="C164" s="95">
        <v>1368</v>
      </c>
      <c r="D164" s="95">
        <v>33897</v>
      </c>
      <c r="E164" s="95">
        <v>33510</v>
      </c>
      <c r="F164" s="95">
        <v>37684</v>
      </c>
      <c r="G164" s="95">
        <v>46978</v>
      </c>
    </row>
    <row r="165" spans="1:7" x14ac:dyDescent="0.2">
      <c r="A165" s="93" t="s">
        <v>162</v>
      </c>
      <c r="B165" s="95">
        <v>4897</v>
      </c>
      <c r="C165" s="95">
        <v>4919</v>
      </c>
      <c r="D165" s="95">
        <v>1367</v>
      </c>
      <c r="E165" s="95">
        <v>185</v>
      </c>
      <c r="F165" s="95">
        <v>0</v>
      </c>
      <c r="G165" s="95">
        <v>0</v>
      </c>
    </row>
    <row r="166" spans="1:7" x14ac:dyDescent="0.2">
      <c r="A166" s="93" t="s">
        <v>163</v>
      </c>
      <c r="B166" s="95">
        <v>1665</v>
      </c>
      <c r="C166" s="95">
        <v>2044</v>
      </c>
      <c r="D166" s="95">
        <v>4578</v>
      </c>
      <c r="E166" s="95">
        <v>4305</v>
      </c>
      <c r="F166" s="95">
        <v>0</v>
      </c>
      <c r="G166" s="95">
        <v>0</v>
      </c>
    </row>
    <row r="167" spans="1:7" x14ac:dyDescent="0.2">
      <c r="A167" s="93" t="s">
        <v>164</v>
      </c>
      <c r="B167" s="95">
        <v>2646</v>
      </c>
      <c r="C167" s="95">
        <v>2916</v>
      </c>
      <c r="D167" s="95">
        <v>3843</v>
      </c>
      <c r="E167" s="95">
        <v>2667</v>
      </c>
      <c r="F167" s="95">
        <v>0</v>
      </c>
      <c r="G167" s="95">
        <v>0</v>
      </c>
    </row>
    <row r="168" spans="1:7" x14ac:dyDescent="0.2">
      <c r="A168" s="93" t="s">
        <v>95</v>
      </c>
      <c r="B168" s="93" t="s">
        <v>97</v>
      </c>
      <c r="C168" s="93" t="s">
        <v>97</v>
      </c>
      <c r="D168" s="95">
        <v>3614</v>
      </c>
      <c r="E168" s="95">
        <v>4886</v>
      </c>
      <c r="F168" s="95">
        <v>8978</v>
      </c>
      <c r="G168" s="95">
        <v>6576</v>
      </c>
    </row>
    <row r="169" spans="1:7" ht="32" x14ac:dyDescent="0.2">
      <c r="A169" s="93" t="s">
        <v>96</v>
      </c>
      <c r="B169" s="95">
        <v>419</v>
      </c>
      <c r="C169" s="95">
        <v>155</v>
      </c>
      <c r="D169" s="93" t="s">
        <v>97</v>
      </c>
      <c r="E169" s="93" t="s">
        <v>97</v>
      </c>
      <c r="F169" s="93" t="s">
        <v>97</v>
      </c>
      <c r="G169" s="93" t="s">
        <v>97</v>
      </c>
    </row>
    <row r="170" spans="1:7" x14ac:dyDescent="0.2">
      <c r="A170" s="92" t="s">
        <v>98</v>
      </c>
      <c r="F170" s="93" t="s">
        <v>74</v>
      </c>
      <c r="G170" s="93" t="s">
        <v>74</v>
      </c>
    </row>
    <row r="171" spans="1:7" ht="32" x14ac:dyDescent="0.2">
      <c r="A171" s="93" t="s">
        <v>99</v>
      </c>
      <c r="B171" s="95">
        <v>0</v>
      </c>
      <c r="C171" s="95">
        <v>0</v>
      </c>
      <c r="D171" s="95">
        <v>0</v>
      </c>
      <c r="E171" s="95">
        <v>0</v>
      </c>
      <c r="F171" s="95">
        <v>0</v>
      </c>
      <c r="G171" s="95">
        <v>0</v>
      </c>
    </row>
    <row r="172" spans="1:7" ht="80" x14ac:dyDescent="0.2">
      <c r="A172" s="93" t="s">
        <v>100</v>
      </c>
      <c r="B172" s="95">
        <v>25365</v>
      </c>
      <c r="C172" s="95">
        <v>25261</v>
      </c>
      <c r="D172" s="95">
        <v>25556</v>
      </c>
      <c r="E172" s="95">
        <v>28006</v>
      </c>
      <c r="F172" s="95">
        <v>31580</v>
      </c>
      <c r="G172" s="95">
        <v>36649</v>
      </c>
    </row>
    <row r="173" spans="1:7" ht="32" x14ac:dyDescent="0.2">
      <c r="A173" s="93" t="s">
        <v>101</v>
      </c>
      <c r="B173" s="95">
        <v>-974</v>
      </c>
      <c r="C173" s="95">
        <v>-1280</v>
      </c>
      <c r="D173" s="95">
        <v>-751</v>
      </c>
      <c r="E173" s="95">
        <v>-880</v>
      </c>
      <c r="F173" s="95">
        <v>-562</v>
      </c>
      <c r="G173" s="95">
        <v>-215</v>
      </c>
    </row>
    <row r="174" spans="1:7" x14ac:dyDescent="0.2">
      <c r="A174" s="93" t="s">
        <v>102</v>
      </c>
      <c r="B174" s="95">
        <v>50172</v>
      </c>
      <c r="C174" s="95">
        <v>53523</v>
      </c>
      <c r="D174" s="95">
        <v>56233</v>
      </c>
      <c r="E174" s="95">
        <v>68265</v>
      </c>
      <c r="F174" s="95">
        <v>70405</v>
      </c>
      <c r="G174" s="95">
        <v>69156</v>
      </c>
    </row>
    <row r="175" spans="1:7" x14ac:dyDescent="0.2">
      <c r="A175" s="93" t="s">
        <v>103</v>
      </c>
      <c r="B175" s="95">
        <v>74563</v>
      </c>
      <c r="C175" s="95">
        <v>77504</v>
      </c>
      <c r="D175" s="95">
        <v>81038</v>
      </c>
      <c r="E175" s="95">
        <v>95391</v>
      </c>
      <c r="F175" s="95">
        <v>101423</v>
      </c>
      <c r="G175" s="95">
        <v>105590</v>
      </c>
    </row>
    <row r="176" spans="1:7" x14ac:dyDescent="0.2">
      <c r="A176" s="93" t="s">
        <v>104</v>
      </c>
      <c r="B176" s="94">
        <v>0</v>
      </c>
      <c r="C176" s="94">
        <v>0</v>
      </c>
      <c r="D176" s="94">
        <v>0</v>
      </c>
      <c r="E176" s="94">
        <v>0</v>
      </c>
      <c r="F176" s="95">
        <v>1863</v>
      </c>
      <c r="G176" s="95">
        <v>4375</v>
      </c>
    </row>
    <row r="177" spans="1:42" x14ac:dyDescent="0.2">
      <c r="A177" s="93" t="s">
        <v>105</v>
      </c>
      <c r="B177" s="95">
        <v>74563</v>
      </c>
      <c r="C177" s="95">
        <v>77504</v>
      </c>
      <c r="D177" s="95">
        <v>81038</v>
      </c>
      <c r="E177" s="95">
        <v>95391</v>
      </c>
      <c r="F177" s="95">
        <v>103286</v>
      </c>
      <c r="G177" s="95">
        <v>109965</v>
      </c>
    </row>
    <row r="178" spans="1:42" ht="32" x14ac:dyDescent="0.2">
      <c r="A178" s="93" t="s">
        <v>106</v>
      </c>
      <c r="B178" s="94">
        <v>127963</v>
      </c>
      <c r="C178" s="94">
        <v>136524</v>
      </c>
      <c r="D178" s="94">
        <v>153091</v>
      </c>
      <c r="E178" s="94">
        <v>168406</v>
      </c>
      <c r="F178" s="94">
        <v>182103</v>
      </c>
      <c r="G178" s="94">
        <v>191572</v>
      </c>
    </row>
    <row r="180" spans="1:42" x14ac:dyDescent="0.2">
      <c r="A180" s="92" t="s">
        <v>191</v>
      </c>
    </row>
    <row r="181" spans="1:42" ht="17" x14ac:dyDescent="0.2">
      <c r="A181" s="101" t="s">
        <v>182</v>
      </c>
      <c r="B181" s="88">
        <f>B35</f>
        <v>23316</v>
      </c>
      <c r="C181" s="88">
        <f t="shared" ref="C181:G181" si="39">C35</f>
        <v>22035</v>
      </c>
      <c r="D181" s="88">
        <f t="shared" si="39"/>
        <v>23678</v>
      </c>
      <c r="E181" s="88">
        <f t="shared" si="39"/>
        <v>19456</v>
      </c>
      <c r="F181" s="88">
        <f t="shared" si="39"/>
        <v>2334</v>
      </c>
      <c r="G181" s="88">
        <f t="shared" si="39"/>
        <v>93</v>
      </c>
    </row>
    <row r="182" spans="1:42" ht="17" x14ac:dyDescent="0.2">
      <c r="A182" s="102" t="s">
        <v>22</v>
      </c>
      <c r="B182" s="99">
        <f>B187*B181</f>
        <v>2263.9029034609944</v>
      </c>
      <c r="C182" s="99">
        <f t="shared" ref="C182:G182" si="40">C187*C181</f>
        <v>2756.8937567545099</v>
      </c>
      <c r="D182" s="99">
        <f t="shared" si="40"/>
        <v>3945.7038838822868</v>
      </c>
      <c r="E182" s="99">
        <f t="shared" si="40"/>
        <v>1645.0149748882643</v>
      </c>
      <c r="F182" s="99">
        <f t="shared" si="40"/>
        <v>-74.8153964984552</v>
      </c>
      <c r="G182" s="99">
        <f t="shared" si="40"/>
        <v>-111.42913385826772</v>
      </c>
    </row>
    <row r="183" spans="1:42" ht="17" x14ac:dyDescent="0.2">
      <c r="A183" s="102" t="s">
        <v>183</v>
      </c>
      <c r="B183" s="99">
        <f>B181-B182</f>
        <v>21052.097096539004</v>
      </c>
      <c r="C183" s="99">
        <f t="shared" ref="C183:G183" si="41">C181-C182</f>
        <v>19278.106243245489</v>
      </c>
      <c r="D183" s="99">
        <f t="shared" si="41"/>
        <v>19732.296116117712</v>
      </c>
      <c r="E183" s="99">
        <f t="shared" si="41"/>
        <v>17810.985025111735</v>
      </c>
      <c r="F183" s="99">
        <f t="shared" si="41"/>
        <v>2408.8153964984554</v>
      </c>
      <c r="G183" s="99">
        <f t="shared" si="41"/>
        <v>204.42913385826773</v>
      </c>
    </row>
    <row r="184" spans="1:42" x14ac:dyDescent="0.2">
      <c r="A184" s="102"/>
    </row>
    <row r="185" spans="1:42" ht="17" x14ac:dyDescent="0.2">
      <c r="A185" s="103" t="s">
        <v>122</v>
      </c>
      <c r="B185">
        <f>B39</f>
        <v>2264</v>
      </c>
      <c r="C185">
        <f t="shared" ref="C185:G185" si="42">C39</f>
        <v>3010</v>
      </c>
      <c r="D185">
        <f t="shared" si="42"/>
        <v>4179</v>
      </c>
      <c r="E185">
        <f t="shared" si="42"/>
        <v>1835</v>
      </c>
      <c r="F185">
        <f t="shared" si="42"/>
        <v>-249</v>
      </c>
      <c r="G185">
        <f t="shared" si="42"/>
        <v>-913</v>
      </c>
    </row>
    <row r="186" spans="1:42" ht="17" x14ac:dyDescent="0.2">
      <c r="A186" s="103" t="s">
        <v>184</v>
      </c>
      <c r="B186" s="88">
        <f>B38</f>
        <v>23317</v>
      </c>
      <c r="C186" s="88">
        <f t="shared" ref="C186:G186" si="43">C38</f>
        <v>24058</v>
      </c>
      <c r="D186" s="88">
        <f t="shared" si="43"/>
        <v>25078</v>
      </c>
      <c r="E186" s="88">
        <f t="shared" si="43"/>
        <v>21703</v>
      </c>
      <c r="F186" s="88">
        <f t="shared" si="43"/>
        <v>7768</v>
      </c>
      <c r="G186" s="88">
        <f t="shared" si="43"/>
        <v>762</v>
      </c>
    </row>
    <row r="187" spans="1:42" ht="17" x14ac:dyDescent="0.2">
      <c r="A187" s="104" t="s">
        <v>185</v>
      </c>
      <c r="B187" s="6">
        <f>B185/B186</f>
        <v>9.7096539005875546E-2</v>
      </c>
      <c r="C187" s="6">
        <f t="shared" ref="C187:G187" si="44">C185/C186</f>
        <v>0.12511430709119628</v>
      </c>
      <c r="D187" s="6">
        <f t="shared" si="44"/>
        <v>0.16664008294122337</v>
      </c>
      <c r="E187" s="6">
        <f t="shared" si="44"/>
        <v>8.4550522969174771E-2</v>
      </c>
      <c r="F187" s="6">
        <f t="shared" si="44"/>
        <v>-3.2054582904222452E-2</v>
      </c>
      <c r="G187" s="6">
        <f t="shared" si="44"/>
        <v>-1.1981627296587927</v>
      </c>
    </row>
    <row r="188" spans="1:42" x14ac:dyDescent="0.2">
      <c r="A188" s="104"/>
      <c r="B188" s="6"/>
      <c r="C188" s="6"/>
      <c r="D188" s="6"/>
      <c r="E188" s="6"/>
      <c r="F188" s="6"/>
      <c r="G188" s="6"/>
    </row>
    <row r="189" spans="1:42" s="118" customFormat="1" ht="17" outlineLevel="1" x14ac:dyDescent="0.2">
      <c r="A189" s="117" t="s">
        <v>210</v>
      </c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</row>
    <row r="190" spans="1:42" s="118" customFormat="1" outlineLevel="1" x14ac:dyDescent="0.2">
      <c r="A190" s="117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</row>
    <row r="191" spans="1:42" s="118" customFormat="1" ht="17" outlineLevel="1" x14ac:dyDescent="0.2">
      <c r="A191" s="120" t="s">
        <v>182</v>
      </c>
      <c r="E191" s="121"/>
      <c r="F191" s="121"/>
      <c r="G191" s="121"/>
      <c r="H191" s="121">
        <f>H35</f>
        <v>-1590</v>
      </c>
      <c r="I191" s="121">
        <f t="shared" ref="I191:N191" si="45">I35</f>
        <v>7634.3399999999965</v>
      </c>
      <c r="J191" s="121">
        <f t="shared" si="45"/>
        <v>8751.4412000000011</v>
      </c>
      <c r="K191" s="121">
        <f t="shared" si="45"/>
        <v>10406.46100000001</v>
      </c>
      <c r="L191" s="121">
        <f t="shared" si="45"/>
        <v>12301.070835040005</v>
      </c>
      <c r="M191" s="121">
        <f t="shared" si="45"/>
        <v>13803.895159516946</v>
      </c>
      <c r="N191" s="121">
        <f t="shared" si="45"/>
        <v>16715.836253619585</v>
      </c>
      <c r="O191" s="121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119"/>
      <c r="AN191" s="119"/>
      <c r="AO191" s="119"/>
      <c r="AP191" s="119"/>
    </row>
    <row r="192" spans="1:42" s="118" customFormat="1" ht="17" outlineLevel="1" x14ac:dyDescent="0.2">
      <c r="A192" s="122" t="s">
        <v>211</v>
      </c>
      <c r="E192" s="123"/>
      <c r="F192" s="123"/>
      <c r="G192" s="123"/>
      <c r="H192" s="132">
        <f>H81</f>
        <v>0.50410843373493974</v>
      </c>
      <c r="I192" s="132">
        <f t="shared" ref="I192:N192" si="46">I81</f>
        <v>0.15</v>
      </c>
      <c r="J192" s="132">
        <f t="shared" si="46"/>
        <v>0.18</v>
      </c>
      <c r="K192" s="132">
        <f t="shared" si="46"/>
        <v>0.18</v>
      </c>
      <c r="L192" s="132">
        <f t="shared" si="46"/>
        <v>0.18000000000000002</v>
      </c>
      <c r="M192" s="132">
        <f t="shared" si="46"/>
        <v>0.17999999999999997</v>
      </c>
      <c r="N192" s="132">
        <f t="shared" si="46"/>
        <v>0.18</v>
      </c>
      <c r="O192" s="123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  <c r="AN192" s="119"/>
      <c r="AO192" s="119"/>
      <c r="AP192" s="119"/>
    </row>
    <row r="193" spans="1:42" s="118" customFormat="1" ht="17" outlineLevel="1" x14ac:dyDescent="0.2">
      <c r="A193" s="122" t="s">
        <v>22</v>
      </c>
      <c r="E193" s="123"/>
      <c r="F193" s="123"/>
      <c r="G193" s="123"/>
      <c r="H193" s="123">
        <f>H191*H192</f>
        <v>-801.53240963855421</v>
      </c>
      <c r="I193" s="123">
        <f t="shared" ref="I193:K193" si="47">I191*I192</f>
        <v>1145.1509999999994</v>
      </c>
      <c r="J193" s="123">
        <f t="shared" si="47"/>
        <v>1575.2594160000001</v>
      </c>
      <c r="K193" s="123">
        <f t="shared" si="47"/>
        <v>1873.1629800000019</v>
      </c>
      <c r="L193" s="123">
        <f>L191*L192</f>
        <v>2214.1927503072011</v>
      </c>
      <c r="M193" s="123">
        <f t="shared" ref="M193" si="48">M191*M192</f>
        <v>2484.7011287130499</v>
      </c>
      <c r="N193" s="123">
        <f t="shared" ref="N193" si="49">N191*N192</f>
        <v>3008.8505256515255</v>
      </c>
      <c r="O193" s="123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AI193" s="119"/>
      <c r="AJ193" s="119"/>
      <c r="AK193" s="119"/>
      <c r="AL193" s="119"/>
      <c r="AM193" s="119"/>
      <c r="AN193" s="119"/>
      <c r="AO193" s="119"/>
      <c r="AP193" s="119"/>
    </row>
    <row r="194" spans="1:42" s="118" customFormat="1" ht="17" outlineLevel="1" x14ac:dyDescent="0.2">
      <c r="A194" s="120" t="s">
        <v>183</v>
      </c>
      <c r="E194" s="121"/>
      <c r="F194" s="121"/>
      <c r="G194" s="121"/>
      <c r="H194" s="121">
        <f>H191-H193</f>
        <v>-788.46759036144579</v>
      </c>
      <c r="I194" s="121">
        <f t="shared" ref="I194:N194" si="50">I191-I193</f>
        <v>6489.1889999999967</v>
      </c>
      <c r="J194" s="121">
        <f t="shared" si="50"/>
        <v>7176.1817840000012</v>
      </c>
      <c r="K194" s="121">
        <f t="shared" si="50"/>
        <v>8533.2980200000093</v>
      </c>
      <c r="L194" s="121">
        <f t="shared" si="50"/>
        <v>10086.878084732805</v>
      </c>
      <c r="M194" s="121">
        <f t="shared" si="50"/>
        <v>11319.194030803896</v>
      </c>
      <c r="N194" s="121">
        <f t="shared" si="50"/>
        <v>13706.98572796806</v>
      </c>
      <c r="O194" s="121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119"/>
      <c r="AN194" s="119"/>
      <c r="AO194" s="119"/>
      <c r="AP194" s="119"/>
    </row>
    <row r="195" spans="1:42" s="118" customFormat="1" ht="17" outlineLevel="1" x14ac:dyDescent="0.2">
      <c r="A195" s="120" t="s">
        <v>212</v>
      </c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  <c r="AN195" s="119"/>
      <c r="AO195" s="119"/>
      <c r="AP195" s="119"/>
    </row>
    <row r="196" spans="1:42" s="118" customFormat="1" ht="17" outlineLevel="1" x14ac:dyDescent="0.2">
      <c r="A196" s="120" t="s">
        <v>173</v>
      </c>
      <c r="E196" s="121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  <c r="AN196" s="119"/>
      <c r="AO196" s="119"/>
      <c r="AP196" s="119"/>
    </row>
    <row r="197" spans="1:42" s="118" customFormat="1" ht="17" outlineLevel="1" x14ac:dyDescent="0.2">
      <c r="A197" s="125" t="s">
        <v>187</v>
      </c>
      <c r="E197" s="119"/>
      <c r="F197" s="119"/>
      <c r="G197" s="119"/>
      <c r="H197" s="119"/>
      <c r="I197" s="126"/>
      <c r="J197" s="126"/>
      <c r="K197" s="126"/>
      <c r="L197" s="126"/>
      <c r="M197" s="126"/>
      <c r="N197" s="126"/>
      <c r="O197" s="126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119"/>
      <c r="AN197" s="119"/>
      <c r="AO197" s="119"/>
      <c r="AP197" s="119"/>
    </row>
    <row r="198" spans="1:42" s="118" customFormat="1" ht="17" outlineLevel="1" x14ac:dyDescent="0.2">
      <c r="A198" s="125" t="s">
        <v>213</v>
      </c>
      <c r="E198" s="119"/>
      <c r="F198" s="119"/>
      <c r="G198" s="119"/>
      <c r="H198" s="119"/>
      <c r="I198" s="121"/>
      <c r="J198" s="121"/>
      <c r="K198" s="121"/>
      <c r="L198" s="121"/>
      <c r="M198" s="121"/>
      <c r="N198" s="121"/>
      <c r="O198" s="121"/>
      <c r="P198" s="123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  <c r="AI198" s="119"/>
      <c r="AJ198" s="119"/>
      <c r="AK198" s="119"/>
      <c r="AL198" s="119"/>
      <c r="AM198" s="119"/>
      <c r="AN198" s="119"/>
      <c r="AO198" s="119"/>
      <c r="AP198" s="119"/>
    </row>
    <row r="199" spans="1:42" s="118" customFormat="1" outlineLevel="1" x14ac:dyDescent="0.2">
      <c r="A199" s="122"/>
      <c r="E199" s="119"/>
      <c r="F199" s="119"/>
      <c r="G199" s="119"/>
      <c r="H199" s="119"/>
      <c r="I199" s="121"/>
      <c r="J199" s="121"/>
      <c r="K199" s="121"/>
      <c r="L199" s="121"/>
      <c r="M199" s="121"/>
      <c r="N199" s="121"/>
      <c r="O199" s="121"/>
      <c r="P199" s="123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119"/>
      <c r="AN199" s="119"/>
      <c r="AO199" s="119"/>
      <c r="AP199" s="119"/>
    </row>
    <row r="200" spans="1:42" s="118" customFormat="1" ht="17" outlineLevel="1" x14ac:dyDescent="0.2">
      <c r="A200" s="122" t="s">
        <v>213</v>
      </c>
      <c r="E200" s="119"/>
      <c r="F200" s="119"/>
      <c r="G200" s="119"/>
      <c r="H200" s="119"/>
      <c r="I200" s="121"/>
      <c r="J200" s="121"/>
      <c r="K200" s="121"/>
      <c r="L200" s="121"/>
      <c r="M200" s="121"/>
      <c r="N200" s="121"/>
      <c r="O200" s="121"/>
      <c r="P200" s="121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</row>
    <row r="201" spans="1:42" s="118" customFormat="1" ht="17" outlineLevel="1" x14ac:dyDescent="0.2">
      <c r="A201" s="122" t="s">
        <v>214</v>
      </c>
      <c r="E201" s="119"/>
      <c r="F201" s="119"/>
      <c r="G201" s="119"/>
      <c r="H201" s="119"/>
      <c r="I201" s="119"/>
      <c r="J201" s="123"/>
      <c r="K201" s="123"/>
      <c r="L201" s="123"/>
      <c r="M201" s="123"/>
      <c r="N201" s="123"/>
      <c r="O201" s="123"/>
      <c r="P201" s="123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</row>
    <row r="202" spans="1:42" s="118" customFormat="1" outlineLevel="1" x14ac:dyDescent="0.2">
      <c r="A202" s="122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19"/>
    </row>
    <row r="203" spans="1:42" s="118" customFormat="1" outlineLevel="1" x14ac:dyDescent="0.2">
      <c r="A203" s="122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19"/>
    </row>
    <row r="204" spans="1:42" s="118" customFormat="1" ht="17" outlineLevel="1" x14ac:dyDescent="0.2">
      <c r="A204" s="122" t="s">
        <v>215</v>
      </c>
      <c r="E204" s="127"/>
      <c r="F204" s="127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</row>
    <row r="205" spans="1:42" s="118" customFormat="1" ht="17" outlineLevel="1" x14ac:dyDescent="0.2">
      <c r="A205" s="122" t="s">
        <v>216</v>
      </c>
      <c r="E205" s="127"/>
      <c r="F205" s="128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</row>
    <row r="206" spans="1:42" s="118" customFormat="1" outlineLevel="1" x14ac:dyDescent="0.2">
      <c r="A206" s="122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</row>
    <row r="207" spans="1:42" s="118" customFormat="1" ht="17" outlineLevel="1" x14ac:dyDescent="0.2">
      <c r="A207" s="122" t="s">
        <v>214</v>
      </c>
      <c r="E207" s="123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19"/>
    </row>
    <row r="208" spans="1:42" s="118" customFormat="1" ht="17" outlineLevel="1" x14ac:dyDescent="0.2">
      <c r="A208" s="122" t="s">
        <v>193</v>
      </c>
      <c r="E208" s="126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19"/>
    </row>
    <row r="209" spans="1:42" s="118" customFormat="1" ht="17" outlineLevel="1" x14ac:dyDescent="0.2">
      <c r="A209" s="122" t="s">
        <v>217</v>
      </c>
      <c r="E209" s="12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19"/>
    </row>
    <row r="210" spans="1:42" s="118" customFormat="1" ht="17" outlineLevel="1" x14ac:dyDescent="0.2">
      <c r="A210" s="122" t="s">
        <v>218</v>
      </c>
      <c r="E210" s="130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19"/>
    </row>
    <row r="211" spans="1:42" s="118" customFormat="1" ht="17" outlineLevel="1" x14ac:dyDescent="0.2">
      <c r="A211" s="122" t="s">
        <v>219</v>
      </c>
      <c r="E211" s="12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19"/>
    </row>
    <row r="212" spans="1:42" x14ac:dyDescent="0.2">
      <c r="A212" s="102"/>
    </row>
    <row r="213" spans="1:42" ht="17" x14ac:dyDescent="0.2">
      <c r="A213" s="105" t="s">
        <v>186</v>
      </c>
    </row>
    <row r="214" spans="1:42" x14ac:dyDescent="0.2">
      <c r="A214" s="102"/>
    </row>
    <row r="215" spans="1:42" ht="17" x14ac:dyDescent="0.2">
      <c r="A215" s="102" t="s">
        <v>187</v>
      </c>
      <c r="B215" s="96">
        <f>B149-B142-B147-B144-B143-B163</f>
        <v>-7961</v>
      </c>
      <c r="C215" s="96">
        <f t="shared" ref="C215:G215" si="51">C149-C142-C147-C144-C143-C163</f>
        <v>-7192</v>
      </c>
      <c r="D215" s="96">
        <f t="shared" si="51"/>
        <v>-6800</v>
      </c>
      <c r="E215" s="96">
        <f t="shared" si="51"/>
        <v>-5099</v>
      </c>
      <c r="F215" s="96">
        <f t="shared" si="51"/>
        <v>-10086</v>
      </c>
      <c r="G215" s="96">
        <f t="shared" si="51"/>
        <v>-9818</v>
      </c>
    </row>
    <row r="216" spans="1:42" ht="17" x14ac:dyDescent="0.2">
      <c r="A216" s="102" t="s">
        <v>188</v>
      </c>
      <c r="B216" s="96">
        <f>B150</f>
        <v>48976</v>
      </c>
      <c r="C216" s="96">
        <f t="shared" ref="C216:G216" si="52">C150</f>
        <v>55386</v>
      </c>
      <c r="D216" s="96">
        <f t="shared" si="52"/>
        <v>56584</v>
      </c>
      <c r="E216" s="96">
        <f t="shared" si="52"/>
        <v>63245</v>
      </c>
      <c r="F216" s="96">
        <f t="shared" si="52"/>
        <v>80860</v>
      </c>
      <c r="G216" s="96">
        <f t="shared" si="52"/>
        <v>96647</v>
      </c>
    </row>
    <row r="217" spans="1:42" ht="17" x14ac:dyDescent="0.2">
      <c r="A217" s="102" t="s">
        <v>189</v>
      </c>
      <c r="B217" s="96">
        <f>SUM(B152:B155)</f>
        <v>44158</v>
      </c>
      <c r="C217" s="96">
        <f t="shared" ref="C217:G217" si="53">SUM(C152:C155)</f>
        <v>45932</v>
      </c>
      <c r="D217" s="96">
        <f t="shared" si="53"/>
        <v>44106</v>
      </c>
      <c r="E217" s="96">
        <f t="shared" si="53"/>
        <v>41145</v>
      </c>
      <c r="F217" s="96">
        <f t="shared" si="53"/>
        <v>44924</v>
      </c>
      <c r="G217" s="96">
        <f t="shared" si="53"/>
        <v>45827</v>
      </c>
    </row>
    <row r="218" spans="1:42" ht="17" x14ac:dyDescent="0.2">
      <c r="A218" s="102" t="s">
        <v>172</v>
      </c>
      <c r="B218" s="96">
        <f>SUM(B215:B217)</f>
        <v>85173</v>
      </c>
      <c r="C218" s="96">
        <f t="shared" ref="C218:G218" si="54">SUM(C215:C217)</f>
        <v>94126</v>
      </c>
      <c r="D218" s="96">
        <f t="shared" si="54"/>
        <v>93890</v>
      </c>
      <c r="E218" s="96">
        <f t="shared" si="54"/>
        <v>99291</v>
      </c>
      <c r="F218" s="96">
        <f t="shared" si="54"/>
        <v>115698</v>
      </c>
      <c r="G218" s="96">
        <f t="shared" si="54"/>
        <v>132656</v>
      </c>
    </row>
    <row r="219" spans="1:42" x14ac:dyDescent="0.2">
      <c r="A219" s="102"/>
    </row>
    <row r="220" spans="1:42" ht="17" x14ac:dyDescent="0.2">
      <c r="A220" s="102" t="s">
        <v>190</v>
      </c>
      <c r="B220" s="6">
        <f>B183/B218</f>
        <v>0.24716866960819747</v>
      </c>
      <c r="C220" s="6">
        <f t="shared" ref="C220:G220" si="55">C183/C218</f>
        <v>0.20481170179594893</v>
      </c>
      <c r="D220" s="6">
        <f t="shared" si="55"/>
        <v>0.21016398036124945</v>
      </c>
      <c r="E220" s="6">
        <f t="shared" si="55"/>
        <v>0.17938166626493574</v>
      </c>
      <c r="F220" s="6">
        <f t="shared" si="55"/>
        <v>2.0819853381203266E-2</v>
      </c>
      <c r="G220" s="6">
        <f t="shared" si="55"/>
        <v>1.5410470228128974E-3</v>
      </c>
    </row>
    <row r="222" spans="1:42" ht="17" x14ac:dyDescent="0.2">
      <c r="A222" s="106" t="s">
        <v>192</v>
      </c>
      <c r="B222">
        <v>47</v>
      </c>
      <c r="C222">
        <v>60</v>
      </c>
      <c r="D222">
        <v>50</v>
      </c>
      <c r="E222">
        <v>48</v>
      </c>
      <c r="F222">
        <v>26</v>
      </c>
      <c r="G222">
        <v>50</v>
      </c>
      <c r="H222">
        <v>20</v>
      </c>
    </row>
    <row r="223" spans="1:42" ht="17" x14ac:dyDescent="0.2">
      <c r="A223" s="107" t="s">
        <v>193</v>
      </c>
      <c r="B223" s="96">
        <f>B158+B164-B142-B143-B144-B147</f>
        <v>-8340</v>
      </c>
      <c r="C223" s="96">
        <f t="shared" ref="C223:G223" si="56">C158+C164-C142-C143-C144-C147</f>
        <v>-8062</v>
      </c>
      <c r="D223" s="96">
        <f t="shared" si="56"/>
        <v>7106</v>
      </c>
      <c r="E223" s="96">
        <f t="shared" si="56"/>
        <v>2746</v>
      </c>
      <c r="F223" s="96">
        <f t="shared" si="56"/>
        <v>13713</v>
      </c>
      <c r="G223" s="96">
        <f t="shared" si="56"/>
        <v>24232</v>
      </c>
    </row>
    <row r="224" spans="1:42" ht="17" x14ac:dyDescent="0.2">
      <c r="A224" s="107" t="s">
        <v>194</v>
      </c>
      <c r="B224">
        <f t="shared" ref="B224:G224" si="57">B222*B43</f>
        <v>220947</v>
      </c>
      <c r="C224">
        <f t="shared" si="57"/>
        <v>268380</v>
      </c>
      <c r="D224">
        <f t="shared" si="57"/>
        <v>211600</v>
      </c>
      <c r="E224">
        <f t="shared" si="57"/>
        <v>196320</v>
      </c>
      <c r="F224">
        <f t="shared" si="57"/>
        <v>107198</v>
      </c>
      <c r="G224">
        <f t="shared" si="57"/>
        <v>210600</v>
      </c>
    </row>
    <row r="225" spans="1:7" ht="17" x14ac:dyDescent="0.2">
      <c r="A225" s="107" t="s">
        <v>195</v>
      </c>
      <c r="B225" s="96">
        <f t="shared" ref="B225:G225" si="58">B224+B223</f>
        <v>212607</v>
      </c>
      <c r="C225" s="96">
        <f t="shared" si="58"/>
        <v>260318</v>
      </c>
      <c r="D225" s="96">
        <f t="shared" si="58"/>
        <v>218706</v>
      </c>
      <c r="E225" s="96">
        <f t="shared" si="58"/>
        <v>199066</v>
      </c>
      <c r="F225" s="96">
        <f t="shared" si="58"/>
        <v>120911</v>
      </c>
      <c r="G225" s="96">
        <f t="shared" si="58"/>
        <v>234832</v>
      </c>
    </row>
    <row r="226" spans="1:7" ht="17" x14ac:dyDescent="0.2">
      <c r="A226" s="107" t="s">
        <v>186</v>
      </c>
      <c r="B226" s="96">
        <f>B218</f>
        <v>85173</v>
      </c>
      <c r="C226" s="96">
        <f t="shared" ref="C226:G226" si="59">C218</f>
        <v>94126</v>
      </c>
      <c r="D226" s="96">
        <f t="shared" si="59"/>
        <v>93890</v>
      </c>
      <c r="E226" s="96">
        <f t="shared" si="59"/>
        <v>99291</v>
      </c>
      <c r="F226" s="96">
        <f t="shared" si="59"/>
        <v>115698</v>
      </c>
      <c r="G226" s="96">
        <f t="shared" si="59"/>
        <v>132656</v>
      </c>
    </row>
    <row r="227" spans="1:7" ht="17" x14ac:dyDescent="0.2">
      <c r="A227" s="108" t="s">
        <v>196</v>
      </c>
      <c r="B227" s="100">
        <f>B122+B35</f>
        <v>32401</v>
      </c>
      <c r="C227" s="100">
        <f t="shared" ref="C227:G227" si="60">C122+C35</f>
        <v>32861</v>
      </c>
      <c r="D227" s="100">
        <f t="shared" si="60"/>
        <v>35917</v>
      </c>
      <c r="E227" s="100">
        <f t="shared" si="60"/>
        <v>31248</v>
      </c>
      <c r="F227" s="100">
        <f t="shared" si="60"/>
        <v>15369</v>
      </c>
      <c r="G227" s="100">
        <f t="shared" si="60"/>
        <v>9695</v>
      </c>
    </row>
    <row r="228" spans="1:7" ht="17" x14ac:dyDescent="0.2">
      <c r="A228" s="108" t="s">
        <v>206</v>
      </c>
      <c r="B228" s="100">
        <f>B227+B123</f>
        <v>33947</v>
      </c>
      <c r="C228" s="100">
        <f t="shared" ref="C228:G228" si="61">C227+C123</f>
        <v>34566</v>
      </c>
      <c r="D228" s="100">
        <f t="shared" si="61"/>
        <v>37771</v>
      </c>
      <c r="E228" s="100">
        <f t="shared" si="61"/>
        <v>33284</v>
      </c>
      <c r="F228" s="100">
        <f t="shared" si="61"/>
        <v>18497</v>
      </c>
      <c r="G228" s="100">
        <f t="shared" si="61"/>
        <v>12924</v>
      </c>
    </row>
    <row r="229" spans="1:7" ht="34" x14ac:dyDescent="0.2">
      <c r="A229" s="108" t="s">
        <v>207</v>
      </c>
      <c r="B229" s="100">
        <f>B228+B127+B125</f>
        <v>16856</v>
      </c>
      <c r="C229" s="100">
        <f t="shared" ref="C229:G229" si="62">C228+C127+C125</f>
        <v>18418</v>
      </c>
      <c r="D229" s="100">
        <f t="shared" si="62"/>
        <v>25463</v>
      </c>
      <c r="E229" s="100">
        <f t="shared" si="62"/>
        <v>9143</v>
      </c>
      <c r="F229" s="100">
        <f t="shared" si="62"/>
        <v>-10855</v>
      </c>
      <c r="G229" s="100">
        <f t="shared" si="62"/>
        <v>-15395</v>
      </c>
    </row>
    <row r="230" spans="1:7" ht="17" x14ac:dyDescent="0.2">
      <c r="A230" s="107" t="s">
        <v>197</v>
      </c>
      <c r="B230" s="111">
        <f>B227/B$27</f>
        <v>0.45733118789521227</v>
      </c>
      <c r="C230" s="111">
        <f t="shared" ref="C230:G230" si="63">C227/C$27</f>
        <v>0.45662474814145765</v>
      </c>
      <c r="D230" s="111">
        <f t="shared" si="63"/>
        <v>0.46126086789012033</v>
      </c>
      <c r="E230" s="111">
        <f t="shared" si="63"/>
        <v>0.39542417493419718</v>
      </c>
      <c r="F230" s="111">
        <f t="shared" si="63"/>
        <v>0.24374345798839089</v>
      </c>
      <c r="G230" s="111">
        <f t="shared" si="63"/>
        <v>0.17878217894814488</v>
      </c>
    </row>
    <row r="231" spans="1:7" ht="17" x14ac:dyDescent="0.2">
      <c r="A231" s="109" t="s">
        <v>198</v>
      </c>
      <c r="B231" s="111">
        <f>B228/B$27</f>
        <v>0.47915255194218609</v>
      </c>
      <c r="C231" s="111">
        <f>C228/C$27</f>
        <v>0.48031682067671783</v>
      </c>
      <c r="D231" s="111">
        <f>D228/D$27</f>
        <v>0.4850706974713293</v>
      </c>
      <c r="E231" s="111">
        <f>E228/E$27</f>
        <v>0.42118849969629479</v>
      </c>
      <c r="F231" s="111">
        <f>F228/F$27</f>
        <v>0.2933517302629492</v>
      </c>
      <c r="G231" s="111">
        <f>G228/G$27</f>
        <v>0.23832706350962601</v>
      </c>
    </row>
    <row r="232" spans="1:7" ht="17" x14ac:dyDescent="0.2">
      <c r="A232" s="107" t="s">
        <v>199</v>
      </c>
      <c r="C232" s="112">
        <f>C227/B227-1</f>
        <v>1.4197092682324719E-2</v>
      </c>
      <c r="D232" s="112">
        <f t="shared" ref="D232:G232" si="64">D227/C227-1</f>
        <v>9.2997778521651808E-2</v>
      </c>
      <c r="E232" s="112">
        <f t="shared" si="64"/>
        <v>-0.12999415318651331</v>
      </c>
      <c r="F232" s="112">
        <f t="shared" si="64"/>
        <v>-0.50816052227342556</v>
      </c>
      <c r="G232" s="112">
        <f t="shared" si="64"/>
        <v>-0.36918472249333079</v>
      </c>
    </row>
    <row r="233" spans="1:7" ht="17" x14ac:dyDescent="0.2">
      <c r="A233" s="107" t="s">
        <v>200</v>
      </c>
      <c r="C233" s="112">
        <f>C228/B228-1</f>
        <v>1.8234306418829282E-2</v>
      </c>
      <c r="D233" s="112">
        <f t="shared" ref="D233:G233" si="65">D228/C228-1</f>
        <v>9.2721171092981614E-2</v>
      </c>
      <c r="E233" s="112">
        <f t="shared" si="65"/>
        <v>-0.11879484260411421</v>
      </c>
      <c r="F233" s="112">
        <f t="shared" si="65"/>
        <v>-0.44426751592356684</v>
      </c>
      <c r="G233" s="112">
        <f t="shared" si="65"/>
        <v>-0.30129210142185214</v>
      </c>
    </row>
    <row r="234" spans="1:7" ht="17" x14ac:dyDescent="0.2">
      <c r="A234" s="107" t="s">
        <v>201</v>
      </c>
      <c r="B234" s="113">
        <f>B220</f>
        <v>0.24716866960819747</v>
      </c>
      <c r="C234" s="113">
        <f t="shared" ref="C234:G234" si="66">C220</f>
        <v>0.20481170179594893</v>
      </c>
      <c r="D234" s="113">
        <f t="shared" si="66"/>
        <v>0.21016398036124945</v>
      </c>
      <c r="E234" s="113">
        <f t="shared" si="66"/>
        <v>0.17938166626493574</v>
      </c>
      <c r="F234" s="113">
        <f t="shared" si="66"/>
        <v>2.0819853381203266E-2</v>
      </c>
      <c r="G234" s="113">
        <f t="shared" si="66"/>
        <v>1.5410470228128974E-3</v>
      </c>
    </row>
    <row r="235" spans="1:7" ht="17" x14ac:dyDescent="0.2">
      <c r="A235" s="110" t="s">
        <v>202</v>
      </c>
      <c r="B235" s="114">
        <f t="shared" ref="B235:F236" si="67">B$225/C227</f>
        <v>6.469888317458385</v>
      </c>
      <c r="C235" s="114">
        <f t="shared" si="67"/>
        <v>7.2477656819890299</v>
      </c>
      <c r="D235" s="114">
        <f t="shared" si="67"/>
        <v>6.9990399385560673</v>
      </c>
      <c r="E235" s="114">
        <f t="shared" si="67"/>
        <v>12.952436723274124</v>
      </c>
      <c r="F235" s="114">
        <f t="shared" si="67"/>
        <v>12.471480144404332</v>
      </c>
      <c r="G235" s="114"/>
    </row>
    <row r="236" spans="1:7" ht="34" x14ac:dyDescent="0.2">
      <c r="A236" s="110" t="s">
        <v>208</v>
      </c>
      <c r="B236" s="114">
        <f t="shared" si="67"/>
        <v>6.1507550772435344</v>
      </c>
      <c r="C236" s="114">
        <f t="shared" si="67"/>
        <v>6.8920070953906434</v>
      </c>
      <c r="D236" s="114">
        <f t="shared" si="67"/>
        <v>6.5709049393101795</v>
      </c>
      <c r="E236" s="114">
        <f t="shared" si="67"/>
        <v>10.762069524787803</v>
      </c>
      <c r="F236" s="114">
        <f t="shared" si="67"/>
        <v>9.3555400804704423</v>
      </c>
      <c r="G236" s="114"/>
    </row>
    <row r="237" spans="1:7" ht="34" x14ac:dyDescent="0.2">
      <c r="A237" s="110" t="s">
        <v>209</v>
      </c>
      <c r="B237" s="114">
        <f>B225/C229</f>
        <v>11.543435769356064</v>
      </c>
      <c r="C237" s="114">
        <f t="shared" ref="C237:F237" si="68">C225/D229</f>
        <v>10.223382947806622</v>
      </c>
      <c r="D237" s="114">
        <f t="shared" si="68"/>
        <v>23.920594990703272</v>
      </c>
      <c r="E237" s="114">
        <f t="shared" si="68"/>
        <v>-18.338645785352373</v>
      </c>
      <c r="F237" s="114">
        <f t="shared" si="68"/>
        <v>-7.8539136083143877</v>
      </c>
      <c r="G237" s="114"/>
    </row>
    <row r="238" spans="1:7" ht="17" x14ac:dyDescent="0.2">
      <c r="A238" s="110" t="s">
        <v>203</v>
      </c>
      <c r="B238" s="114">
        <f>B$225/B227</f>
        <v>6.5617419215456314</v>
      </c>
      <c r="C238" s="114">
        <f t="shared" ref="C238:G238" si="69">C$225/C227</f>
        <v>7.9217917896594745</v>
      </c>
      <c r="D238" s="114">
        <f t="shared" si="69"/>
        <v>6.089205668624885</v>
      </c>
      <c r="E238" s="114">
        <f t="shared" si="69"/>
        <v>6.3705197132616487</v>
      </c>
      <c r="F238" s="114">
        <f t="shared" si="69"/>
        <v>7.8672002082113348</v>
      </c>
      <c r="G238" s="114">
        <f t="shared" si="69"/>
        <v>24.221970087674059</v>
      </c>
    </row>
    <row r="239" spans="1:7" ht="34" x14ac:dyDescent="0.2">
      <c r="A239" s="110" t="s">
        <v>208</v>
      </c>
      <c r="B239" s="114">
        <f>B$225/B228</f>
        <v>6.2629098300291632</v>
      </c>
      <c r="C239" s="114">
        <f t="shared" ref="C239:G239" si="70">C$225/C228</f>
        <v>7.5310420644564022</v>
      </c>
      <c r="D239" s="114">
        <f t="shared" si="70"/>
        <v>5.7903153212782295</v>
      </c>
      <c r="E239" s="114">
        <f t="shared" si="70"/>
        <v>5.9808316308136042</v>
      </c>
      <c r="F239" s="114">
        <f t="shared" si="70"/>
        <v>6.536789749689139</v>
      </c>
      <c r="G239" s="114">
        <f t="shared" si="70"/>
        <v>18.170225936242648</v>
      </c>
    </row>
    <row r="240" spans="1:7" ht="34" x14ac:dyDescent="0.2">
      <c r="A240" s="110" t="s">
        <v>209</v>
      </c>
      <c r="B240" s="114">
        <f>B225/B229</f>
        <v>12.61313478879924</v>
      </c>
      <c r="C240" s="114">
        <f t="shared" ref="C240:G240" si="71">C225/C229</f>
        <v>14.133890759040069</v>
      </c>
      <c r="D240" s="114">
        <f t="shared" si="71"/>
        <v>8.5891685975729484</v>
      </c>
      <c r="E240" s="114">
        <f t="shared" si="71"/>
        <v>21.77250355463196</v>
      </c>
      <c r="F240" s="114">
        <f t="shared" si="71"/>
        <v>-11.13873790879779</v>
      </c>
      <c r="G240" s="114">
        <f t="shared" si="71"/>
        <v>-15.253783696005197</v>
      </c>
    </row>
    <row r="241" spans="1:7" ht="17" x14ac:dyDescent="0.2">
      <c r="A241" s="110" t="s">
        <v>204</v>
      </c>
      <c r="B241" s="115">
        <f>B225/B226</f>
        <v>2.4961783663837132</v>
      </c>
      <c r="C241" s="115">
        <f t="shared" ref="C241:G241" si="72">C225/C226</f>
        <v>2.7656333000446209</v>
      </c>
      <c r="D241" s="115">
        <f t="shared" si="72"/>
        <v>2.3293854510597507</v>
      </c>
      <c r="E241" s="115">
        <f t="shared" si="72"/>
        <v>2.0048745606349017</v>
      </c>
      <c r="F241" s="115">
        <f t="shared" si="72"/>
        <v>1.0450569586336842</v>
      </c>
      <c r="G241" s="115">
        <f t="shared" si="72"/>
        <v>1.7702327825352793</v>
      </c>
    </row>
    <row r="242" spans="1:7" ht="17" x14ac:dyDescent="0.2">
      <c r="A242" s="107" t="s">
        <v>205</v>
      </c>
      <c r="B242" s="99">
        <f>B129/B222</f>
        <v>6.7595396180984577E-2</v>
      </c>
      <c r="C242" s="99">
        <f t="shared" ref="C242:G242" si="73">C129/C222</f>
        <v>6.3089649005141968E-2</v>
      </c>
      <c r="D242" s="99">
        <f t="shared" si="73"/>
        <v>9.9834593572778838E-2</v>
      </c>
      <c r="E242" s="99">
        <f t="shared" si="73"/>
        <v>5.4620008149959244E-2</v>
      </c>
      <c r="F242" s="99">
        <f t="shared" si="73"/>
        <v>-8.7790816992854348E-2</v>
      </c>
      <c r="G242" s="99">
        <f t="shared" si="73"/>
        <v>-6.7801519468186133E-2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Assumptions</vt:lpstr>
      <vt:lpstr>Balance Sheet</vt:lpstr>
      <vt:lpstr>Statement of Cashflow</vt:lpstr>
      <vt:lpstr>Statement of Operations</vt:lpstr>
      <vt:lpstr>Valuation &amp; 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Janc, Maja</cp:lastModifiedBy>
  <dcterms:created xsi:type="dcterms:W3CDTF">2024-06-13T16:40:50Z</dcterms:created>
  <dcterms:modified xsi:type="dcterms:W3CDTF">2024-08-17T23:39:10Z</dcterms:modified>
</cp:coreProperties>
</file>