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736EF8E4-04F5-C64C-8AD0-2AFAC41D349B}" xr6:coauthVersionLast="47" xr6:coauthVersionMax="47" xr10:uidLastSave="{00000000-0000-0000-0000-000000000000}"/>
  <bookViews>
    <workbookView xWindow="1460" yWindow="500" windowWidth="26200" windowHeight="16080" activeTab="5" xr2:uid="{32E5710E-198D-A547-AA57-76A9CB985407}"/>
  </bookViews>
  <sheets>
    <sheet name="ROIC Calculation" sheetId="1" r:id="rId1"/>
    <sheet name="Forecasted Statements Combined" sheetId="5" r:id="rId2"/>
    <sheet name="Cash Flow Condensed" sheetId="9" r:id="rId3"/>
    <sheet name="Statement of Cash Flow" sheetId="8" r:id="rId4"/>
    <sheet name="Balance Sheet" sheetId="2" r:id="rId5"/>
    <sheet name="Income Statement Yearly" sheetId="3" r:id="rId6"/>
    <sheet name="Income Statement Quarterly In %" sheetId="6" r:id="rId7"/>
    <sheet name="Cost of Capita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G106" i="5"/>
  <c r="H106" i="5"/>
  <c r="I106" i="5"/>
  <c r="G80" i="5"/>
  <c r="H80" i="5"/>
  <c r="I80" i="5"/>
  <c r="F80" i="5"/>
  <c r="F79" i="5"/>
  <c r="F65" i="5"/>
  <c r="I48" i="5"/>
  <c r="H48" i="5"/>
  <c r="G48" i="5"/>
  <c r="H35" i="1"/>
  <c r="I35" i="1" s="1"/>
  <c r="J35" i="1" s="1"/>
  <c r="K35" i="1" s="1"/>
  <c r="B77" i="1"/>
  <c r="B58" i="1"/>
  <c r="I99" i="5"/>
  <c r="H99" i="5"/>
  <c r="G99" i="5"/>
  <c r="F99" i="5"/>
  <c r="F82" i="5" s="1"/>
  <c r="G82" i="5" l="1"/>
  <c r="H82" i="5"/>
  <c r="I37" i="1"/>
  <c r="I39" i="1" s="1"/>
  <c r="J37" i="1"/>
  <c r="J39" i="1" s="1"/>
  <c r="K37" i="1"/>
  <c r="K39" i="1" s="1"/>
  <c r="H37" i="1"/>
  <c r="H39" i="1" s="1"/>
  <c r="K22" i="1"/>
  <c r="K21" i="1"/>
  <c r="K16" i="1"/>
  <c r="K15" i="1"/>
  <c r="J22" i="1"/>
  <c r="J21" i="1"/>
  <c r="J16" i="1"/>
  <c r="J15" i="1"/>
  <c r="E40" i="1"/>
  <c r="F40" i="1"/>
  <c r="G40" i="1"/>
  <c r="D40" i="1"/>
  <c r="B62" i="1"/>
  <c r="I82" i="5"/>
  <c r="D52" i="1"/>
  <c r="E52" i="1"/>
  <c r="H79" i="5"/>
  <c r="I79" i="5"/>
  <c r="H108" i="5"/>
  <c r="J23" i="1" s="1"/>
  <c r="I108" i="5"/>
  <c r="K23" i="1" s="1"/>
  <c r="H109" i="5"/>
  <c r="J24" i="1" s="1"/>
  <c r="I109" i="5"/>
  <c r="K24" i="1" s="1"/>
  <c r="H68" i="5"/>
  <c r="I68" i="5"/>
  <c r="K45" i="5"/>
  <c r="L45" i="5"/>
  <c r="M45" i="5"/>
  <c r="O45" i="5"/>
  <c r="Q45" i="5"/>
  <c r="R45" i="5"/>
  <c r="S45" i="5"/>
  <c r="U45" i="5"/>
  <c r="W45" i="5"/>
  <c r="X45" i="5"/>
  <c r="Y45" i="5"/>
  <c r="AA45" i="5"/>
  <c r="AC45" i="5"/>
  <c r="AD45" i="5"/>
  <c r="AE45" i="5"/>
  <c r="AG45" i="5"/>
  <c r="I49" i="5"/>
  <c r="H49" i="5"/>
  <c r="I42" i="5"/>
  <c r="H42" i="5"/>
  <c r="C42" i="1"/>
  <c r="B42" i="1"/>
  <c r="C39" i="1"/>
  <c r="D39" i="1"/>
  <c r="E39" i="1"/>
  <c r="F39" i="1"/>
  <c r="G39" i="1"/>
  <c r="B39" i="1"/>
  <c r="G49" i="1"/>
  <c r="B55" i="1" s="1"/>
  <c r="D55" i="1" l="1"/>
  <c r="E55" i="1"/>
  <c r="C55" i="1"/>
  <c r="F55" i="1"/>
  <c r="B8" i="4"/>
  <c r="C52" i="1"/>
  <c r="B52" i="1"/>
  <c r="D86" i="5"/>
  <c r="E86" i="5"/>
  <c r="F86" i="5"/>
  <c r="C86" i="5"/>
  <c r="G109" i="5"/>
  <c r="I24" i="1" s="1"/>
  <c r="G108" i="5"/>
  <c r="I23" i="1" s="1"/>
  <c r="G107" i="5"/>
  <c r="I22" i="1" s="1"/>
  <c r="I15" i="1"/>
  <c r="AK7" i="5"/>
  <c r="AK31" i="5" s="1"/>
  <c r="AJ7" i="5"/>
  <c r="AJ8" i="5" s="1"/>
  <c r="G42" i="5"/>
  <c r="G49" i="5"/>
  <c r="D24" i="1"/>
  <c r="E24" i="1"/>
  <c r="F24" i="1"/>
  <c r="G24" i="1"/>
  <c r="E23" i="1"/>
  <c r="F23" i="1"/>
  <c r="G23" i="1"/>
  <c r="D23" i="1"/>
  <c r="E22" i="1"/>
  <c r="F22" i="1"/>
  <c r="G22" i="1"/>
  <c r="D22" i="1"/>
  <c r="E21" i="1"/>
  <c r="F21" i="1"/>
  <c r="G21" i="1"/>
  <c r="D21" i="1"/>
  <c r="E20" i="1"/>
  <c r="F20" i="1"/>
  <c r="G20" i="1"/>
  <c r="D20" i="1"/>
  <c r="E19" i="1"/>
  <c r="F19" i="1"/>
  <c r="G19" i="1"/>
  <c r="D19" i="1"/>
  <c r="E16" i="1"/>
  <c r="F16" i="1"/>
  <c r="G16" i="1"/>
  <c r="D16" i="1"/>
  <c r="E15" i="1"/>
  <c r="F15" i="1"/>
  <c r="G15" i="1"/>
  <c r="D15" i="1"/>
  <c r="E14" i="1"/>
  <c r="F14" i="1"/>
  <c r="G14" i="1"/>
  <c r="D14" i="1"/>
  <c r="F108" i="5"/>
  <c r="H23" i="1" s="1"/>
  <c r="F109" i="5"/>
  <c r="H24" i="1" s="1"/>
  <c r="I21" i="1"/>
  <c r="F107" i="5"/>
  <c r="H22" i="1" s="1"/>
  <c r="F106" i="5"/>
  <c r="H21" i="1" s="1"/>
  <c r="F104" i="5"/>
  <c r="H15" i="1"/>
  <c r="B65" i="5"/>
  <c r="C65" i="5"/>
  <c r="D65" i="5"/>
  <c r="E65" i="5"/>
  <c r="B50" i="1"/>
  <c r="B66" i="5"/>
  <c r="C66" i="5"/>
  <c r="D66" i="5"/>
  <c r="E66" i="5"/>
  <c r="B67" i="5"/>
  <c r="C67" i="5"/>
  <c r="D67" i="5"/>
  <c r="E67" i="5"/>
  <c r="B68" i="5"/>
  <c r="C68" i="5"/>
  <c r="D68" i="5"/>
  <c r="E68" i="5"/>
  <c r="F68" i="5"/>
  <c r="G68" i="5"/>
  <c r="B69" i="5"/>
  <c r="C69" i="5"/>
  <c r="D69" i="5"/>
  <c r="E69" i="5"/>
  <c r="B72" i="5"/>
  <c r="C72" i="5"/>
  <c r="D72" i="5"/>
  <c r="E72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G79" i="5"/>
  <c r="B81" i="5"/>
  <c r="C81" i="5"/>
  <c r="D81" i="5"/>
  <c r="E81" i="5"/>
  <c r="B82" i="5"/>
  <c r="C82" i="5"/>
  <c r="D82" i="5"/>
  <c r="E82" i="5"/>
  <c r="B83" i="5"/>
  <c r="C83" i="5"/>
  <c r="D83" i="5"/>
  <c r="E83" i="5"/>
  <c r="B86" i="5"/>
  <c r="C125" i="5"/>
  <c r="E117" i="5"/>
  <c r="E121" i="5" s="1"/>
  <c r="E125" i="5" s="1"/>
  <c r="D117" i="5"/>
  <c r="D121" i="5" s="1"/>
  <c r="D125" i="5" s="1"/>
  <c r="C117" i="5"/>
  <c r="E13" i="1" s="1"/>
  <c r="B117" i="5"/>
  <c r="B121" i="5" s="1"/>
  <c r="B125" i="5" s="1"/>
  <c r="E103" i="5"/>
  <c r="E110" i="5" s="1"/>
  <c r="D103" i="5"/>
  <c r="D110" i="5" s="1"/>
  <c r="C103" i="5"/>
  <c r="C110" i="5" s="1"/>
  <c r="B103" i="5"/>
  <c r="B110" i="5" s="1"/>
  <c r="B8" i="5"/>
  <c r="B11" i="5"/>
  <c r="C11" i="5"/>
  <c r="D11" i="5"/>
  <c r="E11" i="5"/>
  <c r="B14" i="5"/>
  <c r="C14" i="5"/>
  <c r="D14" i="5"/>
  <c r="E14" i="5"/>
  <c r="B17" i="5"/>
  <c r="C17" i="5"/>
  <c r="D17" i="5"/>
  <c r="E17" i="5"/>
  <c r="B20" i="5"/>
  <c r="C20" i="5"/>
  <c r="D20" i="5"/>
  <c r="E20" i="5"/>
  <c r="B23" i="5"/>
  <c r="C23" i="5"/>
  <c r="D23" i="5"/>
  <c r="E23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6" i="5"/>
  <c r="C36" i="5"/>
  <c r="D36" i="5"/>
  <c r="E36" i="5"/>
  <c r="B37" i="5"/>
  <c r="C37" i="5"/>
  <c r="D37" i="5"/>
  <c r="E37" i="5"/>
  <c r="F38" i="5"/>
  <c r="B40" i="5"/>
  <c r="C40" i="5"/>
  <c r="D40" i="5"/>
  <c r="E40" i="5"/>
  <c r="B41" i="5"/>
  <c r="C41" i="5"/>
  <c r="D41" i="5"/>
  <c r="E41" i="5"/>
  <c r="B42" i="5"/>
  <c r="C42" i="5"/>
  <c r="D42" i="5"/>
  <c r="E42" i="5"/>
  <c r="F42" i="5"/>
  <c r="B43" i="5"/>
  <c r="C43" i="5"/>
  <c r="D43" i="5"/>
  <c r="E43" i="5"/>
  <c r="B44" i="5"/>
  <c r="D42" i="1" s="1"/>
  <c r="C44" i="5"/>
  <c r="D44" i="5"/>
  <c r="E44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F53" i="5"/>
  <c r="H8" i="1" s="1"/>
  <c r="B54" i="5"/>
  <c r="D7" i="8" s="1"/>
  <c r="C54" i="5"/>
  <c r="E7" i="8" s="1"/>
  <c r="D54" i="5"/>
  <c r="F7" i="8" s="1"/>
  <c r="E54" i="5"/>
  <c r="G7" i="8" s="1"/>
  <c r="B55" i="5"/>
  <c r="E7" i="5"/>
  <c r="D7" i="5"/>
  <c r="C7" i="5"/>
  <c r="B7" i="5"/>
  <c r="AM47" i="5"/>
  <c r="AJ47" i="5" s="1"/>
  <c r="AM48" i="5"/>
  <c r="AL48" i="5" s="1"/>
  <c r="AI40" i="5"/>
  <c r="AI41" i="5" s="1"/>
  <c r="AM43" i="5"/>
  <c r="L26" i="5"/>
  <c r="M26" i="5"/>
  <c r="O26" i="5"/>
  <c r="B26" i="5" s="1"/>
  <c r="Q26" i="5"/>
  <c r="R26" i="5"/>
  <c r="S26" i="5"/>
  <c r="U26" i="5"/>
  <c r="C26" i="5" s="1"/>
  <c r="W26" i="5"/>
  <c r="X26" i="5"/>
  <c r="Y26" i="5"/>
  <c r="AA26" i="5"/>
  <c r="D26" i="5" s="1"/>
  <c r="AC26" i="5"/>
  <c r="AD26" i="5"/>
  <c r="AE26" i="5"/>
  <c r="AG26" i="5"/>
  <c r="E26" i="5" s="1"/>
  <c r="K26" i="5"/>
  <c r="L53" i="5"/>
  <c r="M53" i="5"/>
  <c r="O53" i="5"/>
  <c r="B53" i="5" s="1"/>
  <c r="D8" i="1" s="1"/>
  <c r="Q53" i="5"/>
  <c r="R53" i="5"/>
  <c r="S53" i="5"/>
  <c r="U53" i="5"/>
  <c r="C53" i="5" s="1"/>
  <c r="E8" i="1" s="1"/>
  <c r="W53" i="5"/>
  <c r="X53" i="5"/>
  <c r="Y53" i="5"/>
  <c r="AA53" i="5"/>
  <c r="D53" i="5" s="1"/>
  <c r="F8" i="1" s="1"/>
  <c r="AC53" i="5"/>
  <c r="AD53" i="5"/>
  <c r="AE53" i="5"/>
  <c r="AG53" i="5"/>
  <c r="E53" i="5" s="1"/>
  <c r="G8" i="1" s="1"/>
  <c r="K53" i="5"/>
  <c r="AI38" i="5"/>
  <c r="L38" i="5"/>
  <c r="M38" i="5"/>
  <c r="O38" i="5"/>
  <c r="B38" i="5" s="1"/>
  <c r="Q38" i="5"/>
  <c r="R38" i="5"/>
  <c r="S38" i="5"/>
  <c r="U38" i="5"/>
  <c r="C38" i="5" s="1"/>
  <c r="W38" i="5"/>
  <c r="X38" i="5"/>
  <c r="Y38" i="5"/>
  <c r="AA38" i="5"/>
  <c r="D38" i="5" s="1"/>
  <c r="AC38" i="5"/>
  <c r="AD38" i="5"/>
  <c r="AE38" i="5"/>
  <c r="AG38" i="5"/>
  <c r="E38" i="5" s="1"/>
  <c r="K38" i="5"/>
  <c r="AI7" i="5"/>
  <c r="AI32" i="5" s="1"/>
  <c r="AG55" i="5"/>
  <c r="E55" i="5" s="1"/>
  <c r="AE55" i="5"/>
  <c r="AD55" i="5"/>
  <c r="AC55" i="5"/>
  <c r="AA55" i="5"/>
  <c r="D55" i="5" s="1"/>
  <c r="Y55" i="5"/>
  <c r="X55" i="5"/>
  <c r="W55" i="5"/>
  <c r="U55" i="5"/>
  <c r="C55" i="5" s="1"/>
  <c r="S55" i="5"/>
  <c r="R55" i="5"/>
  <c r="Q55" i="5"/>
  <c r="AG24" i="5"/>
  <c r="E24" i="5" s="1"/>
  <c r="AE24" i="5"/>
  <c r="AD24" i="5"/>
  <c r="AC24" i="5"/>
  <c r="AA24" i="5"/>
  <c r="D24" i="5" s="1"/>
  <c r="Y24" i="5"/>
  <c r="X24" i="5"/>
  <c r="W24" i="5"/>
  <c r="U24" i="5"/>
  <c r="C24" i="5" s="1"/>
  <c r="S24" i="5"/>
  <c r="R24" i="5"/>
  <c r="Q24" i="5"/>
  <c r="AG21" i="5"/>
  <c r="E21" i="5" s="1"/>
  <c r="AE21" i="5"/>
  <c r="AD21" i="5"/>
  <c r="AC21" i="5"/>
  <c r="AA21" i="5"/>
  <c r="D21" i="5" s="1"/>
  <c r="Y21" i="5"/>
  <c r="X21" i="5"/>
  <c r="W21" i="5"/>
  <c r="U21" i="5"/>
  <c r="C21" i="5" s="1"/>
  <c r="S21" i="5"/>
  <c r="R21" i="5"/>
  <c r="Q21" i="5"/>
  <c r="AG18" i="5"/>
  <c r="E18" i="5" s="1"/>
  <c r="AE18" i="5"/>
  <c r="AD18" i="5"/>
  <c r="AC18" i="5"/>
  <c r="AA18" i="5"/>
  <c r="D18" i="5" s="1"/>
  <c r="Y18" i="5"/>
  <c r="X18" i="5"/>
  <c r="W18" i="5"/>
  <c r="U18" i="5"/>
  <c r="C18" i="5" s="1"/>
  <c r="S18" i="5"/>
  <c r="R18" i="5"/>
  <c r="Q18" i="5"/>
  <c r="AG15" i="5"/>
  <c r="E15" i="5" s="1"/>
  <c r="AE15" i="5"/>
  <c r="AD15" i="5"/>
  <c r="AC15" i="5"/>
  <c r="AA15" i="5"/>
  <c r="D15" i="5" s="1"/>
  <c r="Y15" i="5"/>
  <c r="X15" i="5"/>
  <c r="W15" i="5"/>
  <c r="U15" i="5"/>
  <c r="C15" i="5" s="1"/>
  <c r="S15" i="5"/>
  <c r="R15" i="5"/>
  <c r="Q15" i="5"/>
  <c r="AG12" i="5"/>
  <c r="E12" i="5" s="1"/>
  <c r="AE12" i="5"/>
  <c r="AD12" i="5"/>
  <c r="AC12" i="5"/>
  <c r="AA12" i="5"/>
  <c r="D12" i="5" s="1"/>
  <c r="Y12" i="5"/>
  <c r="X12" i="5"/>
  <c r="W12" i="5"/>
  <c r="U12" i="5"/>
  <c r="C12" i="5" s="1"/>
  <c r="S12" i="5"/>
  <c r="R12" i="5"/>
  <c r="Q12" i="5"/>
  <c r="N14" i="5"/>
  <c r="T14" i="5"/>
  <c r="Z14" i="5"/>
  <c r="AF14" i="5"/>
  <c r="W8" i="5"/>
  <c r="X8" i="5"/>
  <c r="Y8" i="5"/>
  <c r="AA8" i="5"/>
  <c r="D8" i="5" s="1"/>
  <c r="AC8" i="5"/>
  <c r="AD8" i="5"/>
  <c r="AE8" i="5"/>
  <c r="AG8" i="5"/>
  <c r="E8" i="5" s="1"/>
  <c r="R8" i="5"/>
  <c r="S8" i="5"/>
  <c r="U8" i="5"/>
  <c r="C8" i="5" s="1"/>
  <c r="Q8" i="5"/>
  <c r="D7" i="3"/>
  <c r="E7" i="3"/>
  <c r="F7" i="3"/>
  <c r="G7" i="3"/>
  <c r="C7" i="3"/>
  <c r="J6" i="3"/>
  <c r="K6" i="3"/>
  <c r="L6" i="3"/>
  <c r="M6" i="3"/>
  <c r="N6" i="3"/>
  <c r="O6" i="3"/>
  <c r="J8" i="3"/>
  <c r="K8" i="3"/>
  <c r="L8" i="3"/>
  <c r="M8" i="3"/>
  <c r="N8" i="3"/>
  <c r="O8" i="3"/>
  <c r="J9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21" i="3"/>
  <c r="K21" i="3"/>
  <c r="L21" i="3"/>
  <c r="M21" i="3"/>
  <c r="N21" i="3"/>
  <c r="O21" i="3"/>
  <c r="G34" i="9"/>
  <c r="F34" i="9"/>
  <c r="E34" i="9"/>
  <c r="D34" i="9"/>
  <c r="C34" i="9"/>
  <c r="B34" i="9"/>
  <c r="H19" i="1" l="1"/>
  <c r="G65" i="5"/>
  <c r="C50" i="1" s="1"/>
  <c r="G42" i="1"/>
  <c r="D45" i="5"/>
  <c r="F42" i="1"/>
  <c r="C45" i="5"/>
  <c r="E42" i="1"/>
  <c r="F43" i="5"/>
  <c r="G43" i="5" s="1"/>
  <c r="H43" i="5" s="1"/>
  <c r="I43" i="5" s="1"/>
  <c r="AN43" i="5"/>
  <c r="G6" i="1"/>
  <c r="E45" i="5"/>
  <c r="D6" i="1"/>
  <c r="B45" i="5"/>
  <c r="D13" i="1"/>
  <c r="E7" i="1"/>
  <c r="F7" i="1"/>
  <c r="G7" i="1"/>
  <c r="G104" i="5"/>
  <c r="I16" i="1"/>
  <c r="D7" i="1"/>
  <c r="E6" i="1"/>
  <c r="G12" i="1"/>
  <c r="F12" i="1"/>
  <c r="E12" i="1"/>
  <c r="D12" i="1"/>
  <c r="F6" i="1"/>
  <c r="F13" i="1"/>
  <c r="G13" i="1"/>
  <c r="H16" i="1"/>
  <c r="E64" i="5"/>
  <c r="E70" i="5" s="1"/>
  <c r="E73" i="5" s="1"/>
  <c r="E76" i="5" s="1"/>
  <c r="D64" i="5"/>
  <c r="D70" i="5" s="1"/>
  <c r="D73" i="5" s="1"/>
  <c r="D76" i="5" s="1"/>
  <c r="C64" i="5"/>
  <c r="C70" i="5" s="1"/>
  <c r="C73" i="5" s="1"/>
  <c r="C76" i="5" s="1"/>
  <c r="B64" i="5"/>
  <c r="B70" i="5" s="1"/>
  <c r="B73" i="5" s="1"/>
  <c r="B76" i="5" s="1"/>
  <c r="D6" i="9"/>
  <c r="G6" i="9"/>
  <c r="F6" i="9"/>
  <c r="E6" i="9"/>
  <c r="F47" i="5"/>
  <c r="F48" i="5"/>
  <c r="AI47" i="5"/>
  <c r="AJ32" i="5"/>
  <c r="AJ43" i="5"/>
  <c r="AJ40" i="5" s="1"/>
  <c r="AI29" i="5"/>
  <c r="AJ31" i="5"/>
  <c r="AL47" i="5"/>
  <c r="AL50" i="5" s="1"/>
  <c r="AK47" i="5"/>
  <c r="AJ48" i="5"/>
  <c r="AJ50" i="5" s="1"/>
  <c r="AJ30" i="5"/>
  <c r="AK48" i="5"/>
  <c r="AK8" i="5"/>
  <c r="AI31" i="5"/>
  <c r="AI30" i="5"/>
  <c r="AI48" i="5"/>
  <c r="AK43" i="5"/>
  <c r="AK30" i="5"/>
  <c r="AK29" i="5"/>
  <c r="AK32" i="5"/>
  <c r="AJ29" i="5"/>
  <c r="AK17" i="5"/>
  <c r="AK18" i="5" s="1"/>
  <c r="AI11" i="5"/>
  <c r="AI17" i="5"/>
  <c r="AJ14" i="5"/>
  <c r="AJ15" i="5" s="1"/>
  <c r="AK37" i="5"/>
  <c r="AK36" i="5" s="1"/>
  <c r="AI23" i="5"/>
  <c r="AJ20" i="5"/>
  <c r="AJ21" i="5" s="1"/>
  <c r="AJ11" i="5"/>
  <c r="AK11" i="5"/>
  <c r="AK23" i="5"/>
  <c r="AK24" i="5" s="1"/>
  <c r="AI37" i="5"/>
  <c r="AI36" i="5" s="1"/>
  <c r="AI20" i="5"/>
  <c r="AJ37" i="5"/>
  <c r="AJ36" i="5" s="1"/>
  <c r="AJ23" i="5"/>
  <c r="AJ24" i="5" s="1"/>
  <c r="AJ17" i="5"/>
  <c r="AJ18" i="5" s="1"/>
  <c r="AK14" i="5"/>
  <c r="AK15" i="5" s="1"/>
  <c r="AK20" i="5"/>
  <c r="AK21" i="5" s="1"/>
  <c r="AI14" i="5"/>
  <c r="AI8" i="5"/>
  <c r="AF15" i="5"/>
  <c r="Z15" i="5"/>
  <c r="T15" i="5"/>
  <c r="AI49" i="5" l="1"/>
  <c r="AM49" i="5" s="1"/>
  <c r="F49" i="5" s="1"/>
  <c r="I19" i="1"/>
  <c r="H65" i="5"/>
  <c r="D50" i="1" s="1"/>
  <c r="H104" i="5"/>
  <c r="H40" i="5"/>
  <c r="G40" i="5"/>
  <c r="G41" i="5" s="1"/>
  <c r="H41" i="5"/>
  <c r="B84" i="5"/>
  <c r="B87" i="5" s="1"/>
  <c r="C84" i="5"/>
  <c r="C87" i="5" s="1"/>
  <c r="E84" i="5"/>
  <c r="E87" i="5" s="1"/>
  <c r="D84" i="5"/>
  <c r="D87" i="5" s="1"/>
  <c r="AJ41" i="5"/>
  <c r="AJ44" i="5"/>
  <c r="AI34" i="5"/>
  <c r="AK50" i="5"/>
  <c r="AM50" i="5" s="1"/>
  <c r="F50" i="5" s="1"/>
  <c r="AL43" i="5"/>
  <c r="AL40" i="5" s="1"/>
  <c r="AL41" i="5" s="1"/>
  <c r="AK44" i="5"/>
  <c r="AK45" i="5" s="1"/>
  <c r="AK40" i="5"/>
  <c r="AJ12" i="5"/>
  <c r="AJ26" i="5"/>
  <c r="AI24" i="5"/>
  <c r="AI18" i="5"/>
  <c r="AK34" i="5"/>
  <c r="AI21" i="5"/>
  <c r="AI15" i="5"/>
  <c r="AJ34" i="5"/>
  <c r="AI26" i="5"/>
  <c r="AI12" i="5"/>
  <c r="AK12" i="5"/>
  <c r="AK26" i="5"/>
  <c r="AI44" i="5"/>
  <c r="AI45" i="5" s="1"/>
  <c r="J19" i="1" l="1"/>
  <c r="I104" i="5"/>
  <c r="K19" i="1" s="1"/>
  <c r="I65" i="5"/>
  <c r="E50" i="1" s="1"/>
  <c r="AJ51" i="5"/>
  <c r="AJ52" i="5" s="1"/>
  <c r="AJ54" i="5" s="1"/>
  <c r="AJ55" i="5" s="1"/>
  <c r="AJ45" i="5"/>
  <c r="I40" i="5"/>
  <c r="I41" i="5" s="1"/>
  <c r="AM40" i="5"/>
  <c r="F40" i="5" s="1"/>
  <c r="AK51" i="5"/>
  <c r="AK52" i="5" s="1"/>
  <c r="AK54" i="5" s="1"/>
  <c r="AK41" i="5"/>
  <c r="AK55" i="5"/>
  <c r="AI51" i="5"/>
  <c r="C40" i="1"/>
  <c r="B40" i="1"/>
  <c r="E41" i="1"/>
  <c r="B27" i="9"/>
  <c r="C27" i="9"/>
  <c r="D27" i="9"/>
  <c r="E27" i="9"/>
  <c r="F27" i="9"/>
  <c r="G11" i="9"/>
  <c r="G27" i="9"/>
  <c r="B24" i="9"/>
  <c r="C24" i="9"/>
  <c r="D24" i="9"/>
  <c r="E24" i="9"/>
  <c r="F24" i="9"/>
  <c r="G24" i="9"/>
  <c r="B23" i="9"/>
  <c r="C23" i="9"/>
  <c r="D23" i="9"/>
  <c r="E23" i="9"/>
  <c r="F23" i="9"/>
  <c r="G23" i="9"/>
  <c r="B22" i="9"/>
  <c r="C22" i="9"/>
  <c r="D22" i="9"/>
  <c r="E22" i="9"/>
  <c r="F22" i="9"/>
  <c r="G22" i="9"/>
  <c r="B20" i="9"/>
  <c r="C20" i="9"/>
  <c r="D20" i="9"/>
  <c r="E20" i="9"/>
  <c r="F20" i="9"/>
  <c r="G20" i="9"/>
  <c r="B19" i="9"/>
  <c r="C19" i="9"/>
  <c r="D19" i="9"/>
  <c r="E19" i="9"/>
  <c r="F19" i="9"/>
  <c r="G19" i="9"/>
  <c r="B7" i="9"/>
  <c r="B8" i="9"/>
  <c r="B9" i="9"/>
  <c r="B10" i="9"/>
  <c r="B11" i="9"/>
  <c r="B14" i="9"/>
  <c r="C7" i="9"/>
  <c r="C8" i="9"/>
  <c r="C9" i="9"/>
  <c r="C10" i="9"/>
  <c r="C11" i="9"/>
  <c r="C14" i="9"/>
  <c r="D7" i="9"/>
  <c r="D8" i="9"/>
  <c r="D9" i="9"/>
  <c r="D10" i="9"/>
  <c r="D11" i="9"/>
  <c r="D14" i="9"/>
  <c r="E7" i="9"/>
  <c r="E8" i="9"/>
  <c r="E9" i="9"/>
  <c r="E10" i="9"/>
  <c r="E11" i="9"/>
  <c r="E14" i="9"/>
  <c r="F7" i="9"/>
  <c r="F8" i="9"/>
  <c r="F9" i="9"/>
  <c r="F10" i="9"/>
  <c r="F11" i="9"/>
  <c r="F14" i="9"/>
  <c r="G7" i="9"/>
  <c r="G8" i="9"/>
  <c r="G9" i="9"/>
  <c r="G10" i="9"/>
  <c r="G14" i="9"/>
  <c r="E14" i="4"/>
  <c r="G26" i="3" s="1"/>
  <c r="C21" i="9"/>
  <c r="D21" i="9"/>
  <c r="E21" i="9"/>
  <c r="F21" i="9"/>
  <c r="G21" i="9"/>
  <c r="B21" i="9"/>
  <c r="C18" i="9"/>
  <c r="D18" i="9"/>
  <c r="E18" i="9"/>
  <c r="F18" i="9"/>
  <c r="G18" i="9"/>
  <c r="B18" i="9"/>
  <c r="B44" i="8"/>
  <c r="C44" i="8"/>
  <c r="D44" i="8"/>
  <c r="E44" i="8"/>
  <c r="B33" i="8"/>
  <c r="C33" i="8"/>
  <c r="D33" i="8"/>
  <c r="E33" i="8"/>
  <c r="C47" i="8"/>
  <c r="D47" i="8"/>
  <c r="E47" i="8"/>
  <c r="F47" i="8"/>
  <c r="F44" i="8"/>
  <c r="F33" i="8"/>
  <c r="G47" i="8"/>
  <c r="G33" i="8"/>
  <c r="G44" i="8"/>
  <c r="E5" i="4"/>
  <c r="B4" i="4"/>
  <c r="B13" i="4"/>
  <c r="X39" i="6"/>
  <c r="V39" i="6"/>
  <c r="U39" i="6"/>
  <c r="T39" i="6"/>
  <c r="R39" i="6"/>
  <c r="P39" i="6"/>
  <c r="O39" i="6"/>
  <c r="N39" i="6"/>
  <c r="L39" i="6"/>
  <c r="J39" i="6"/>
  <c r="I39" i="6"/>
  <c r="H39" i="6"/>
  <c r="C39" i="6"/>
  <c r="D39" i="6"/>
  <c r="F39" i="6"/>
  <c r="B39" i="6"/>
  <c r="X36" i="6"/>
  <c r="V36" i="6"/>
  <c r="U36" i="6"/>
  <c r="T36" i="6"/>
  <c r="R36" i="6"/>
  <c r="P36" i="6"/>
  <c r="O36" i="6"/>
  <c r="N36" i="6"/>
  <c r="L36" i="6"/>
  <c r="J36" i="6"/>
  <c r="I36" i="6"/>
  <c r="H36" i="6"/>
  <c r="C36" i="6"/>
  <c r="D36" i="6"/>
  <c r="F36" i="6"/>
  <c r="B36" i="6"/>
  <c r="X35" i="6"/>
  <c r="V35" i="6"/>
  <c r="U35" i="6"/>
  <c r="T35" i="6"/>
  <c r="R35" i="6"/>
  <c r="P35" i="6"/>
  <c r="O35" i="6"/>
  <c r="N35" i="6"/>
  <c r="L35" i="6"/>
  <c r="J35" i="6"/>
  <c r="I35" i="6"/>
  <c r="H35" i="6"/>
  <c r="X37" i="6"/>
  <c r="V37" i="6"/>
  <c r="U37" i="6"/>
  <c r="T37" i="6"/>
  <c r="R37" i="6"/>
  <c r="P37" i="6"/>
  <c r="O37" i="6"/>
  <c r="N37" i="6"/>
  <c r="L37" i="6"/>
  <c r="J37" i="6"/>
  <c r="I37" i="6"/>
  <c r="H37" i="6"/>
  <c r="C37" i="6"/>
  <c r="D37" i="6"/>
  <c r="F37" i="6"/>
  <c r="B37" i="6"/>
  <c r="C35" i="6"/>
  <c r="D35" i="6"/>
  <c r="F35" i="6"/>
  <c r="B35" i="6"/>
  <c r="B11" i="6"/>
  <c r="C11" i="6"/>
  <c r="D11" i="6"/>
  <c r="F11" i="6"/>
  <c r="H11" i="6"/>
  <c r="I11" i="6"/>
  <c r="J11" i="6"/>
  <c r="L11" i="6"/>
  <c r="N11" i="6"/>
  <c r="O11" i="6"/>
  <c r="P11" i="6"/>
  <c r="R11" i="6"/>
  <c r="T11" i="6"/>
  <c r="U11" i="6"/>
  <c r="V11" i="6"/>
  <c r="X11" i="6"/>
  <c r="B12" i="6"/>
  <c r="C12" i="6"/>
  <c r="D12" i="6"/>
  <c r="F12" i="6"/>
  <c r="H12" i="6"/>
  <c r="I12" i="6"/>
  <c r="J12" i="6"/>
  <c r="L12" i="6"/>
  <c r="N12" i="6"/>
  <c r="O12" i="6"/>
  <c r="P12" i="6"/>
  <c r="R12" i="6"/>
  <c r="T12" i="6"/>
  <c r="U12" i="6"/>
  <c r="V12" i="6"/>
  <c r="X12" i="6"/>
  <c r="B13" i="6"/>
  <c r="C13" i="6"/>
  <c r="D13" i="6"/>
  <c r="F13" i="6"/>
  <c r="H13" i="6"/>
  <c r="I13" i="6"/>
  <c r="J13" i="6"/>
  <c r="L13" i="6"/>
  <c r="N13" i="6"/>
  <c r="O13" i="6"/>
  <c r="P13" i="6"/>
  <c r="R13" i="6"/>
  <c r="T13" i="6"/>
  <c r="U13" i="6"/>
  <c r="V13" i="6"/>
  <c r="X13" i="6"/>
  <c r="B14" i="6"/>
  <c r="C14" i="6"/>
  <c r="D14" i="6"/>
  <c r="F14" i="6"/>
  <c r="H14" i="6"/>
  <c r="I14" i="6"/>
  <c r="J14" i="6"/>
  <c r="L14" i="6"/>
  <c r="N14" i="6"/>
  <c r="O14" i="6"/>
  <c r="P14" i="6"/>
  <c r="R14" i="6"/>
  <c r="T14" i="6"/>
  <c r="U14" i="6"/>
  <c r="V14" i="6"/>
  <c r="X14" i="6"/>
  <c r="B19" i="6"/>
  <c r="C19" i="6"/>
  <c r="D19" i="6"/>
  <c r="F19" i="6"/>
  <c r="H19" i="6"/>
  <c r="I19" i="6"/>
  <c r="J19" i="6"/>
  <c r="L19" i="6"/>
  <c r="N19" i="6"/>
  <c r="O19" i="6"/>
  <c r="P19" i="6"/>
  <c r="R19" i="6"/>
  <c r="T19" i="6"/>
  <c r="U19" i="6"/>
  <c r="V19" i="6"/>
  <c r="X19" i="6"/>
  <c r="B20" i="6"/>
  <c r="C20" i="6"/>
  <c r="D20" i="6"/>
  <c r="F20" i="6"/>
  <c r="H20" i="6"/>
  <c r="I20" i="6"/>
  <c r="J20" i="6"/>
  <c r="L20" i="6"/>
  <c r="N20" i="6"/>
  <c r="O20" i="6"/>
  <c r="P20" i="6"/>
  <c r="R20" i="6"/>
  <c r="T20" i="6"/>
  <c r="U20" i="6"/>
  <c r="V20" i="6"/>
  <c r="X20" i="6"/>
  <c r="B21" i="6"/>
  <c r="C21" i="6"/>
  <c r="D21" i="6"/>
  <c r="F21" i="6"/>
  <c r="H21" i="6"/>
  <c r="I21" i="6"/>
  <c r="J21" i="6"/>
  <c r="L21" i="6"/>
  <c r="N21" i="6"/>
  <c r="O21" i="6"/>
  <c r="P21" i="6"/>
  <c r="R21" i="6"/>
  <c r="T21" i="6"/>
  <c r="U21" i="6"/>
  <c r="V21" i="6"/>
  <c r="X21" i="6"/>
  <c r="F22" i="6"/>
  <c r="L22" i="6"/>
  <c r="O22" i="6"/>
  <c r="R22" i="6"/>
  <c r="U22" i="6"/>
  <c r="X22" i="6"/>
  <c r="B26" i="6"/>
  <c r="C26" i="6"/>
  <c r="D26" i="6"/>
  <c r="F26" i="6"/>
  <c r="H26" i="6"/>
  <c r="I26" i="6"/>
  <c r="J26" i="6"/>
  <c r="L26" i="6"/>
  <c r="N26" i="6"/>
  <c r="O26" i="6"/>
  <c r="P26" i="6"/>
  <c r="R26" i="6"/>
  <c r="T26" i="6"/>
  <c r="U26" i="6"/>
  <c r="V26" i="6"/>
  <c r="X26" i="6"/>
  <c r="B27" i="6"/>
  <c r="C27" i="6"/>
  <c r="D27" i="6"/>
  <c r="F27" i="6"/>
  <c r="H27" i="6"/>
  <c r="I27" i="6"/>
  <c r="J27" i="6"/>
  <c r="L27" i="6"/>
  <c r="N27" i="6"/>
  <c r="O27" i="6"/>
  <c r="P27" i="6"/>
  <c r="R27" i="6"/>
  <c r="T27" i="6"/>
  <c r="U27" i="6"/>
  <c r="V27" i="6"/>
  <c r="X27" i="6"/>
  <c r="B28" i="6"/>
  <c r="C28" i="6"/>
  <c r="D28" i="6"/>
  <c r="F28" i="6"/>
  <c r="H28" i="6"/>
  <c r="I28" i="6"/>
  <c r="J28" i="6"/>
  <c r="L28" i="6"/>
  <c r="N28" i="6"/>
  <c r="O28" i="6"/>
  <c r="P28" i="6"/>
  <c r="R28" i="6"/>
  <c r="T28" i="6"/>
  <c r="U28" i="6"/>
  <c r="V28" i="6"/>
  <c r="X28" i="6"/>
  <c r="B29" i="6"/>
  <c r="C29" i="6"/>
  <c r="D29" i="6"/>
  <c r="F29" i="6"/>
  <c r="H29" i="6"/>
  <c r="I29" i="6"/>
  <c r="J29" i="6"/>
  <c r="L29" i="6"/>
  <c r="N29" i="6"/>
  <c r="O29" i="6"/>
  <c r="P29" i="6"/>
  <c r="R29" i="6"/>
  <c r="T29" i="6"/>
  <c r="U29" i="6"/>
  <c r="V29" i="6"/>
  <c r="X29" i="6"/>
  <c r="B30" i="6"/>
  <c r="C30" i="6"/>
  <c r="D30" i="6"/>
  <c r="F30" i="6"/>
  <c r="H30" i="6"/>
  <c r="I30" i="6"/>
  <c r="J30" i="6"/>
  <c r="L30" i="6"/>
  <c r="N30" i="6"/>
  <c r="O30" i="6"/>
  <c r="P30" i="6"/>
  <c r="R30" i="6"/>
  <c r="T30" i="6"/>
  <c r="U30" i="6"/>
  <c r="V30" i="6"/>
  <c r="X30" i="6"/>
  <c r="B31" i="6"/>
  <c r="C31" i="6"/>
  <c r="D31" i="6"/>
  <c r="F31" i="6"/>
  <c r="H31" i="6"/>
  <c r="I31" i="6"/>
  <c r="J31" i="6"/>
  <c r="L31" i="6"/>
  <c r="N31" i="6"/>
  <c r="O31" i="6"/>
  <c r="P31" i="6"/>
  <c r="R31" i="6"/>
  <c r="T31" i="6"/>
  <c r="U31" i="6"/>
  <c r="V31" i="6"/>
  <c r="X31" i="6"/>
  <c r="B32" i="6"/>
  <c r="C32" i="6"/>
  <c r="D32" i="6"/>
  <c r="F32" i="6"/>
  <c r="H32" i="6"/>
  <c r="I32" i="6"/>
  <c r="J32" i="6"/>
  <c r="L32" i="6"/>
  <c r="N32" i="6"/>
  <c r="O32" i="6"/>
  <c r="P32" i="6"/>
  <c r="R32" i="6"/>
  <c r="T32" i="6"/>
  <c r="U32" i="6"/>
  <c r="V32" i="6"/>
  <c r="X32" i="6"/>
  <c r="B33" i="6"/>
  <c r="C33" i="6"/>
  <c r="D33" i="6"/>
  <c r="F33" i="6"/>
  <c r="H33" i="6"/>
  <c r="I33" i="6"/>
  <c r="J33" i="6"/>
  <c r="L33" i="6"/>
  <c r="N33" i="6"/>
  <c r="O33" i="6"/>
  <c r="P33" i="6"/>
  <c r="R33" i="6"/>
  <c r="T33" i="6"/>
  <c r="U33" i="6"/>
  <c r="V33" i="6"/>
  <c r="X33" i="6"/>
  <c r="B34" i="6"/>
  <c r="C34" i="6"/>
  <c r="D34" i="6"/>
  <c r="F34" i="6"/>
  <c r="H34" i="6"/>
  <c r="I34" i="6"/>
  <c r="J34" i="6"/>
  <c r="L34" i="6"/>
  <c r="N34" i="6"/>
  <c r="O34" i="6"/>
  <c r="P34" i="6"/>
  <c r="R34" i="6"/>
  <c r="T34" i="6"/>
  <c r="U34" i="6"/>
  <c r="V34" i="6"/>
  <c r="X34" i="6"/>
  <c r="B38" i="6"/>
  <c r="C38" i="6"/>
  <c r="D38" i="6"/>
  <c r="F38" i="6"/>
  <c r="H38" i="6"/>
  <c r="I38" i="6"/>
  <c r="J38" i="6"/>
  <c r="L38" i="6"/>
  <c r="N38" i="6"/>
  <c r="O38" i="6"/>
  <c r="P38" i="6"/>
  <c r="R38" i="6"/>
  <c r="T38" i="6"/>
  <c r="U38" i="6"/>
  <c r="V38" i="6"/>
  <c r="X38" i="6"/>
  <c r="C10" i="6"/>
  <c r="D10" i="6"/>
  <c r="F10" i="6"/>
  <c r="H10" i="6"/>
  <c r="I10" i="6"/>
  <c r="J10" i="6"/>
  <c r="L10" i="6"/>
  <c r="N10" i="6"/>
  <c r="O10" i="6"/>
  <c r="P10" i="6"/>
  <c r="R10" i="6"/>
  <c r="T10" i="6"/>
  <c r="U10" i="6"/>
  <c r="V10" i="6"/>
  <c r="X10" i="6"/>
  <c r="B10" i="6"/>
  <c r="C7" i="6"/>
  <c r="D7" i="6"/>
  <c r="F7" i="6"/>
  <c r="H7" i="6"/>
  <c r="I7" i="6"/>
  <c r="J7" i="6"/>
  <c r="L7" i="6"/>
  <c r="N7" i="6"/>
  <c r="O7" i="6"/>
  <c r="P7" i="6"/>
  <c r="R7" i="6"/>
  <c r="T7" i="6"/>
  <c r="U7" i="6"/>
  <c r="V7" i="6"/>
  <c r="X7" i="6"/>
  <c r="C40" i="6"/>
  <c r="D40" i="6"/>
  <c r="F40" i="6"/>
  <c r="H40" i="6"/>
  <c r="I40" i="6"/>
  <c r="J40" i="6"/>
  <c r="L40" i="6"/>
  <c r="N40" i="6"/>
  <c r="O40" i="6"/>
  <c r="P40" i="6"/>
  <c r="R40" i="6"/>
  <c r="T40" i="6"/>
  <c r="U40" i="6"/>
  <c r="V40" i="6"/>
  <c r="X40" i="6"/>
  <c r="B40" i="6"/>
  <c r="B7" i="6"/>
  <c r="N54" i="5"/>
  <c r="N52" i="5"/>
  <c r="N51" i="5"/>
  <c r="N50" i="5"/>
  <c r="N49" i="5"/>
  <c r="N48" i="5"/>
  <c r="N47" i="5"/>
  <c r="N44" i="5"/>
  <c r="N43" i="5"/>
  <c r="N41" i="5"/>
  <c r="N40" i="5"/>
  <c r="N37" i="5"/>
  <c r="N36" i="5"/>
  <c r="N29" i="5"/>
  <c r="N30" i="5"/>
  <c r="N31" i="5"/>
  <c r="N11" i="5"/>
  <c r="N17" i="5"/>
  <c r="N20" i="5"/>
  <c r="N23" i="5"/>
  <c r="N7" i="5"/>
  <c r="E7" i="6" s="1"/>
  <c r="T54" i="5"/>
  <c r="T52" i="5"/>
  <c r="T51" i="5"/>
  <c r="T50" i="5"/>
  <c r="T49" i="5"/>
  <c r="T48" i="5"/>
  <c r="T47" i="5"/>
  <c r="T44" i="5"/>
  <c r="T43" i="5"/>
  <c r="T41" i="5"/>
  <c r="T40" i="5"/>
  <c r="T37" i="5"/>
  <c r="T36" i="5"/>
  <c r="T29" i="5"/>
  <c r="T30" i="5"/>
  <c r="T31" i="5"/>
  <c r="T11" i="5"/>
  <c r="T17" i="5"/>
  <c r="T20" i="5"/>
  <c r="T23" i="5"/>
  <c r="T7" i="5"/>
  <c r="K32" i="5"/>
  <c r="K34" i="5" s="1"/>
  <c r="B24" i="6" s="1"/>
  <c r="Q32" i="5"/>
  <c r="H22" i="6" s="1"/>
  <c r="O34" i="5"/>
  <c r="U34" i="5"/>
  <c r="X34" i="5"/>
  <c r="O24" i="6" s="1"/>
  <c r="AA34" i="5"/>
  <c r="AD34" i="5"/>
  <c r="U24" i="6" s="1"/>
  <c r="AG34" i="5"/>
  <c r="C16" i="6"/>
  <c r="D16" i="6"/>
  <c r="F16" i="6"/>
  <c r="H16" i="6"/>
  <c r="I16" i="6"/>
  <c r="J16" i="6"/>
  <c r="L16" i="6"/>
  <c r="N16" i="6"/>
  <c r="O16" i="6"/>
  <c r="P16" i="6"/>
  <c r="R16" i="6"/>
  <c r="T16" i="6"/>
  <c r="U16" i="6"/>
  <c r="V16" i="6"/>
  <c r="X16" i="6"/>
  <c r="B16" i="6"/>
  <c r="L32" i="5"/>
  <c r="L34" i="5" s="1"/>
  <c r="C24" i="6" s="1"/>
  <c r="R32" i="5"/>
  <c r="I22" i="6" s="1"/>
  <c r="AF11" i="5"/>
  <c r="AF17" i="5"/>
  <c r="AF20" i="5"/>
  <c r="Z11" i="5"/>
  <c r="Z17" i="5"/>
  <c r="Z20" i="5"/>
  <c r="M32" i="5"/>
  <c r="M34" i="5" s="1"/>
  <c r="D24" i="6" s="1"/>
  <c r="S32" i="5"/>
  <c r="J22" i="6" s="1"/>
  <c r="Z54" i="5"/>
  <c r="Z52" i="5"/>
  <c r="Z51" i="5"/>
  <c r="Z50" i="5"/>
  <c r="Z49" i="5"/>
  <c r="Z48" i="5"/>
  <c r="Z47" i="5"/>
  <c r="Z44" i="5"/>
  <c r="Z43" i="5"/>
  <c r="Z41" i="5"/>
  <c r="Z40" i="5"/>
  <c r="Z37" i="5"/>
  <c r="Z36" i="5"/>
  <c r="AF54" i="5"/>
  <c r="AF52" i="5"/>
  <c r="AF51" i="5"/>
  <c r="AF50" i="5"/>
  <c r="AF49" i="5"/>
  <c r="AF48" i="5"/>
  <c r="AF47" i="5"/>
  <c r="AF44" i="5"/>
  <c r="AF43" i="5"/>
  <c r="AF41" i="5"/>
  <c r="AF40" i="5"/>
  <c r="AF37" i="5"/>
  <c r="AF36" i="5"/>
  <c r="Z23" i="5"/>
  <c r="Z29" i="5"/>
  <c r="Z30" i="5"/>
  <c r="Z31" i="5"/>
  <c r="W32" i="5"/>
  <c r="W34" i="5" s="1"/>
  <c r="N24" i="6" s="1"/>
  <c r="Y32" i="5"/>
  <c r="Y34" i="5" s="1"/>
  <c r="P24" i="6" s="1"/>
  <c r="AC32" i="5"/>
  <c r="AE32" i="5"/>
  <c r="V22" i="6" s="1"/>
  <c r="AF23" i="5"/>
  <c r="AF29" i="5"/>
  <c r="AF30" i="5"/>
  <c r="AF31" i="5"/>
  <c r="Z7" i="5"/>
  <c r="Q11" i="6" s="1"/>
  <c r="AF7" i="5"/>
  <c r="AL7" i="5" s="1"/>
  <c r="E7" i="4"/>
  <c r="E8" i="4"/>
  <c r="E10" i="4"/>
  <c r="E11" i="4"/>
  <c r="G9" i="3"/>
  <c r="O9" i="3" s="1"/>
  <c r="G14" i="3"/>
  <c r="O14" i="3" s="1"/>
  <c r="G19" i="3"/>
  <c r="O19" i="3" s="1"/>
  <c r="B9" i="4"/>
  <c r="C19" i="1"/>
  <c r="C20" i="1"/>
  <c r="C21" i="1"/>
  <c r="C22" i="1"/>
  <c r="C23" i="1"/>
  <c r="C24" i="1"/>
  <c r="B20" i="1"/>
  <c r="B21" i="1"/>
  <c r="B22" i="1"/>
  <c r="B23" i="1"/>
  <c r="B24" i="1"/>
  <c r="B19" i="1"/>
  <c r="G13" i="2"/>
  <c r="G27" i="2"/>
  <c r="G17" i="1"/>
  <c r="F13" i="2"/>
  <c r="F27" i="2"/>
  <c r="G31" i="2"/>
  <c r="G35" i="2"/>
  <c r="G20" i="2"/>
  <c r="B13" i="2"/>
  <c r="B27" i="2"/>
  <c r="C13" i="2"/>
  <c r="D13" i="2"/>
  <c r="E13" i="2"/>
  <c r="F9" i="3"/>
  <c r="N9" i="3" s="1"/>
  <c r="F14" i="3"/>
  <c r="N14" i="3" s="1"/>
  <c r="F19" i="3"/>
  <c r="N19" i="3" s="1"/>
  <c r="C9" i="3"/>
  <c r="K9" i="3" s="1"/>
  <c r="C14" i="3"/>
  <c r="K14" i="3" s="1"/>
  <c r="C19" i="3"/>
  <c r="K19" i="3" s="1"/>
  <c r="D9" i="3"/>
  <c r="L9" i="3" s="1"/>
  <c r="D14" i="3"/>
  <c r="L14" i="3" s="1"/>
  <c r="D19" i="3"/>
  <c r="L19" i="3" s="1"/>
  <c r="E9" i="3"/>
  <c r="M9" i="3" s="1"/>
  <c r="E14" i="3"/>
  <c r="M14" i="3" s="1"/>
  <c r="E19" i="3"/>
  <c r="M19" i="3" s="1"/>
  <c r="B14" i="3"/>
  <c r="J14" i="3" s="1"/>
  <c r="B19" i="3"/>
  <c r="J19" i="3" s="1"/>
  <c r="B12" i="1"/>
  <c r="B14" i="1"/>
  <c r="B15" i="1"/>
  <c r="B16" i="1"/>
  <c r="C12" i="1"/>
  <c r="C14" i="1"/>
  <c r="C15" i="1"/>
  <c r="C16" i="1"/>
  <c r="E17" i="1"/>
  <c r="E25" i="1" s="1"/>
  <c r="C27" i="2"/>
  <c r="D27" i="2"/>
  <c r="E27" i="2"/>
  <c r="B31" i="2"/>
  <c r="B35" i="2"/>
  <c r="C31" i="2"/>
  <c r="C35" i="2"/>
  <c r="D31" i="2"/>
  <c r="D35" i="2"/>
  <c r="E35" i="2"/>
  <c r="B20" i="2"/>
  <c r="C20" i="2"/>
  <c r="D20" i="2"/>
  <c r="E20" i="2"/>
  <c r="F31" i="2"/>
  <c r="F35" i="2"/>
  <c r="F20" i="2"/>
  <c r="N45" i="5" l="1"/>
  <c r="Z45" i="5"/>
  <c r="C17" i="1"/>
  <c r="AF45" i="5"/>
  <c r="T45" i="5"/>
  <c r="E15" i="3"/>
  <c r="M15" i="3" s="1"/>
  <c r="B17" i="1"/>
  <c r="B25" i="1" s="1"/>
  <c r="G41" i="1"/>
  <c r="F41" i="1"/>
  <c r="X24" i="6"/>
  <c r="E34" i="5"/>
  <c r="R24" i="6"/>
  <c r="D34" i="5"/>
  <c r="L24" i="6"/>
  <c r="C34" i="5"/>
  <c r="F24" i="6"/>
  <c r="B34" i="5"/>
  <c r="Z53" i="5"/>
  <c r="N26" i="5"/>
  <c r="E16" i="6" s="1"/>
  <c r="Q21" i="6"/>
  <c r="AF53" i="5"/>
  <c r="T38" i="5"/>
  <c r="Z38" i="5"/>
  <c r="T53" i="5"/>
  <c r="T26" i="5"/>
  <c r="AL29" i="5"/>
  <c r="AM29" i="5" s="1"/>
  <c r="AL14" i="5"/>
  <c r="AL17" i="5"/>
  <c r="AM17" i="5" s="1"/>
  <c r="AL32" i="5"/>
  <c r="AL30" i="5"/>
  <c r="AM30" i="5" s="1"/>
  <c r="AL11" i="5"/>
  <c r="AL23" i="5"/>
  <c r="AM23" i="5" s="1"/>
  <c r="AL20" i="5"/>
  <c r="AM20" i="5" s="1"/>
  <c r="AL31" i="5"/>
  <c r="AL37" i="5"/>
  <c r="AL44" i="5" s="1"/>
  <c r="AM7" i="5"/>
  <c r="AF26" i="5"/>
  <c r="AI52" i="5"/>
  <c r="AI54" i="5" s="1"/>
  <c r="Z26" i="5"/>
  <c r="N53" i="5"/>
  <c r="N38" i="5"/>
  <c r="T55" i="5"/>
  <c r="Q20" i="6"/>
  <c r="W39" i="6"/>
  <c r="AF38" i="5"/>
  <c r="Z24" i="5"/>
  <c r="Q40" i="6"/>
  <c r="Z55" i="5"/>
  <c r="AF55" i="5"/>
  <c r="W11" i="6"/>
  <c r="AL8" i="5"/>
  <c r="T21" i="5"/>
  <c r="K32" i="6"/>
  <c r="AF21" i="5"/>
  <c r="AF24" i="5"/>
  <c r="T24" i="5"/>
  <c r="Q14" i="6"/>
  <c r="Q26" i="6"/>
  <c r="Z21" i="5"/>
  <c r="Z18" i="5"/>
  <c r="T18" i="5"/>
  <c r="AF32" i="5"/>
  <c r="W22" i="6" s="1"/>
  <c r="Q39" i="6"/>
  <c r="AF18" i="5"/>
  <c r="Q38" i="6"/>
  <c r="AE34" i="5"/>
  <c r="V24" i="6" s="1"/>
  <c r="W40" i="6"/>
  <c r="Q32" i="6"/>
  <c r="Q36" i="6"/>
  <c r="E33" i="6"/>
  <c r="E21" i="6"/>
  <c r="T8" i="5"/>
  <c r="W19" i="6"/>
  <c r="E34" i="6"/>
  <c r="E14" i="6"/>
  <c r="E39" i="6"/>
  <c r="E20" i="6"/>
  <c r="E40" i="6"/>
  <c r="K34" i="6"/>
  <c r="K14" i="6"/>
  <c r="E26" i="6"/>
  <c r="W27" i="6"/>
  <c r="Q12" i="6"/>
  <c r="W29" i="6"/>
  <c r="Q30" i="6"/>
  <c r="K12" i="6"/>
  <c r="R34" i="5"/>
  <c r="I24" i="6" s="1"/>
  <c r="E12" i="6"/>
  <c r="E36" i="6"/>
  <c r="Q35" i="6"/>
  <c r="AF12" i="5"/>
  <c r="K30" i="6"/>
  <c r="E11" i="6"/>
  <c r="E10" i="6"/>
  <c r="E38" i="6"/>
  <c r="K13" i="6"/>
  <c r="K33" i="6"/>
  <c r="K11" i="6"/>
  <c r="K37" i="6"/>
  <c r="E27" i="6"/>
  <c r="K38" i="6"/>
  <c r="E29" i="6"/>
  <c r="AC34" i="5"/>
  <c r="T24" i="6" s="1"/>
  <c r="K21" i="6"/>
  <c r="E30" i="6"/>
  <c r="W37" i="6"/>
  <c r="K40" i="6"/>
  <c r="K28" i="6"/>
  <c r="K7" i="6"/>
  <c r="T22" i="6"/>
  <c r="K35" i="6"/>
  <c r="Q28" i="6"/>
  <c r="Z8" i="5"/>
  <c r="W26" i="6"/>
  <c r="K36" i="6"/>
  <c r="K31" i="6"/>
  <c r="K26" i="6"/>
  <c r="W30" i="6"/>
  <c r="Q10" i="6"/>
  <c r="Z12" i="5"/>
  <c r="K20" i="6"/>
  <c r="C22" i="6"/>
  <c r="W21" i="6"/>
  <c r="W20" i="6"/>
  <c r="K39" i="6"/>
  <c r="W14" i="6"/>
  <c r="W32" i="6"/>
  <c r="Q33" i="6"/>
  <c r="W33" i="6"/>
  <c r="W12" i="6"/>
  <c r="K19" i="6"/>
  <c r="E32" i="6"/>
  <c r="B22" i="6"/>
  <c r="Q34" i="5"/>
  <c r="H24" i="6" s="1"/>
  <c r="E31" i="6"/>
  <c r="W38" i="6"/>
  <c r="AF8" i="5"/>
  <c r="K10" i="6"/>
  <c r="T12" i="5"/>
  <c r="W35" i="6"/>
  <c r="K27" i="6"/>
  <c r="W36" i="6"/>
  <c r="K29" i="6"/>
  <c r="E35" i="6"/>
  <c r="S34" i="5"/>
  <c r="J24" i="6" s="1"/>
  <c r="N32" i="5"/>
  <c r="E22" i="6" s="1"/>
  <c r="W34" i="6"/>
  <c r="D22" i="6"/>
  <c r="W13" i="6"/>
  <c r="Q27" i="6"/>
  <c r="E13" i="6"/>
  <c r="W10" i="6"/>
  <c r="E19" i="6"/>
  <c r="T32" i="5"/>
  <c r="W31" i="6"/>
  <c r="P22" i="6"/>
  <c r="Q34" i="6"/>
  <c r="Q13" i="6"/>
  <c r="Q37" i="6"/>
  <c r="N22" i="6"/>
  <c r="Q19" i="6"/>
  <c r="W28" i="6"/>
  <c r="E37" i="6"/>
  <c r="Q31" i="6"/>
  <c r="E28" i="6"/>
  <c r="Z32" i="5"/>
  <c r="Q22" i="6" s="1"/>
  <c r="Q29" i="6"/>
  <c r="W7" i="6"/>
  <c r="Q7" i="6"/>
  <c r="C15" i="3"/>
  <c r="K15" i="3" s="1"/>
  <c r="G25" i="1"/>
  <c r="F17" i="1"/>
  <c r="F25" i="1" s="1"/>
  <c r="F26" i="1" s="1"/>
  <c r="C25" i="1"/>
  <c r="D17" i="1"/>
  <c r="D25" i="1" s="1"/>
  <c r="C41" i="1"/>
  <c r="B41" i="1"/>
  <c r="D41" i="1"/>
  <c r="B15" i="3"/>
  <c r="J15" i="3" s="1"/>
  <c r="G15" i="3"/>
  <c r="O15" i="3" s="1"/>
  <c r="C6" i="1"/>
  <c r="F15" i="3"/>
  <c r="N15" i="3" s="1"/>
  <c r="C25" i="3"/>
  <c r="K25" i="3" s="1"/>
  <c r="E20" i="3"/>
  <c r="M20" i="3" s="1"/>
  <c r="D15" i="3"/>
  <c r="L15" i="3" s="1"/>
  <c r="E25" i="3"/>
  <c r="M25" i="3" s="1"/>
  <c r="C7" i="1"/>
  <c r="C20" i="3"/>
  <c r="K20" i="3" s="1"/>
  <c r="AF34" i="5" l="1"/>
  <c r="W24" i="6" s="1"/>
  <c r="F29" i="5"/>
  <c r="F30" i="5"/>
  <c r="AL51" i="5"/>
  <c r="AL52" i="5" s="1"/>
  <c r="AL54" i="5" s="1"/>
  <c r="AL55" i="5" s="1"/>
  <c r="AL45" i="5"/>
  <c r="B28" i="1"/>
  <c r="B26" i="1"/>
  <c r="C26" i="1"/>
  <c r="F7" i="5"/>
  <c r="C28" i="1"/>
  <c r="D28" i="1"/>
  <c r="G26" i="1"/>
  <c r="G28" i="1"/>
  <c r="F28" i="1"/>
  <c r="E28" i="1"/>
  <c r="E26" i="1"/>
  <c r="D26" i="1"/>
  <c r="AM21" i="5"/>
  <c r="F21" i="5" s="1"/>
  <c r="F20" i="5"/>
  <c r="AM24" i="5"/>
  <c r="F24" i="5" s="1"/>
  <c r="F23" i="5"/>
  <c r="AM18" i="5"/>
  <c r="F18" i="5" s="1"/>
  <c r="F17" i="5"/>
  <c r="AM8" i="5"/>
  <c r="F8" i="5" s="1"/>
  <c r="AM37" i="5"/>
  <c r="AM36" i="5" s="1"/>
  <c r="AL26" i="5"/>
  <c r="AM11" i="5"/>
  <c r="F11" i="5" s="1"/>
  <c r="AI55" i="5"/>
  <c r="AL15" i="5"/>
  <c r="AM14" i="5"/>
  <c r="AL18" i="5"/>
  <c r="AL12" i="5"/>
  <c r="AL21" i="5"/>
  <c r="AL24" i="5"/>
  <c r="Q16" i="6"/>
  <c r="K16" i="6"/>
  <c r="W16" i="6"/>
  <c r="T34" i="5"/>
  <c r="K24" i="6" s="1"/>
  <c r="K22" i="6"/>
  <c r="N34" i="5"/>
  <c r="E24" i="6" s="1"/>
  <c r="Z34" i="5"/>
  <c r="Q24" i="6" s="1"/>
  <c r="B7" i="1"/>
  <c r="B6" i="1"/>
  <c r="B25" i="3"/>
  <c r="J25" i="3" s="1"/>
  <c r="G20" i="3"/>
  <c r="O20" i="3" s="1"/>
  <c r="B20" i="3"/>
  <c r="J20" i="3" s="1"/>
  <c r="G25" i="3"/>
  <c r="O25" i="3" s="1"/>
  <c r="D25" i="3"/>
  <c r="L25" i="3" s="1"/>
  <c r="D20" i="3"/>
  <c r="L20" i="3" s="1"/>
  <c r="C43" i="1"/>
  <c r="E9" i="1"/>
  <c r="E22" i="3"/>
  <c r="C8" i="1"/>
  <c r="C9" i="1" s="1"/>
  <c r="C22" i="3"/>
  <c r="F25" i="3"/>
  <c r="N25" i="3" s="1"/>
  <c r="F20" i="3"/>
  <c r="N20" i="3" s="1"/>
  <c r="G9" i="1"/>
  <c r="G22" i="3"/>
  <c r="O22" i="3" s="1"/>
  <c r="B15" i="4"/>
  <c r="B16" i="4" s="1"/>
  <c r="A19" i="4" s="1"/>
  <c r="E43" i="1"/>
  <c r="G7" i="5" l="1"/>
  <c r="F105" i="5"/>
  <c r="H20" i="1" s="1"/>
  <c r="F114" i="5"/>
  <c r="F119" i="5"/>
  <c r="F120" i="5"/>
  <c r="F101" i="5"/>
  <c r="F66" i="5"/>
  <c r="F100" i="5"/>
  <c r="F115" i="5"/>
  <c r="F102" i="5"/>
  <c r="F67" i="5"/>
  <c r="B22" i="3"/>
  <c r="B8" i="1"/>
  <c r="B9" i="1" s="1"/>
  <c r="B31" i="1" s="1"/>
  <c r="K22" i="3"/>
  <c r="C23" i="3"/>
  <c r="C7" i="8"/>
  <c r="M22" i="3"/>
  <c r="G11" i="5"/>
  <c r="G20" i="5"/>
  <c r="G21" i="5" s="1"/>
  <c r="G29" i="5"/>
  <c r="G23" i="5"/>
  <c r="G24" i="5" s="1"/>
  <c r="G8" i="5"/>
  <c r="G32" i="5"/>
  <c r="G37" i="5"/>
  <c r="G31" i="5"/>
  <c r="G30" i="5"/>
  <c r="G17" i="5"/>
  <c r="G18" i="5" s="1"/>
  <c r="AM44" i="5"/>
  <c r="AM45" i="5" s="1"/>
  <c r="F37" i="5"/>
  <c r="AM15" i="5"/>
  <c r="F15" i="5" s="1"/>
  <c r="F14" i="5"/>
  <c r="B43" i="1"/>
  <c r="AM12" i="5"/>
  <c r="F12" i="5" s="1"/>
  <c r="AM26" i="5"/>
  <c r="F26" i="5" s="1"/>
  <c r="G31" i="1"/>
  <c r="C31" i="1"/>
  <c r="E31" i="1"/>
  <c r="G43" i="1"/>
  <c r="G24" i="8"/>
  <c r="G27" i="3"/>
  <c r="G12" i="9"/>
  <c r="G15" i="9" s="1"/>
  <c r="C27" i="3"/>
  <c r="C6" i="9"/>
  <c r="C12" i="9" s="1"/>
  <c r="C15" i="9" s="1"/>
  <c r="C24" i="8"/>
  <c r="B6" i="9"/>
  <c r="B12" i="9" s="1"/>
  <c r="B15" i="9" s="1"/>
  <c r="B27" i="3"/>
  <c r="D22" i="3"/>
  <c r="D9" i="1"/>
  <c r="E10" i="1" s="1"/>
  <c r="D43" i="1"/>
  <c r="E27" i="3"/>
  <c r="E12" i="9"/>
  <c r="E15" i="9" s="1"/>
  <c r="E24" i="8"/>
  <c r="F22" i="3"/>
  <c r="F9" i="1"/>
  <c r="F43" i="1"/>
  <c r="C10" i="1" l="1"/>
  <c r="F69" i="5"/>
  <c r="B51" i="1" s="1"/>
  <c r="F117" i="5"/>
  <c r="H7" i="5"/>
  <c r="G66" i="5"/>
  <c r="G119" i="5"/>
  <c r="G102" i="5"/>
  <c r="G67" i="5"/>
  <c r="G100" i="5"/>
  <c r="G105" i="5"/>
  <c r="I20" i="1" s="1"/>
  <c r="G115" i="5"/>
  <c r="G120" i="5"/>
  <c r="G114" i="5"/>
  <c r="G101" i="5"/>
  <c r="G14" i="5"/>
  <c r="G15" i="5" s="1"/>
  <c r="G38" i="5"/>
  <c r="G44" i="5"/>
  <c r="L22" i="3"/>
  <c r="D23" i="3"/>
  <c r="E23" i="3"/>
  <c r="J22" i="3"/>
  <c r="B7" i="8"/>
  <c r="B24" i="8" s="1"/>
  <c r="B46" i="8" s="1"/>
  <c r="B48" i="8" s="1"/>
  <c r="G36" i="5"/>
  <c r="G34" i="5"/>
  <c r="G12" i="5"/>
  <c r="AM51" i="5"/>
  <c r="F44" i="5"/>
  <c r="H42" i="1" s="1"/>
  <c r="N22" i="3"/>
  <c r="G23" i="3"/>
  <c r="F23" i="3"/>
  <c r="D31" i="1"/>
  <c r="D10" i="1"/>
  <c r="F31" i="1"/>
  <c r="F10" i="1"/>
  <c r="G10" i="1"/>
  <c r="E33" i="9"/>
  <c r="E35" i="9" s="1"/>
  <c r="E46" i="8"/>
  <c r="E48" i="8" s="1"/>
  <c r="B25" i="9"/>
  <c r="B28" i="9" s="1"/>
  <c r="B17" i="9"/>
  <c r="E25" i="9"/>
  <c r="E28" i="9" s="1"/>
  <c r="E17" i="9"/>
  <c r="C17" i="9"/>
  <c r="C25" i="9"/>
  <c r="C28" i="9" s="1"/>
  <c r="C33" i="9"/>
  <c r="C35" i="9" s="1"/>
  <c r="C46" i="8"/>
  <c r="C48" i="8" s="1"/>
  <c r="G25" i="9"/>
  <c r="G28" i="9" s="1"/>
  <c r="G17" i="9"/>
  <c r="G33" i="9"/>
  <c r="G35" i="9" s="1"/>
  <c r="G46" i="8"/>
  <c r="G48" i="8" s="1"/>
  <c r="D12" i="9"/>
  <c r="D15" i="9" s="1"/>
  <c r="D24" i="8"/>
  <c r="D27" i="3"/>
  <c r="F27" i="3"/>
  <c r="F12" i="9"/>
  <c r="F15" i="9" s="1"/>
  <c r="F24" i="8"/>
  <c r="G117" i="5" l="1"/>
  <c r="G26" i="5"/>
  <c r="G121" i="5"/>
  <c r="I13" i="1"/>
  <c r="H115" i="5"/>
  <c r="H100" i="5"/>
  <c r="H105" i="5"/>
  <c r="J20" i="1" s="1"/>
  <c r="H66" i="5"/>
  <c r="H119" i="5"/>
  <c r="H102" i="5"/>
  <c r="H67" i="5"/>
  <c r="H120" i="5"/>
  <c r="H114" i="5"/>
  <c r="H101" i="5"/>
  <c r="H31" i="5"/>
  <c r="H29" i="5"/>
  <c r="H14" i="5"/>
  <c r="H15" i="5" s="1"/>
  <c r="H17" i="5"/>
  <c r="H18" i="5" s="1"/>
  <c r="H8" i="5"/>
  <c r="H23" i="5"/>
  <c r="H24" i="5" s="1"/>
  <c r="H11" i="5"/>
  <c r="H37" i="5"/>
  <c r="H30" i="5"/>
  <c r="H32" i="5"/>
  <c r="I7" i="5"/>
  <c r="H20" i="5"/>
  <c r="H21" i="5" s="1"/>
  <c r="H13" i="1"/>
  <c r="F121" i="5"/>
  <c r="G45" i="5"/>
  <c r="I42" i="1"/>
  <c r="G69" i="5"/>
  <c r="C51" i="1" s="1"/>
  <c r="B48" i="1"/>
  <c r="B49" i="1" s="1"/>
  <c r="B53" i="1" s="1"/>
  <c r="F45" i="5"/>
  <c r="C48" i="1"/>
  <c r="I6" i="1"/>
  <c r="I7" i="1"/>
  <c r="B33" i="9"/>
  <c r="B35" i="9" s="1"/>
  <c r="H6" i="1"/>
  <c r="H9" i="1" s="1"/>
  <c r="H7" i="1"/>
  <c r="AM52" i="5"/>
  <c r="F51" i="5"/>
  <c r="D33" i="9"/>
  <c r="D35" i="9" s="1"/>
  <c r="D46" i="8"/>
  <c r="D48" i="8" s="1"/>
  <c r="F25" i="9"/>
  <c r="F28" i="9" s="1"/>
  <c r="F17" i="9"/>
  <c r="F33" i="9"/>
  <c r="F35" i="9" s="1"/>
  <c r="F46" i="8"/>
  <c r="F48" i="8" s="1"/>
  <c r="D17" i="9"/>
  <c r="D25" i="9"/>
  <c r="D28" i="9" s="1"/>
  <c r="AM31" i="5"/>
  <c r="F31" i="5" s="1"/>
  <c r="AL34" i="5"/>
  <c r="AM32" i="5"/>
  <c r="F32" i="5" s="1"/>
  <c r="H117" i="5" l="1"/>
  <c r="H34" i="5"/>
  <c r="J13" i="1"/>
  <c r="H121" i="5"/>
  <c r="H69" i="5"/>
  <c r="D51" i="1" s="1"/>
  <c r="I120" i="5"/>
  <c r="I115" i="5"/>
  <c r="I114" i="5"/>
  <c r="I66" i="5"/>
  <c r="I119" i="5"/>
  <c r="I100" i="5"/>
  <c r="I102" i="5"/>
  <c r="I67" i="5"/>
  <c r="I101" i="5"/>
  <c r="I105" i="5"/>
  <c r="K20" i="1" s="1"/>
  <c r="I37" i="5"/>
  <c r="I30" i="5"/>
  <c r="I29" i="5"/>
  <c r="I31" i="5"/>
  <c r="I36" i="5"/>
  <c r="I23" i="5"/>
  <c r="I24" i="5" s="1"/>
  <c r="I32" i="5"/>
  <c r="I17" i="5"/>
  <c r="I18" i="5" s="1"/>
  <c r="I8" i="5"/>
  <c r="I14" i="5"/>
  <c r="I15" i="5" s="1"/>
  <c r="I20" i="5"/>
  <c r="I21" i="5" s="1"/>
  <c r="I11" i="5"/>
  <c r="H12" i="5"/>
  <c r="H26" i="5"/>
  <c r="H44" i="5"/>
  <c r="H38" i="5"/>
  <c r="H36" i="5"/>
  <c r="H10" i="1"/>
  <c r="AM54" i="5"/>
  <c r="F52" i="5"/>
  <c r="AM34" i="5"/>
  <c r="AM41" i="5"/>
  <c r="F41" i="5" s="1"/>
  <c r="I69" i="5" l="1"/>
  <c r="E51" i="1" s="1"/>
  <c r="I117" i="5"/>
  <c r="F34" i="5"/>
  <c r="AN29" i="5"/>
  <c r="AN30" i="5"/>
  <c r="I34" i="5"/>
  <c r="I12" i="5"/>
  <c r="I26" i="5"/>
  <c r="I121" i="5"/>
  <c r="K13" i="1"/>
  <c r="H45" i="5"/>
  <c r="J42" i="1"/>
  <c r="J7" i="1"/>
  <c r="J6" i="1"/>
  <c r="D48" i="1"/>
  <c r="I38" i="5"/>
  <c r="I44" i="5"/>
  <c r="AM55" i="5"/>
  <c r="F55" i="5" s="1"/>
  <c r="F54" i="5"/>
  <c r="E48" i="1" l="1"/>
  <c r="K6" i="1"/>
  <c r="K7" i="1"/>
  <c r="K42" i="1"/>
  <c r="B69" i="1" s="1"/>
  <c r="B71" i="1" s="1"/>
  <c r="I45" i="5"/>
  <c r="F64" i="5"/>
  <c r="F70" i="5" s="1"/>
  <c r="F73" i="5" s="1"/>
  <c r="F76" i="5" s="1"/>
  <c r="F84" i="5" l="1"/>
  <c r="F87" i="5" s="1"/>
  <c r="F98" i="5" s="1"/>
  <c r="H40" i="1" s="1"/>
  <c r="H41" i="1" s="1"/>
  <c r="H43" i="1" s="1"/>
  <c r="G47" i="5" l="1"/>
  <c r="G50" i="5" s="1"/>
  <c r="G51" i="5" s="1"/>
  <c r="G86" i="5"/>
  <c r="F103" i="5"/>
  <c r="H14" i="1"/>
  <c r="G52" i="5" l="1"/>
  <c r="G53" i="5" s="1"/>
  <c r="F110" i="5"/>
  <c r="H12" i="1"/>
  <c r="H17" i="1" s="1"/>
  <c r="H25" i="1" s="1"/>
  <c r="G54" i="5" l="1"/>
  <c r="G64" i="5" s="1"/>
  <c r="G70" i="5" s="1"/>
  <c r="G73" i="5" s="1"/>
  <c r="G76" i="5" s="1"/>
  <c r="I8" i="1"/>
  <c r="I9" i="1" s="1"/>
  <c r="I10" i="1" s="1"/>
  <c r="C49" i="1"/>
  <c r="C53" i="1" s="1"/>
  <c r="G55" i="5"/>
  <c r="G84" i="5"/>
  <c r="G87" i="5" s="1"/>
  <c r="G98" i="5" s="1"/>
  <c r="I40" i="1" s="1"/>
  <c r="I41" i="1" s="1"/>
  <c r="I43" i="1" s="1"/>
  <c r="H28" i="1"/>
  <c r="H31" i="1" s="1"/>
  <c r="H26" i="1"/>
  <c r="AL36" i="5"/>
  <c r="F36" i="5"/>
  <c r="H47" i="5" l="1"/>
  <c r="H50" i="5" s="1"/>
  <c r="H51" i="5" s="1"/>
  <c r="H52" i="5" s="1"/>
  <c r="H53" i="5" s="1"/>
  <c r="H86" i="5"/>
  <c r="I14" i="1"/>
  <c r="G103" i="5"/>
  <c r="D49" i="1" l="1"/>
  <c r="D53" i="1" s="1"/>
  <c r="J8" i="1"/>
  <c r="J9" i="1" s="1"/>
  <c r="J10" i="1" s="1"/>
  <c r="H54" i="5"/>
  <c r="H64" i="5" s="1"/>
  <c r="H70" i="5" s="1"/>
  <c r="H73" i="5" s="1"/>
  <c r="G110" i="5"/>
  <c r="I12" i="1"/>
  <c r="I17" i="1" s="1"/>
  <c r="I25" i="1" s="1"/>
  <c r="I28" i="1" l="1"/>
  <c r="I31" i="1" s="1"/>
  <c r="H76" i="5"/>
  <c r="H84" i="5"/>
  <c r="H87" i="5" s="1"/>
  <c r="H98" i="5" s="1"/>
  <c r="H55" i="5"/>
  <c r="I26" i="1"/>
  <c r="J14" i="1" l="1"/>
  <c r="J40" i="1"/>
  <c r="J41" i="1" s="1"/>
  <c r="J43" i="1" s="1"/>
  <c r="H103" i="5"/>
  <c r="I47" i="5"/>
  <c r="I50" i="5" s="1"/>
  <c r="I51" i="5" s="1"/>
  <c r="I86" i="5"/>
  <c r="H110" i="5" l="1"/>
  <c r="J12" i="1"/>
  <c r="J17" i="1" s="1"/>
  <c r="J25" i="1" s="1"/>
  <c r="I52" i="5"/>
  <c r="I53" i="5" s="1"/>
  <c r="E49" i="1" l="1"/>
  <c r="E53" i="1" s="1"/>
  <c r="F53" i="1" s="1"/>
  <c r="B57" i="1" s="1"/>
  <c r="K8" i="1"/>
  <c r="K9" i="1" s="1"/>
  <c r="K10" i="1" s="1"/>
  <c r="J28" i="1"/>
  <c r="J31" i="1" s="1"/>
  <c r="J26" i="1"/>
  <c r="I54" i="5"/>
  <c r="I64" i="5" l="1"/>
  <c r="I70" i="5" s="1"/>
  <c r="I73" i="5" s="1"/>
  <c r="I55" i="5"/>
  <c r="I76" i="5" l="1"/>
  <c r="I84" i="5"/>
  <c r="I87" i="5" s="1"/>
  <c r="I98" i="5" s="1"/>
  <c r="B59" i="1" s="1"/>
  <c r="B60" i="1" s="1"/>
  <c r="B72" i="1" l="1"/>
  <c r="B73" i="1" s="1"/>
  <c r="B74" i="1" s="1"/>
  <c r="B76" i="1" s="1"/>
  <c r="K40" i="1"/>
  <c r="K41" i="1" s="1"/>
  <c r="K43" i="1" s="1"/>
  <c r="K14" i="1"/>
  <c r="I103" i="5"/>
  <c r="B61" i="1"/>
  <c r="B63" i="1" s="1"/>
  <c r="I110" i="5" l="1"/>
  <c r="K12" i="1"/>
  <c r="K17" i="1" s="1"/>
  <c r="K25" i="1" s="1"/>
  <c r="K26" i="1" l="1"/>
  <c r="K28" i="1"/>
  <c r="K31" i="1" s="1"/>
</calcChain>
</file>

<file path=xl/sharedStrings.xml><?xml version="1.0" encoding="utf-8"?>
<sst xmlns="http://schemas.openxmlformats.org/spreadsheetml/2006/main" count="478" uniqueCount="242">
  <si>
    <t>Fiscal Year</t>
  </si>
  <si>
    <t>FY 2019</t>
  </si>
  <si>
    <t>FY 2020</t>
  </si>
  <si>
    <t>FY 2021</t>
  </si>
  <si>
    <t>FY 2022</t>
  </si>
  <si>
    <t xml:space="preserve">   Operating Income</t>
  </si>
  <si>
    <t xml:space="preserve">   Operating Margin</t>
  </si>
  <si>
    <t xml:space="preserve">   Current Asset</t>
  </si>
  <si>
    <t xml:space="preserve">   Current Liabilities</t>
  </si>
  <si>
    <t xml:space="preserve">   Cash</t>
  </si>
  <si>
    <t xml:space="preserve">   Short-term Debts</t>
  </si>
  <si>
    <t xml:space="preserve">      Net Working Capital</t>
  </si>
  <si>
    <t xml:space="preserve">   Goodwill</t>
  </si>
  <si>
    <t>Average Invested Capital</t>
  </si>
  <si>
    <t xml:space="preserve">   ROIC</t>
  </si>
  <si>
    <t>FY 2019 (2018)</t>
  </si>
  <si>
    <t>FY 2020 (2019)</t>
  </si>
  <si>
    <t>FY 2021 (2020)</t>
  </si>
  <si>
    <t>FY 2022 (2021)</t>
  </si>
  <si>
    <t>FY 2023 (2022)</t>
  </si>
  <si>
    <t xml:space="preserve">   Inventories</t>
  </si>
  <si>
    <t>Goodwill</t>
  </si>
  <si>
    <t>ASSETS</t>
  </si>
  <si>
    <t>LIABILITIES AND SHAREHOLDERS' EQUITY</t>
  </si>
  <si>
    <t>Revenue</t>
  </si>
  <si>
    <t>FY 2023</t>
  </si>
  <si>
    <t xml:space="preserve">   Marketable Securities</t>
  </si>
  <si>
    <t>CONSOLIDATED STATEMENTS OF INCOME</t>
  </si>
  <si>
    <t>(In millions)</t>
  </si>
  <si>
    <t>FY 2024 (2023)</t>
  </si>
  <si>
    <t>CONSOLIDATED BALANCE SHEETS</t>
  </si>
  <si>
    <t>ROIC Calculation</t>
  </si>
  <si>
    <t>FY 2024</t>
  </si>
  <si>
    <t xml:space="preserve">      Invested Capital</t>
  </si>
  <si>
    <t xml:space="preserve">   Operating Lease Assets</t>
  </si>
  <si>
    <t xml:space="preserve">   Intangible Assets, net</t>
  </si>
  <si>
    <t xml:space="preserve">   Deferred Income Tax Assets</t>
  </si>
  <si>
    <t xml:space="preserve">   Other Assets</t>
  </si>
  <si>
    <t xml:space="preserve">   Property and Equipment, net</t>
  </si>
  <si>
    <t xml:space="preserve">   Effective Tax Rate</t>
  </si>
  <si>
    <t xml:space="preserve">      NOPAT</t>
  </si>
  <si>
    <t>Equity Cost of Capital</t>
  </si>
  <si>
    <t>Equity Ratio</t>
  </si>
  <si>
    <t>Numbers of S/O</t>
  </si>
  <si>
    <t>Return on the Market</t>
  </si>
  <si>
    <t>Risk Free Rate</t>
  </si>
  <si>
    <t>Short-Term Debt</t>
  </si>
  <si>
    <t>Market Risk Premium</t>
  </si>
  <si>
    <t>Long-Term Debt</t>
  </si>
  <si>
    <t>Cash</t>
  </si>
  <si>
    <t>Short-Term Investment</t>
  </si>
  <si>
    <t>Net Debt</t>
  </si>
  <si>
    <t>Debt Cost of Capital</t>
  </si>
  <si>
    <t>Net Debt Ratio</t>
  </si>
  <si>
    <t>Yield to Maturity</t>
  </si>
  <si>
    <t>Tax Rate</t>
  </si>
  <si>
    <t>After-Tax Cost</t>
  </si>
  <si>
    <t>Weighted Average Cost of Capital</t>
  </si>
  <si>
    <t>Beta (5Y Monthly) *Yahoo</t>
  </si>
  <si>
    <t>Cost of Equity</t>
  </si>
  <si>
    <t>Nvidia FY24 WACC</t>
  </si>
  <si>
    <t>Fiscal Quarter</t>
  </si>
  <si>
    <t>FY2024</t>
  </si>
  <si>
    <t>Q3</t>
  </si>
  <si>
    <t>FY2023</t>
  </si>
  <si>
    <t xml:space="preserve">   Data Center</t>
  </si>
  <si>
    <t xml:space="preserve">   Gaming</t>
  </si>
  <si>
    <t xml:space="preserve">   Professional Visualization</t>
  </si>
  <si>
    <t xml:space="preserve">   Automotive</t>
  </si>
  <si>
    <t xml:space="preserve">   United States</t>
  </si>
  <si>
    <t xml:space="preserve">   Taiwan</t>
  </si>
  <si>
    <t xml:space="preserve">   China (including Hong Kong)</t>
  </si>
  <si>
    <t xml:space="preserve">   Other Countries</t>
  </si>
  <si>
    <t xml:space="preserve">   OEM and Other</t>
  </si>
  <si>
    <t>Total Revenue</t>
  </si>
  <si>
    <t>Q2</t>
  </si>
  <si>
    <t>Q1</t>
  </si>
  <si>
    <t>Q4</t>
  </si>
  <si>
    <t>FY24</t>
  </si>
  <si>
    <t>FY23</t>
  </si>
  <si>
    <t>FY2021</t>
  </si>
  <si>
    <t>FY21</t>
  </si>
  <si>
    <t>FY22</t>
  </si>
  <si>
    <t>FY2022</t>
  </si>
  <si>
    <t>Current Assets:</t>
  </si>
  <si>
    <t xml:space="preserve">   Cash And Cash Equivalents</t>
  </si>
  <si>
    <t xml:space="preserve">   Accounts Receivable, Net</t>
  </si>
  <si>
    <t xml:space="preserve">   Prepaid Expenses And Other Current Assets</t>
  </si>
  <si>
    <t>Total Currernt Assets</t>
  </si>
  <si>
    <t>Property And Equipment, Net</t>
  </si>
  <si>
    <t>Operating Lease Assets</t>
  </si>
  <si>
    <t>Intangible Assets, Net</t>
  </si>
  <si>
    <t>Deferred Income Tax Assets</t>
  </si>
  <si>
    <t>Other Assets</t>
  </si>
  <si>
    <t>Current Liabilities:</t>
  </si>
  <si>
    <t xml:space="preserve">   Accounts Payable</t>
  </si>
  <si>
    <t xml:space="preserve">   Accrued And Other Current Liabilities</t>
  </si>
  <si>
    <t xml:space="preserve">   Short-Term Debt</t>
  </si>
  <si>
    <t>Total Current Liabilities</t>
  </si>
  <si>
    <t>Long-Term Operating Lease Liabilities</t>
  </si>
  <si>
    <t>Other Long-Term Liabilities</t>
  </si>
  <si>
    <t>Total Liabilities</t>
  </si>
  <si>
    <t/>
  </si>
  <si>
    <t>Shareholders' Equity</t>
  </si>
  <si>
    <t>Total Assets</t>
  </si>
  <si>
    <t>Total Liabilities And Shareholders' Equity</t>
  </si>
  <si>
    <t xml:space="preserve">   Cost Of Revenue</t>
  </si>
  <si>
    <t>Gross Profit</t>
  </si>
  <si>
    <t>Operating Expenses</t>
  </si>
  <si>
    <t xml:space="preserve">   Research And Development</t>
  </si>
  <si>
    <t xml:space="preserve">   Sales, General And Administrative</t>
  </si>
  <si>
    <t xml:space="preserve">   Acquisition Termination Cost</t>
  </si>
  <si>
    <t xml:space="preserve">      Total Operating Expenses</t>
  </si>
  <si>
    <t>Income From Operations</t>
  </si>
  <si>
    <t xml:space="preserve">   Interest Income</t>
  </si>
  <si>
    <t xml:space="preserve">   Interest Expense</t>
  </si>
  <si>
    <t xml:space="preserve">   Other, Net</t>
  </si>
  <si>
    <t xml:space="preserve">      Other Income (Expense), Net</t>
  </si>
  <si>
    <t>Income Before Income Tax</t>
  </si>
  <si>
    <t>Income Taxe Expense (Benefit)</t>
  </si>
  <si>
    <t>Net Income</t>
  </si>
  <si>
    <t>(expressed as apercentage of revenue)</t>
  </si>
  <si>
    <t>Other</t>
  </si>
  <si>
    <t>Operating Expenses:</t>
  </si>
  <si>
    <t>Income From Operations:</t>
  </si>
  <si>
    <t>Revenue By Specialized Markets:</t>
  </si>
  <si>
    <t>Revenue By Geographic Region:</t>
  </si>
  <si>
    <t>CONSOLIDATED 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</si>
  <si>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</si>
  <si>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</si>
  <si>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</si>
  <si>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Deferred Income Taxes</t>
  </si>
  <si>
    <t>Changes In Operating Assets And Liabilities, Net Of Acquisitions:</t>
  </si>
  <si>
    <t>Net Cash Provided By Operating Activities</t>
  </si>
  <si>
    <t>Cash Flows From Investing Activities:</t>
  </si>
  <si>
    <t>Net Cash Provided By (Used In) Investing Activities</t>
  </si>
  <si>
    <t>Cash Flows From Financing Activities: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</si>
  <si>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</si>
  <si>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</si>
  <si>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</si>
  <si>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</si>
  <si>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</si>
  <si>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</si>
  <si>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</si>
  <si>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 xml:space="preserve">   Stock-Based Compensation Expense</t>
  </si>
  <si>
    <t xml:space="preserve">   Depreciation And Amortization</t>
  </si>
  <si>
    <t xml:space="preserve">   Deferred Income Taxes</t>
  </si>
  <si>
    <t xml:space="preserve">   (Gains) Losses On Investments In Non-Affiliated Entities, Net</t>
  </si>
  <si>
    <t xml:space="preserve">   Other</t>
  </si>
  <si>
    <t xml:space="preserve">   Accounts Receivable</t>
  </si>
  <si>
    <t xml:space="preserve">   Prepaid Expenses And Other Assets</t>
  </si>
  <si>
    <t xml:space="preserve">   Other Long-Term Liabilities</t>
  </si>
  <si>
    <t xml:space="preserve">   Proceeds From Maturities Of Marketable Securities</t>
  </si>
  <si>
    <t xml:space="preserve">   Proceeds From Sales Of Marketable Securities</t>
  </si>
  <si>
    <t xml:space="preserve">   Purchases Of Marketable Securities</t>
  </si>
  <si>
    <t xml:space="preserve">   Purchases Related To Property And Equipment And Intangible Assets</t>
  </si>
  <si>
    <t xml:space="preserve">   Acquisitions, Net Of Cash Acquired</t>
  </si>
  <si>
    <t xml:space="preserve">   Investments In Non-Affiliated Entities And Other, Net</t>
  </si>
  <si>
    <t xml:space="preserve">   Proceeds Related To Employee Stock Plans</t>
  </si>
  <si>
    <t xml:space="preserve">   Payments Related To Repurchases Of Common Stock</t>
  </si>
  <si>
    <t xml:space="preserve">   Payments Related To Tax On Restricted Stock Units</t>
  </si>
  <si>
    <t xml:space="preserve">   Repayment Of Debt</t>
  </si>
  <si>
    <t xml:space="preserve">   Dividends Paid</t>
  </si>
  <si>
    <t xml:space="preserve">   Principal Payments On Property And Equipment And Intangible Assets</t>
  </si>
  <si>
    <t xml:space="preserve">   Issuance Of Debt, Net Of Issuance Costs</t>
  </si>
  <si>
    <t>CONSOLIDATED STATEMENTS OF FUNDS FLOW</t>
  </si>
  <si>
    <t>Depreciation And Amort</t>
  </si>
  <si>
    <t>Capital Spending</t>
  </si>
  <si>
    <t>Excess Cash Flow/Share</t>
  </si>
  <si>
    <t>Acquisitions, Net</t>
  </si>
  <si>
    <t>Change Working Capital, Net</t>
  </si>
  <si>
    <t>EBITDA</t>
  </si>
  <si>
    <t>Earnings Per Share</t>
  </si>
  <si>
    <t>Common Shares Outstanding</t>
  </si>
  <si>
    <t>Stock Price</t>
  </si>
  <si>
    <t>(In millions, except per share data)</t>
  </si>
  <si>
    <t>Enterprise Value</t>
  </si>
  <si>
    <t>Investments In Non-Affiliated Entities And Other, Net</t>
  </si>
  <si>
    <t xml:space="preserve">   Net Cash Flow From Operations</t>
  </si>
  <si>
    <t xml:space="preserve">   Excess Cash Flow From Operations</t>
  </si>
  <si>
    <t xml:space="preserve">   Change In Cash And Cash Equivalents</t>
  </si>
  <si>
    <t>Issuance of Debt (Repayment), Net</t>
  </si>
  <si>
    <t>Dividends Paid</t>
  </si>
  <si>
    <t>Payment Related to Stock, Net</t>
  </si>
  <si>
    <t>Purchases Of Marketable Securities, Net</t>
  </si>
  <si>
    <t>Market Value Of Equity</t>
  </si>
  <si>
    <t>FCF</t>
  </si>
  <si>
    <t>Free Cash Flows To The Firm</t>
  </si>
  <si>
    <t xml:space="preserve">   CAPEX</t>
  </si>
  <si>
    <t xml:space="preserve">   Net Cash Provided By Operating Activities</t>
  </si>
  <si>
    <t xml:space="preserve">      Growth Rate</t>
  </si>
  <si>
    <t>Growth Rate</t>
  </si>
  <si>
    <t>YOY Growth Rate</t>
  </si>
  <si>
    <t xml:space="preserve">   YOY Growth Rate</t>
  </si>
  <si>
    <t>FY2025E</t>
  </si>
  <si>
    <t>Q1E</t>
  </si>
  <si>
    <t>Q2E</t>
  </si>
  <si>
    <t>Q3E</t>
  </si>
  <si>
    <t>Q4E</t>
  </si>
  <si>
    <t>Gross Margin</t>
  </si>
  <si>
    <t>FY 2025 (2024)</t>
  </si>
  <si>
    <t>FY 2026 (2025)</t>
  </si>
  <si>
    <t>FY25E</t>
  </si>
  <si>
    <t>Operating Income</t>
  </si>
  <si>
    <t>Taxes</t>
  </si>
  <si>
    <t>Depreciation Exp</t>
  </si>
  <si>
    <t>Change In Net Working Capital</t>
  </si>
  <si>
    <t>Capital Expenditure</t>
  </si>
  <si>
    <t>Free Cash Flow</t>
  </si>
  <si>
    <t>FY 2025</t>
  </si>
  <si>
    <t>FY 2026</t>
  </si>
  <si>
    <t>Terminal Year</t>
  </si>
  <si>
    <t>WACC</t>
  </si>
  <si>
    <t>Discount Factor</t>
  </si>
  <si>
    <t>Equity Value</t>
  </si>
  <si>
    <t>Discount Year</t>
  </si>
  <si>
    <t>Estimated Share Price</t>
  </si>
  <si>
    <t>EBITDA (Operating Income + Depreciation)</t>
  </si>
  <si>
    <t>Stock Price Date</t>
  </si>
  <si>
    <t>FY2026E</t>
  </si>
  <si>
    <t>FY2027E</t>
  </si>
  <si>
    <t>FY2028E</t>
  </si>
  <si>
    <t>Operating Margin</t>
  </si>
  <si>
    <t>FY 2027</t>
  </si>
  <si>
    <t>FY 2028</t>
  </si>
  <si>
    <t>Net Debt (FY2028E)</t>
  </si>
  <si>
    <t>FY 2027 (2026)</t>
  </si>
  <si>
    <t>FY 2028 (2027)</t>
  </si>
  <si>
    <t>PV of FCF</t>
  </si>
  <si>
    <t>Enterprise Value to EBITDA Multiple</t>
  </si>
  <si>
    <t>EV Multiple</t>
  </si>
  <si>
    <t>Total Debt</t>
  </si>
  <si>
    <t>Cash + Marketable Securities</t>
  </si>
  <si>
    <t>EBITDA (FY2028E)</t>
  </si>
  <si>
    <t>Enterprise Value (FY2028E)</t>
  </si>
  <si>
    <t>Market Equity Value (FY2028E)</t>
  </si>
  <si>
    <t>PV of Market Equity Value</t>
  </si>
  <si>
    <t>DCF Valuation Analysis</t>
  </si>
  <si>
    <t>EV Multiple Valuation Analysis</t>
  </si>
  <si>
    <t>Actual Close Price 5/2</t>
  </si>
  <si>
    <t>Public Stock Price (5/2)</t>
  </si>
  <si>
    <t>Nvidia Market Cap (In millions, except per share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</si>
</sst>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_(&quot;$&quot;* #,##0.0_);_(&quot;$&quot;* \(#,##0.0\);_(&quot;$&quot;* &quot;-&quot;??_);_(@_)"/>
    <numFmt numFmtId="167" formatCode="_(&quot;$&quot;* #,##0.0_);_(&quot;$&quot;* \(#,##0.0\);_(&quot;$&quot;* &quot;-&quot;?_);_(@_)"/>
    <numFmt numFmtId="168" formatCode="_(&quot;$&quot;* #,##0_);_(&quot;$&quot;* \(#,##0\);_(&quot;$&quot;* &quot;-&quot;??_);_(@_)"/>
    <numFmt numFmtId="169" formatCode="#,##0;\-#,##0;\-"/>
    <numFmt numFmtId="170" formatCode="0.0000"/>
    <numFmt numFmtId="171" formatCode="0.0%"/>
    <numFmt numFmtId="172" formatCode="0_);\(0\)"/>
    <numFmt numFmtId="173" formatCode="&quot;$&quot;#,##0.0_);\(&quot;$&quot;#,##0.0\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NVIDIA Sans Light"/>
      <family val="2"/>
    </font>
    <font>
      <b/>
      <sz val="12"/>
      <color theme="1"/>
      <name val="NVIDIA Sans Light"/>
      <family val="2"/>
    </font>
    <font>
      <b/>
      <sz val="12"/>
      <name val="NVIDIA Sans Light"/>
      <family val="2"/>
    </font>
    <font>
      <sz val="12"/>
      <name val="NVIDIA Sans Light"/>
      <family val="2"/>
    </font>
    <font>
      <b/>
      <sz val="12"/>
      <color rgb="FF92D050"/>
      <name val="NVIDIA Sans Light"/>
      <family val="2"/>
    </font>
    <font>
      <sz val="12"/>
      <color rgb="FF000000"/>
      <name val="NVIDIA Sans Light"/>
      <family val="2"/>
    </font>
    <font>
      <b/>
      <sz val="12"/>
      <color rgb="FF000000"/>
      <name val="NVIDIA Sans Light"/>
      <family val="2"/>
    </font>
    <font>
      <b/>
      <i/>
      <sz val="12"/>
      <color rgb="FF000000"/>
      <name val="NVIDIA Sans Light"/>
      <family val="2"/>
    </font>
    <font>
      <i/>
      <sz val="12"/>
      <name val="NVIDIA Sans Light"/>
      <family val="2"/>
    </font>
    <font>
      <i/>
      <sz val="12"/>
      <color theme="1"/>
      <name val="NVIDIA Sans Ligh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167" fontId="3" fillId="0" borderId="0" xfId="0" applyNumberFormat="1" applyFont="1"/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9" fontId="6" fillId="0" borderId="0" xfId="2" applyFont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3" fillId="0" borderId="0" xfId="0" applyNumberFormat="1" applyFont="1"/>
    <xf numFmtId="1" fontId="3" fillId="0" borderId="4" xfId="0" applyNumberFormat="1" applyFont="1" applyBorder="1"/>
    <xf numFmtId="1" fontId="3" fillId="0" borderId="2" xfId="0" applyNumberFormat="1" applyFont="1" applyBorder="1"/>
    <xf numFmtId="169" fontId="6" fillId="0" borderId="2" xfId="0" applyNumberFormat="1" applyFont="1" applyBorder="1" applyAlignment="1">
      <alignment horizontal="right"/>
    </xf>
    <xf numFmtId="169" fontId="3" fillId="0" borderId="0" xfId="0" applyNumberFormat="1" applyFont="1"/>
    <xf numFmtId="169" fontId="3" fillId="0" borderId="2" xfId="0" applyNumberFormat="1" applyFont="1" applyBorder="1"/>
    <xf numFmtId="169" fontId="3" fillId="0" borderId="4" xfId="0" applyNumberFormat="1" applyFont="1" applyBorder="1"/>
    <xf numFmtId="169" fontId="3" fillId="0" borderId="1" xfId="0" applyNumberFormat="1" applyFont="1" applyBorder="1"/>
    <xf numFmtId="165" fontId="3" fillId="0" borderId="0" xfId="0" applyNumberFormat="1" applyFont="1"/>
    <xf numFmtId="9" fontId="3" fillId="0" borderId="0" xfId="3" applyFont="1"/>
    <xf numFmtId="168" fontId="5" fillId="0" borderId="1" xfId="1" applyNumberFormat="1" applyFont="1" applyBorder="1" applyAlignment="1">
      <alignment horizontal="center"/>
    </xf>
    <xf numFmtId="9" fontId="7" fillId="0" borderId="1" xfId="2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4" fillId="0" borderId="3" xfId="0" applyFont="1" applyBorder="1"/>
    <xf numFmtId="168" fontId="4" fillId="0" borderId="3" xfId="0" applyNumberFormat="1" applyFont="1" applyBorder="1"/>
    <xf numFmtId="168" fontId="5" fillId="0" borderId="4" xfId="1" applyNumberFormat="1" applyFont="1" applyBorder="1" applyAlignment="1">
      <alignment horizontal="left"/>
    </xf>
    <xf numFmtId="168" fontId="5" fillId="0" borderId="4" xfId="1" applyNumberFormat="1" applyFont="1" applyBorder="1" applyAlignment="1">
      <alignment horizontal="right"/>
    </xf>
    <xf numFmtId="9" fontId="6" fillId="0" borderId="0" xfId="3" applyFont="1" applyAlignment="1">
      <alignment horizontal="center"/>
    </xf>
    <xf numFmtId="169" fontId="4" fillId="0" borderId="0" xfId="0" applyNumberFormat="1" applyFont="1"/>
    <xf numFmtId="169" fontId="3" fillId="0" borderId="0" xfId="4" applyNumberFormat="1" applyFont="1"/>
    <xf numFmtId="169" fontId="8" fillId="0" borderId="0" xfId="4" applyNumberFormat="1" applyFont="1"/>
    <xf numFmtId="168" fontId="3" fillId="0" borderId="0" xfId="4" applyNumberFormat="1" applyFont="1"/>
    <xf numFmtId="168" fontId="3" fillId="0" borderId="0" xfId="1" applyNumberFormat="1" applyFont="1"/>
    <xf numFmtId="0" fontId="4" fillId="0" borderId="1" xfId="0" applyFont="1" applyBorder="1" applyAlignment="1">
      <alignment horizontal="right"/>
    </xf>
    <xf numFmtId="169" fontId="3" fillId="0" borderId="0" xfId="0" applyNumberFormat="1" applyFont="1" applyAlignment="1">
      <alignment horizontal="right"/>
    </xf>
    <xf numFmtId="1" fontId="3" fillId="0" borderId="0" xfId="3" applyNumberFormat="1" applyFont="1"/>
    <xf numFmtId="1" fontId="3" fillId="0" borderId="2" xfId="3" applyNumberFormat="1" applyFont="1" applyBorder="1"/>
    <xf numFmtId="1" fontId="3" fillId="0" borderId="1" xfId="3" applyNumberFormat="1" applyFont="1" applyBorder="1"/>
    <xf numFmtId="9" fontId="3" fillId="0" borderId="3" xfId="3" applyFont="1" applyBorder="1"/>
    <xf numFmtId="172" fontId="3" fillId="0" borderId="0" xfId="0" applyNumberFormat="1" applyFont="1"/>
    <xf numFmtId="172" fontId="3" fillId="0" borderId="1" xfId="0" applyNumberFormat="1" applyFont="1" applyBorder="1"/>
    <xf numFmtId="164" fontId="6" fillId="0" borderId="0" xfId="0" applyNumberFormat="1" applyFont="1"/>
    <xf numFmtId="37" fontId="6" fillId="0" borderId="0" xfId="0" applyNumberFormat="1" applyFont="1"/>
    <xf numFmtId="173" fontId="6" fillId="0" borderId="0" xfId="0" applyNumberFormat="1" applyFont="1"/>
    <xf numFmtId="37" fontId="3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1" xfId="0" applyFont="1" applyBorder="1"/>
    <xf numFmtId="37" fontId="3" fillId="0" borderId="1" xfId="0" applyNumberFormat="1" applyFont="1" applyBorder="1"/>
    <xf numFmtId="168" fontId="3" fillId="0" borderId="1" xfId="0" applyNumberFormat="1" applyFont="1" applyBorder="1"/>
    <xf numFmtId="0" fontId="10" fillId="0" borderId="0" xfId="0" applyFont="1"/>
    <xf numFmtId="0" fontId="8" fillId="0" borderId="2" xfId="0" applyFont="1" applyBorder="1"/>
    <xf numFmtId="168" fontId="3" fillId="0" borderId="2" xfId="0" applyNumberFormat="1" applyFont="1" applyBorder="1"/>
    <xf numFmtId="0" fontId="4" fillId="0" borderId="1" xfId="0" applyFont="1" applyBorder="1"/>
    <xf numFmtId="165" fontId="3" fillId="0" borderId="0" xfId="1" applyFont="1"/>
    <xf numFmtId="0" fontId="3" fillId="0" borderId="3" xfId="0" applyFont="1" applyBorder="1"/>
    <xf numFmtId="168" fontId="4" fillId="0" borderId="3" xfId="4" applyNumberFormat="1" applyFont="1" applyBorder="1"/>
    <xf numFmtId="164" fontId="6" fillId="0" borderId="4" xfId="0" applyNumberFormat="1" applyFont="1" applyBorder="1"/>
    <xf numFmtId="2" fontId="3" fillId="0" borderId="0" xfId="0" applyNumberFormat="1" applyFont="1"/>
    <xf numFmtId="168" fontId="3" fillId="0" borderId="4" xfId="1" applyNumberFormat="1" applyFont="1" applyBorder="1"/>
    <xf numFmtId="0" fontId="8" fillId="0" borderId="4" xfId="0" applyFont="1" applyBorder="1"/>
    <xf numFmtId="9" fontId="3" fillId="0" borderId="1" xfId="3" applyFont="1" applyBorder="1"/>
    <xf numFmtId="2" fontId="3" fillId="0" borderId="0" xfId="3" applyNumberFormat="1" applyFont="1"/>
    <xf numFmtId="0" fontId="8" fillId="0" borderId="5" xfId="0" applyFont="1" applyBorder="1"/>
    <xf numFmtId="166" fontId="8" fillId="0" borderId="7" xfId="0" applyNumberFormat="1" applyFont="1" applyBorder="1"/>
    <xf numFmtId="0" fontId="8" fillId="0" borderId="8" xfId="0" applyFont="1" applyBorder="1" applyAlignment="1">
      <alignment horizontal="left"/>
    </xf>
    <xf numFmtId="170" fontId="8" fillId="0" borderId="10" xfId="0" applyNumberFormat="1" applyFont="1" applyBorder="1"/>
    <xf numFmtId="0" fontId="8" fillId="0" borderId="8" xfId="0" applyFont="1" applyBorder="1"/>
    <xf numFmtId="1" fontId="8" fillId="0" borderId="10" xfId="0" applyNumberFormat="1" applyFont="1" applyBorder="1"/>
    <xf numFmtId="171" fontId="8" fillId="0" borderId="10" xfId="0" applyNumberFormat="1" applyFont="1" applyBorder="1"/>
    <xf numFmtId="166" fontId="8" fillId="0" borderId="10" xfId="0" applyNumberFormat="1" applyFont="1" applyBorder="1"/>
    <xf numFmtId="166" fontId="8" fillId="0" borderId="0" xfId="0" applyNumberFormat="1" applyFont="1"/>
    <xf numFmtId="0" fontId="4" fillId="0" borderId="4" xfId="0" applyFont="1" applyBorder="1"/>
    <xf numFmtId="37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3" fontId="3" fillId="0" borderId="0" xfId="0" applyNumberFormat="1" applyFont="1"/>
    <xf numFmtId="3" fontId="4" fillId="0" borderId="4" xfId="0" applyNumberFormat="1" applyFont="1" applyBorder="1"/>
    <xf numFmtId="37" fontId="8" fillId="0" borderId="0" xfId="0" applyNumberFormat="1" applyFont="1"/>
    <xf numFmtId="37" fontId="3" fillId="0" borderId="0" xfId="4" applyNumberFormat="1" applyFont="1"/>
    <xf numFmtId="37" fontId="3" fillId="0" borderId="4" xfId="0" applyNumberFormat="1" applyFont="1" applyBorder="1"/>
    <xf numFmtId="37" fontId="3" fillId="0" borderId="2" xfId="0" applyNumberFormat="1" applyFont="1" applyBorder="1"/>
    <xf numFmtId="172" fontId="3" fillId="0" borderId="0" xfId="3" applyNumberFormat="1" applyFont="1"/>
    <xf numFmtId="172" fontId="3" fillId="0" borderId="4" xfId="3" applyNumberFormat="1" applyFont="1" applyBorder="1"/>
    <xf numFmtId="172" fontId="3" fillId="0" borderId="1" xfId="3" applyNumberFormat="1" applyFont="1" applyBorder="1"/>
    <xf numFmtId="172" fontId="4" fillId="0" borderId="3" xfId="3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right"/>
    </xf>
    <xf numFmtId="0" fontId="12" fillId="0" borderId="0" xfId="0" applyFont="1"/>
    <xf numFmtId="172" fontId="4" fillId="0" borderId="0" xfId="3" applyNumberFormat="1" applyFont="1" applyBorder="1"/>
    <xf numFmtId="168" fontId="12" fillId="0" borderId="0" xfId="0" applyNumberFormat="1" applyFont="1"/>
    <xf numFmtId="9" fontId="12" fillId="0" borderId="0" xfId="3" applyFont="1"/>
    <xf numFmtId="9" fontId="12" fillId="0" borderId="0" xfId="3" applyFont="1" applyBorder="1"/>
    <xf numFmtId="37" fontId="3" fillId="0" borderId="1" xfId="4" applyNumberFormat="1" applyFont="1" applyBorder="1"/>
    <xf numFmtId="0" fontId="5" fillId="0" borderId="1" xfId="0" applyFont="1" applyBorder="1" applyAlignment="1">
      <alignment horizontal="center"/>
    </xf>
    <xf numFmtId="37" fontId="3" fillId="0" borderId="0" xfId="1" applyNumberFormat="1" applyFont="1"/>
    <xf numFmtId="37" fontId="3" fillId="0" borderId="2" xfId="4" applyNumberFormat="1" applyFont="1" applyBorder="1"/>
    <xf numFmtId="3" fontId="4" fillId="0" borderId="0" xfId="0" applyNumberFormat="1" applyFont="1"/>
    <xf numFmtId="37" fontId="12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3" fillId="0" borderId="0" xfId="0" quotePrefix="1" applyFont="1"/>
    <xf numFmtId="39" fontId="8" fillId="0" borderId="0" xfId="0" applyNumberFormat="1" applyFont="1"/>
    <xf numFmtId="165" fontId="4" fillId="0" borderId="4" xfId="0" applyNumberFormat="1" applyFont="1" applyBorder="1"/>
    <xf numFmtId="0" fontId="4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/>
    <xf numFmtId="171" fontId="3" fillId="3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center"/>
    </xf>
    <xf numFmtId="169" fontId="7" fillId="0" borderId="0" xfId="0" applyNumberFormat="1" applyFont="1" applyAlignment="1">
      <alignment horizontal="center"/>
    </xf>
    <xf numFmtId="9" fontId="7" fillId="0" borderId="0" xfId="2" applyFont="1" applyBorder="1" applyAlignment="1">
      <alignment horizontal="center"/>
    </xf>
    <xf numFmtId="14" fontId="3" fillId="0" borderId="0" xfId="0" applyNumberFormat="1" applyFont="1" applyAlignment="1">
      <alignment horizontal="right"/>
    </xf>
    <xf numFmtId="2" fontId="4" fillId="0" borderId="4" xfId="0" applyNumberFormat="1" applyFont="1" applyBorder="1"/>
    <xf numFmtId="9" fontId="7" fillId="0" borderId="1" xfId="3" applyFont="1" applyBorder="1" applyAlignment="1">
      <alignment horizontal="center"/>
    </xf>
    <xf numFmtId="168" fontId="5" fillId="0" borderId="1" xfId="0" applyNumberFormat="1" applyFont="1" applyBorder="1" applyAlignment="1">
      <alignment horizontal="right"/>
    </xf>
    <xf numFmtId="168" fontId="3" fillId="0" borderId="4" xfId="4" applyNumberFormat="1" applyFont="1" applyBorder="1"/>
    <xf numFmtId="168" fontId="3" fillId="0" borderId="0" xfId="1" applyNumberFormat="1" applyFont="1" applyBorder="1"/>
    <xf numFmtId="9" fontId="4" fillId="0" borderId="0" xfId="3" applyFont="1"/>
    <xf numFmtId="10" fontId="3" fillId="0" borderId="0" xfId="3" applyNumberFormat="1" applyFont="1"/>
    <xf numFmtId="165" fontId="4" fillId="0" borderId="0" xfId="0" applyNumberFormat="1" applyFont="1"/>
    <xf numFmtId="39" fontId="3" fillId="0" borderId="0" xfId="0" applyNumberFormat="1" applyFont="1"/>
    <xf numFmtId="9" fontId="3" fillId="0" borderId="0" xfId="3" applyFont="1" applyBorder="1"/>
    <xf numFmtId="2" fontId="8" fillId="0" borderId="10" xfId="0" applyNumberFormat="1" applyFont="1" applyBorder="1"/>
    <xf numFmtId="0" fontId="8" fillId="4" borderId="8" xfId="0" applyFont="1" applyFill="1" applyBorder="1"/>
    <xf numFmtId="10" fontId="8" fillId="4" borderId="1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Percent" xfId="3" builtinId="5"/>
    <cellStyle name="Percent 2" xfId="2" xr:uid="{EDB3FC9E-2E33-AF47-A86A-06CDC2CDC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6BA9-F39A-B64B-BB4D-686875435032}">
  <sheetPr>
    <pageSetUpPr fitToPage="1"/>
  </sheetPr>
  <dimension ref="A1:K86"/>
  <sheetViews>
    <sheetView zoomScaleNormal="86" workbookViewId="0">
      <pane xSplit="1" ySplit="4" topLeftCell="B52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"/>
  <cols>
    <col min="1" max="1" width="36.83203125" style="1" customWidth="1"/>
    <col min="2" max="11" width="16.83203125" style="1" customWidth="1"/>
    <col min="12" max="16384" width="10.83203125" style="1"/>
  </cols>
  <sheetData>
    <row r="1" spans="1:11">
      <c r="A1" s="2" t="s">
        <v>31</v>
      </c>
    </row>
    <row r="2" spans="1:11">
      <c r="A2" s="2" t="s">
        <v>28</v>
      </c>
    </row>
    <row r="4" spans="1:11">
      <c r="A4" s="3" t="s">
        <v>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29</v>
      </c>
      <c r="H4" s="119" t="s">
        <v>200</v>
      </c>
      <c r="I4" s="119" t="s">
        <v>201</v>
      </c>
      <c r="J4" s="119" t="s">
        <v>226</v>
      </c>
      <c r="K4" s="119" t="s">
        <v>227</v>
      </c>
    </row>
    <row r="5" spans="1:1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0" t="s">
        <v>5</v>
      </c>
      <c r="B6" s="16">
        <f>'Income Statement Yearly'!B15</f>
        <v>3804</v>
      </c>
      <c r="C6" s="16">
        <f>'Income Statement Yearly'!C15</f>
        <v>2846</v>
      </c>
      <c r="D6" s="16">
        <f>'Forecasted Statements Combined'!B44</f>
        <v>4532</v>
      </c>
      <c r="E6" s="16">
        <f>'Forecasted Statements Combined'!C44</f>
        <v>10041</v>
      </c>
      <c r="F6" s="16">
        <f>'Forecasted Statements Combined'!D44</f>
        <v>4224</v>
      </c>
      <c r="G6" s="16">
        <f>'Forecasted Statements Combined'!E44</f>
        <v>32972</v>
      </c>
      <c r="H6" s="16">
        <f>'Forecasted Statements Combined'!F44</f>
        <v>83660.850000000006</v>
      </c>
      <c r="I6" s="16">
        <f>'Forecasted Statements Combined'!G44</f>
        <v>117125.19</v>
      </c>
      <c r="J6" s="16">
        <f>'Forecasted Statements Combined'!H44</f>
        <v>164269.28700000001</v>
      </c>
      <c r="K6" s="16">
        <f>'Forecasted Statements Combined'!I44</f>
        <v>197123.14440000002</v>
      </c>
    </row>
    <row r="7" spans="1:11">
      <c r="A7" s="10" t="s">
        <v>6</v>
      </c>
      <c r="B7" s="18">
        <f>'Income Statement Yearly'!B15/'Income Statement Yearly'!B6</f>
        <v>0.32468419255718678</v>
      </c>
      <c r="C7" s="18">
        <f>'Income Statement Yearly'!C15/'Income Statement Yearly'!C6</f>
        <v>0.2606704524638212</v>
      </c>
      <c r="D7" s="18">
        <f>'Forecasted Statements Combined'!B44/'Forecasted Statements Combined'!B7</f>
        <v>0.27178410794602698</v>
      </c>
      <c r="E7" s="18">
        <f>'Forecasted Statements Combined'!C44/'Forecasted Statements Combined'!C7</f>
        <v>0.37307720888756779</v>
      </c>
      <c r="F7" s="18">
        <f>'Forecasted Statements Combined'!D44/'Forecasted Statements Combined'!D7</f>
        <v>0.1565952398606065</v>
      </c>
      <c r="G7" s="18">
        <f>'Forecasted Statements Combined'!E44/'Forecasted Statements Combined'!E7</f>
        <v>0.54121663766783756</v>
      </c>
      <c r="H7" s="18">
        <f>'Forecasted Statements Combined'!F44/'Forecasted Statements Combined'!F7</f>
        <v>0.63408253751705324</v>
      </c>
      <c r="I7" s="18">
        <f>'Forecasted Statements Combined'!G44/'Forecasted Statements Combined'!G7</f>
        <v>0.63408253751705324</v>
      </c>
      <c r="J7" s="18">
        <f>'Forecasted Statements Combined'!H44/'Forecasted Statements Combined'!H7</f>
        <v>0.68408253751705317</v>
      </c>
      <c r="K7" s="18">
        <f>'Forecasted Statements Combined'!I44/'Forecasted Statements Combined'!I7</f>
        <v>0.68408253751705317</v>
      </c>
    </row>
    <row r="8" spans="1:11">
      <c r="A8" s="10" t="s">
        <v>39</v>
      </c>
      <c r="B8" s="18">
        <f>'Income Statement Yearly'!B21/'Income Statement Yearly'!B20</f>
        <v>-6.2885010266940447E-2</v>
      </c>
      <c r="C8" s="18">
        <f>'Income Statement Yearly'!C21/'Income Statement Yearly'!C20</f>
        <v>5.8585858585858588E-2</v>
      </c>
      <c r="D8" s="18">
        <f>'Forecasted Statements Combined'!B53</f>
        <v>1.7464277613971423E-2</v>
      </c>
      <c r="E8" s="18">
        <f>'Forecasted Statements Combined'!C53</f>
        <v>1.9012171813700834E-2</v>
      </c>
      <c r="F8" s="18">
        <f>'Forecasted Statements Combined'!D53</f>
        <v>-4.4726142071274816E-2</v>
      </c>
      <c r="G8" s="18">
        <f>'Forecasted Statements Combined'!E53</f>
        <v>0.1199952687917677</v>
      </c>
      <c r="H8" s="18">
        <f>'Forecasted Statements Combined'!F53</f>
        <v>0.17</v>
      </c>
      <c r="I8" s="18">
        <f>'Forecasted Statements Combined'!G53</f>
        <v>0.17</v>
      </c>
      <c r="J8" s="18">
        <f>'Forecasted Statements Combined'!H53</f>
        <v>0.17</v>
      </c>
      <c r="K8" s="18">
        <f>'Forecasted Statements Combined'!I53</f>
        <v>0.17</v>
      </c>
    </row>
    <row r="9" spans="1:11">
      <c r="A9" s="3" t="s">
        <v>40</v>
      </c>
      <c r="B9" s="30">
        <f>(B6)*(1-B8)</f>
        <v>4043.2145790554418</v>
      </c>
      <c r="C9" s="30">
        <f t="shared" ref="C9:E9" si="0">(C6)*(1-C8)</f>
        <v>2679.2646464646464</v>
      </c>
      <c r="D9" s="30">
        <f t="shared" si="0"/>
        <v>4452.8518938534817</v>
      </c>
      <c r="E9" s="30">
        <f t="shared" si="0"/>
        <v>9850.0987828186298</v>
      </c>
      <c r="F9" s="30">
        <f t="shared" ref="F9:G9" si="1">(F6)*(1-F8)</f>
        <v>4412.9232241090649</v>
      </c>
      <c r="G9" s="30">
        <f t="shared" si="1"/>
        <v>29015.515997397837</v>
      </c>
      <c r="H9" s="30">
        <f t="shared" ref="H9" si="2">(H6)*(1-H8)</f>
        <v>69438.505499999999</v>
      </c>
      <c r="I9" s="30">
        <f t="shared" ref="I9:J9" si="3">(I6)*(1-I8)</f>
        <v>97213.907699999996</v>
      </c>
      <c r="J9" s="30">
        <f t="shared" si="3"/>
        <v>136343.50821</v>
      </c>
      <c r="K9" s="30">
        <f t="shared" ref="K9" si="4">(K6)*(1-K8)</f>
        <v>163612.209852</v>
      </c>
    </row>
    <row r="10" spans="1:11">
      <c r="A10" s="95" t="s">
        <v>190</v>
      </c>
      <c r="B10" s="96"/>
      <c r="C10" s="97">
        <f>C9/B9-1</f>
        <v>-0.33734294975495349</v>
      </c>
      <c r="D10" s="97">
        <f t="shared" ref="D10:K10" si="5">D9/C9-1</f>
        <v>0.66196792083571365</v>
      </c>
      <c r="E10" s="97">
        <f t="shared" si="5"/>
        <v>1.212087672714933</v>
      </c>
      <c r="F10" s="97">
        <f t="shared" si="5"/>
        <v>-0.5519919828817903</v>
      </c>
      <c r="G10" s="97">
        <f t="shared" si="5"/>
        <v>5.5751236819344046</v>
      </c>
      <c r="H10" s="97">
        <f t="shared" si="5"/>
        <v>1.3931508061489364</v>
      </c>
      <c r="I10" s="97">
        <f t="shared" si="5"/>
        <v>0.39999999999999991</v>
      </c>
      <c r="J10" s="97">
        <f t="shared" si="5"/>
        <v>0.40251031396405845</v>
      </c>
      <c r="K10" s="97">
        <f t="shared" si="5"/>
        <v>0.19999999999999996</v>
      </c>
    </row>
    <row r="11" spans="1: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0" t="s">
        <v>7</v>
      </c>
      <c r="B12" s="17">
        <f>'Balance Sheet'!B13</f>
        <v>10557</v>
      </c>
      <c r="C12" s="17">
        <f>'Balance Sheet'!C13</f>
        <v>13690</v>
      </c>
      <c r="D12" s="17">
        <f>'Forecasted Statements Combined'!B103</f>
        <v>16055</v>
      </c>
      <c r="E12" s="17">
        <f>'Forecasted Statements Combined'!C103</f>
        <v>28829</v>
      </c>
      <c r="F12" s="17">
        <f>'Forecasted Statements Combined'!D103</f>
        <v>23073</v>
      </c>
      <c r="G12" s="17">
        <f>'Forecasted Statements Combined'!E103</f>
        <v>44345</v>
      </c>
      <c r="H12" s="17">
        <f>'Forecasted Statements Combined'!F103</f>
        <v>81575.616197315831</v>
      </c>
      <c r="I12" s="17">
        <f>'Forecasted Statements Combined'!G103</f>
        <v>158657.89792619128</v>
      </c>
      <c r="J12" s="17">
        <f>'Forecasted Statements Combined'!H103</f>
        <v>278625.3855617661</v>
      </c>
      <c r="K12" s="17">
        <f>'Forecasted Statements Combined'!I103</f>
        <v>431572.00223009149</v>
      </c>
    </row>
    <row r="13" spans="1:11">
      <c r="A13" s="10" t="s">
        <v>8</v>
      </c>
      <c r="B13" s="83">
        <v>1329</v>
      </c>
      <c r="C13" s="83">
        <v>1784</v>
      </c>
      <c r="D13" s="83">
        <f>'Forecasted Statements Combined'!B117</f>
        <v>3925</v>
      </c>
      <c r="E13" s="83">
        <f>'Forecasted Statements Combined'!C117</f>
        <v>4335</v>
      </c>
      <c r="F13" s="83">
        <f>'Forecasted Statements Combined'!D117</f>
        <v>6563</v>
      </c>
      <c r="G13" s="83">
        <f>'Forecasted Statements Combined'!E117</f>
        <v>10631</v>
      </c>
      <c r="H13" s="83">
        <f>'Forecasted Statements Combined'!F117</f>
        <v>18471.599999999999</v>
      </c>
      <c r="I13" s="83">
        <f>'Forecasted Statements Combined'!G117</f>
        <v>25860.240000000002</v>
      </c>
      <c r="J13" s="83">
        <f>'Forecasted Statements Combined'!H117</f>
        <v>33618.312000000005</v>
      </c>
      <c r="K13" s="83">
        <f>'Forecasted Statements Combined'!I117</f>
        <v>40341.974400000006</v>
      </c>
    </row>
    <row r="14" spans="1:11">
      <c r="A14" s="10" t="s">
        <v>9</v>
      </c>
      <c r="B14" s="83">
        <f>'Balance Sheet'!B8</f>
        <v>782</v>
      </c>
      <c r="C14" s="83">
        <f>'Balance Sheet'!C8</f>
        <v>10896</v>
      </c>
      <c r="D14" s="83">
        <f>'Forecasted Statements Combined'!B98</f>
        <v>847</v>
      </c>
      <c r="E14" s="83">
        <f>'Forecasted Statements Combined'!C98</f>
        <v>1990</v>
      </c>
      <c r="F14" s="83">
        <f>'Forecasted Statements Combined'!D98</f>
        <v>3389</v>
      </c>
      <c r="G14" s="83">
        <f>'Forecasted Statements Combined'!E98</f>
        <v>7280</v>
      </c>
      <c r="H14" s="83">
        <f>'Forecasted Statements Combined'!F98</f>
        <v>21993.616197315823</v>
      </c>
      <c r="I14" s="83">
        <f>'Forecasted Statements Combined'!G98</f>
        <v>83243.097926191287</v>
      </c>
      <c r="J14" s="83">
        <f>'Forecasted Statements Combined'!H98</f>
        <v>186586.14556176611</v>
      </c>
      <c r="K14" s="83">
        <f>'Forecasted Statements Combined'!I98</f>
        <v>325124.9142300915</v>
      </c>
    </row>
    <row r="15" spans="1:11">
      <c r="A15" s="10" t="s">
        <v>26</v>
      </c>
      <c r="B15" s="83">
        <f>'Balance Sheet'!B9</f>
        <v>6640</v>
      </c>
      <c r="C15" s="83">
        <f>'Balance Sheet'!C9</f>
        <v>1</v>
      </c>
      <c r="D15" s="83">
        <f>'Forecasted Statements Combined'!B99</f>
        <v>10714</v>
      </c>
      <c r="E15" s="83">
        <f>'Forecasted Statements Combined'!C99</f>
        <v>19218</v>
      </c>
      <c r="F15" s="83">
        <f>'Forecasted Statements Combined'!D99</f>
        <v>9907</v>
      </c>
      <c r="G15" s="83">
        <f>'Forecasted Statements Combined'!E99</f>
        <v>18704</v>
      </c>
      <c r="H15" s="83">
        <f>'Forecasted Statements Combined'!F99</f>
        <v>20000</v>
      </c>
      <c r="I15" s="83">
        <f>'Forecasted Statements Combined'!G99</f>
        <v>20000</v>
      </c>
      <c r="J15" s="83">
        <f>'Forecasted Statements Combined'!H99</f>
        <v>20000</v>
      </c>
      <c r="K15" s="83">
        <f>'Forecasted Statements Combined'!I99</f>
        <v>20000</v>
      </c>
    </row>
    <row r="16" spans="1:11">
      <c r="A16" s="13" t="s">
        <v>10</v>
      </c>
      <c r="B16" s="23">
        <f>'Balance Sheet'!B26</f>
        <v>0</v>
      </c>
      <c r="C16" s="23">
        <f>'Balance Sheet'!C26</f>
        <v>0</v>
      </c>
      <c r="D16" s="19">
        <f>'Forecasted Statements Combined'!B116</f>
        <v>999</v>
      </c>
      <c r="E16" s="23">
        <f>'Forecasted Statements Combined'!C116</f>
        <v>0</v>
      </c>
      <c r="F16" s="19">
        <f>'Forecasted Statements Combined'!D116</f>
        <v>1250</v>
      </c>
      <c r="G16" s="19">
        <f>'Forecasted Statements Combined'!E116</f>
        <v>1250</v>
      </c>
      <c r="H16" s="23">
        <f>'Forecasted Statements Combined'!F116</f>
        <v>0</v>
      </c>
      <c r="I16" s="23">
        <f>'Forecasted Statements Combined'!G116</f>
        <v>0</v>
      </c>
      <c r="J16" s="23">
        <f>'Forecasted Statements Combined'!H116</f>
        <v>0</v>
      </c>
      <c r="K16" s="23">
        <f>'Forecasted Statements Combined'!I116</f>
        <v>0</v>
      </c>
    </row>
    <row r="17" spans="1:11">
      <c r="A17" s="10" t="s">
        <v>11</v>
      </c>
      <c r="B17" s="83">
        <f t="shared" ref="B17:E17" si="6">B12-B13-B14-B15+B16</f>
        <v>1806</v>
      </c>
      <c r="C17" s="83">
        <f t="shared" si="6"/>
        <v>1009</v>
      </c>
      <c r="D17" s="83">
        <f t="shared" si="6"/>
        <v>1568</v>
      </c>
      <c r="E17" s="83">
        <f t="shared" si="6"/>
        <v>3286</v>
      </c>
      <c r="F17" s="83">
        <f t="shared" ref="F17:K17" si="7">F12-F13-F14-F15+F16</f>
        <v>4464</v>
      </c>
      <c r="G17" s="83">
        <f t="shared" si="7"/>
        <v>8980</v>
      </c>
      <c r="H17" s="83">
        <f t="shared" si="7"/>
        <v>21110.400000000009</v>
      </c>
      <c r="I17" s="83">
        <f t="shared" si="7"/>
        <v>29554.559999999998</v>
      </c>
      <c r="J17" s="83">
        <f t="shared" si="7"/>
        <v>38420.927999999985</v>
      </c>
      <c r="K17" s="83">
        <f t="shared" si="7"/>
        <v>46105.113599999982</v>
      </c>
    </row>
    <row r="18" spans="1:11">
      <c r="A18" s="10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>
      <c r="A19" s="1" t="s">
        <v>38</v>
      </c>
      <c r="B19" s="17">
        <f>'Balance Sheet'!B14</f>
        <v>1404</v>
      </c>
      <c r="C19" s="17">
        <f>'Balance Sheet'!C14</f>
        <v>1674</v>
      </c>
      <c r="D19" s="17">
        <f>'Forecasted Statements Combined'!B104</f>
        <v>2149</v>
      </c>
      <c r="E19" s="17">
        <f>'Forecasted Statements Combined'!C104</f>
        <v>2778</v>
      </c>
      <c r="F19" s="17">
        <f>'Forecasted Statements Combined'!D104</f>
        <v>3807</v>
      </c>
      <c r="G19" s="17">
        <f>'Forecasted Statements Combined'!E104</f>
        <v>3914</v>
      </c>
      <c r="H19" s="17">
        <f>'Forecasted Statements Combined'!F104</f>
        <v>6914</v>
      </c>
      <c r="I19" s="17">
        <f>'Forecasted Statements Combined'!G104</f>
        <v>11914</v>
      </c>
      <c r="J19" s="17">
        <f>'Forecasted Statements Combined'!H104</f>
        <v>16914</v>
      </c>
      <c r="K19" s="17">
        <f>'Forecasted Statements Combined'!I104</f>
        <v>21914</v>
      </c>
    </row>
    <row r="20" spans="1:11">
      <c r="A20" s="10" t="s">
        <v>34</v>
      </c>
      <c r="B20" s="84">
        <f>'Balance Sheet'!B15</f>
        <v>0</v>
      </c>
      <c r="C20" s="83">
        <f>'Balance Sheet'!C15</f>
        <v>618</v>
      </c>
      <c r="D20" s="83">
        <f>'Forecasted Statements Combined'!B105</f>
        <v>707</v>
      </c>
      <c r="E20" s="83">
        <f>'Forecasted Statements Combined'!C105</f>
        <v>829</v>
      </c>
      <c r="F20" s="83">
        <f>'Forecasted Statements Combined'!D105</f>
        <v>1038</v>
      </c>
      <c r="G20" s="83">
        <f>'Forecasted Statements Combined'!E105</f>
        <v>1346</v>
      </c>
      <c r="H20" s="83">
        <f>'Forecasted Statements Combined'!F105</f>
        <v>1319.4</v>
      </c>
      <c r="I20" s="83">
        <f>'Forecasted Statements Combined'!G105</f>
        <v>1847.16</v>
      </c>
      <c r="J20" s="83">
        <f>'Forecasted Statements Combined'!H105</f>
        <v>2401.3080000000004</v>
      </c>
      <c r="K20" s="83">
        <f>'Forecasted Statements Combined'!I105</f>
        <v>2881.5696000000003</v>
      </c>
    </row>
    <row r="21" spans="1:11">
      <c r="A21" s="10" t="s">
        <v>12</v>
      </c>
      <c r="B21" s="83">
        <f>'Balance Sheet'!B16</f>
        <v>618</v>
      </c>
      <c r="C21" s="83">
        <f>'Balance Sheet'!C16</f>
        <v>618</v>
      </c>
      <c r="D21" s="83">
        <f>'Forecasted Statements Combined'!B106</f>
        <v>4193</v>
      </c>
      <c r="E21" s="83">
        <f>'Forecasted Statements Combined'!C106</f>
        <v>4349</v>
      </c>
      <c r="F21" s="83">
        <f>'Forecasted Statements Combined'!D106</f>
        <v>4372</v>
      </c>
      <c r="G21" s="83">
        <f>'Forecasted Statements Combined'!E106</f>
        <v>4430</v>
      </c>
      <c r="H21" s="83">
        <f>'Forecasted Statements Combined'!F106</f>
        <v>4500</v>
      </c>
      <c r="I21" s="83">
        <f>'Forecasted Statements Combined'!G106</f>
        <v>4500</v>
      </c>
      <c r="J21" s="83">
        <f>'Forecasted Statements Combined'!H106</f>
        <v>4500</v>
      </c>
      <c r="K21" s="83">
        <f>'Forecasted Statements Combined'!I106</f>
        <v>4500</v>
      </c>
    </row>
    <row r="22" spans="1:11">
      <c r="A22" s="1" t="s">
        <v>35</v>
      </c>
      <c r="B22" s="83">
        <f>'Balance Sheet'!B17</f>
        <v>45</v>
      </c>
      <c r="C22" s="83">
        <f>'Balance Sheet'!C17</f>
        <v>49</v>
      </c>
      <c r="D22" s="83">
        <f>'Forecasted Statements Combined'!B107</f>
        <v>2737</v>
      </c>
      <c r="E22" s="83">
        <f>'Forecasted Statements Combined'!C107</f>
        <v>2339</v>
      </c>
      <c r="F22" s="83">
        <f>'Forecasted Statements Combined'!D107</f>
        <v>1676</v>
      </c>
      <c r="G22" s="83">
        <f>'Forecasted Statements Combined'!E107</f>
        <v>1112</v>
      </c>
      <c r="H22" s="83">
        <f>'Forecasted Statements Combined'!F107</f>
        <v>1200</v>
      </c>
      <c r="I22" s="83">
        <f>'Forecasted Statements Combined'!G107</f>
        <v>1500</v>
      </c>
      <c r="J22" s="83">
        <f>'Forecasted Statements Combined'!H107</f>
        <v>2000</v>
      </c>
      <c r="K22" s="83">
        <f>'Forecasted Statements Combined'!I107</f>
        <v>2000</v>
      </c>
    </row>
    <row r="23" spans="1:11">
      <c r="A23" s="1" t="s">
        <v>36</v>
      </c>
      <c r="B23" s="83">
        <f>'Balance Sheet'!B18</f>
        <v>560</v>
      </c>
      <c r="C23" s="83">
        <f>'Balance Sheet'!C18</f>
        <v>548</v>
      </c>
      <c r="D23" s="83">
        <f>'Forecasted Statements Combined'!B108</f>
        <v>806</v>
      </c>
      <c r="E23" s="83">
        <f>'Forecasted Statements Combined'!C108</f>
        <v>1222</v>
      </c>
      <c r="F23" s="83">
        <f>'Forecasted Statements Combined'!D108</f>
        <v>3396</v>
      </c>
      <c r="G23" s="83">
        <f>'Forecasted Statements Combined'!E108</f>
        <v>6081</v>
      </c>
      <c r="H23" s="83">
        <f>'Forecasted Statements Combined'!F108</f>
        <v>7000</v>
      </c>
      <c r="I23" s="83">
        <f>'Forecasted Statements Combined'!G108</f>
        <v>7000</v>
      </c>
      <c r="J23" s="83">
        <f>'Forecasted Statements Combined'!H108</f>
        <v>7000</v>
      </c>
      <c r="K23" s="83">
        <f>'Forecasted Statements Combined'!I108</f>
        <v>7000</v>
      </c>
    </row>
    <row r="24" spans="1:11">
      <c r="A24" s="1" t="s">
        <v>37</v>
      </c>
      <c r="B24" s="83">
        <f>'Balance Sheet'!B19</f>
        <v>108</v>
      </c>
      <c r="C24" s="83">
        <f>'Balance Sheet'!C19</f>
        <v>118</v>
      </c>
      <c r="D24" s="83">
        <f>'Forecasted Statements Combined'!B109</f>
        <v>2144</v>
      </c>
      <c r="E24" s="83">
        <f>'Forecasted Statements Combined'!C109</f>
        <v>3841</v>
      </c>
      <c r="F24" s="83">
        <f>'Forecasted Statements Combined'!D109</f>
        <v>3820</v>
      </c>
      <c r="G24" s="83">
        <f>'Forecasted Statements Combined'!E109</f>
        <v>4500</v>
      </c>
      <c r="H24" s="83">
        <f>'Forecasted Statements Combined'!F109</f>
        <v>5000</v>
      </c>
      <c r="I24" s="83">
        <f>'Forecasted Statements Combined'!G109</f>
        <v>5000</v>
      </c>
      <c r="J24" s="83">
        <f>'Forecasted Statements Combined'!H109</f>
        <v>5000</v>
      </c>
      <c r="K24" s="83">
        <f>'Forecasted Statements Combined'!I109</f>
        <v>5000</v>
      </c>
    </row>
    <row r="25" spans="1:11">
      <c r="A25" s="35" t="s">
        <v>33</v>
      </c>
      <c r="B25" s="36">
        <f>SUM(B17:B24)</f>
        <v>4541</v>
      </c>
      <c r="C25" s="36">
        <f t="shared" ref="C25:E25" si="8">SUM(C17:C24)</f>
        <v>4634</v>
      </c>
      <c r="D25" s="36">
        <f t="shared" si="8"/>
        <v>14304</v>
      </c>
      <c r="E25" s="36">
        <f t="shared" si="8"/>
        <v>18644</v>
      </c>
      <c r="F25" s="36">
        <f t="shared" ref="F25:G25" si="9">SUM(F17:F24)</f>
        <v>22573</v>
      </c>
      <c r="G25" s="36">
        <f t="shared" si="9"/>
        <v>30363</v>
      </c>
      <c r="H25" s="36">
        <f t="shared" ref="H25:I25" si="10">SUM(H17:H24)</f>
        <v>47043.80000000001</v>
      </c>
      <c r="I25" s="36">
        <f t="shared" si="10"/>
        <v>61315.72</v>
      </c>
      <c r="J25" s="36">
        <f t="shared" ref="J25:K25" si="11">SUM(J17:J24)</f>
        <v>76236.235999999975</v>
      </c>
      <c r="K25" s="36">
        <f t="shared" si="11"/>
        <v>89400.683199999985</v>
      </c>
    </row>
    <row r="26" spans="1:11">
      <c r="A26" s="95" t="s">
        <v>190</v>
      </c>
      <c r="B26" s="97">
        <f>B25/(1009+1986)-1</f>
        <v>0.51619365609348922</v>
      </c>
      <c r="C26" s="97">
        <f>C25/B25-1</f>
        <v>2.0480070469059752E-2</v>
      </c>
      <c r="D26" s="97">
        <f t="shared" ref="D26" si="12">D25/C25-1</f>
        <v>2.0867501078981441</v>
      </c>
      <c r="E26" s="97">
        <f t="shared" ref="E26" si="13">E25/D25-1</f>
        <v>0.30341163310961972</v>
      </c>
      <c r="F26" s="97">
        <f t="shared" ref="F26" si="14">F25/E25-1</f>
        <v>0.21073803904741473</v>
      </c>
      <c r="G26" s="97">
        <f t="shared" ref="G26:K26" si="15">G25/F25-1</f>
        <v>0.34510255615115404</v>
      </c>
      <c r="H26" s="97">
        <f t="shared" si="15"/>
        <v>0.54937917860553998</v>
      </c>
      <c r="I26" s="97">
        <f t="shared" si="15"/>
        <v>0.30337515251744085</v>
      </c>
      <c r="J26" s="97">
        <f t="shared" si="15"/>
        <v>0.24333916326840765</v>
      </c>
      <c r="K26" s="97">
        <f t="shared" si="15"/>
        <v>0.17267965852878686</v>
      </c>
    </row>
    <row r="27" spans="1:11">
      <c r="A27" s="10"/>
      <c r="B27" s="17"/>
      <c r="C27" s="17"/>
      <c r="D27" s="17"/>
      <c r="E27" s="37"/>
      <c r="F27" s="17"/>
      <c r="G27" s="17"/>
      <c r="H27" s="17"/>
      <c r="I27" s="17"/>
      <c r="J27" s="17"/>
      <c r="K27" s="17"/>
    </row>
    <row r="28" spans="1:11">
      <c r="A28" s="3" t="s">
        <v>13</v>
      </c>
      <c r="B28" s="125">
        <f>(B25+1009+1986)/2</f>
        <v>3768</v>
      </c>
      <c r="C28" s="32">
        <f>AVERAGE(B25:C25)</f>
        <v>4587.5</v>
      </c>
      <c r="D28" s="32">
        <f t="shared" ref="D28:K28" si="16">AVERAGE(C25:D25)</f>
        <v>9469</v>
      </c>
      <c r="E28" s="32">
        <f t="shared" si="16"/>
        <v>16474</v>
      </c>
      <c r="F28" s="32">
        <f t="shared" si="16"/>
        <v>20608.5</v>
      </c>
      <c r="G28" s="32">
        <f t="shared" si="16"/>
        <v>26468</v>
      </c>
      <c r="H28" s="32">
        <f t="shared" si="16"/>
        <v>38703.400000000009</v>
      </c>
      <c r="I28" s="32">
        <f t="shared" si="16"/>
        <v>54179.760000000009</v>
      </c>
      <c r="J28" s="32">
        <f t="shared" si="16"/>
        <v>68775.977999999988</v>
      </c>
      <c r="K28" s="32">
        <f t="shared" si="16"/>
        <v>82818.459599999973</v>
      </c>
    </row>
    <row r="29" spans="1:11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>
      <c r="A30" s="3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25</v>
      </c>
      <c r="G30" s="4" t="s">
        <v>32</v>
      </c>
      <c r="H30" s="119" t="s">
        <v>209</v>
      </c>
      <c r="I30" s="119" t="s">
        <v>210</v>
      </c>
      <c r="J30" s="119" t="s">
        <v>223</v>
      </c>
      <c r="K30" s="119" t="s">
        <v>224</v>
      </c>
    </row>
    <row r="31" spans="1:11">
      <c r="A31" s="3" t="s">
        <v>14</v>
      </c>
      <c r="B31" s="124">
        <f>B9/B28</f>
        <v>1.0730399625943317</v>
      </c>
      <c r="C31" s="31">
        <f t="shared" ref="C31:E31" si="17">C9/C28</f>
        <v>0.58403589023752511</v>
      </c>
      <c r="D31" s="31">
        <f t="shared" si="17"/>
        <v>0.47025577081565972</v>
      </c>
      <c r="E31" s="31">
        <f t="shared" si="17"/>
        <v>0.59791785740066949</v>
      </c>
      <c r="F31" s="31">
        <f t="shared" ref="F31:G31" si="18">F9/F28</f>
        <v>0.21413121887129413</v>
      </c>
      <c r="G31" s="31">
        <f t="shared" si="18"/>
        <v>1.0962489042389993</v>
      </c>
      <c r="H31" s="31">
        <f t="shared" ref="H31:I31" si="19">H9/H28</f>
        <v>1.7941190050486517</v>
      </c>
      <c r="I31" s="31">
        <f t="shared" si="19"/>
        <v>1.7942845760114106</v>
      </c>
      <c r="J31" s="31">
        <f t="shared" ref="J31:K31" si="20">J9/J28</f>
        <v>1.9824292169280389</v>
      </c>
      <c r="K31" s="31">
        <f t="shared" si="20"/>
        <v>1.9755524389395918</v>
      </c>
    </row>
    <row r="32" spans="1:11">
      <c r="A32" s="14"/>
      <c r="B32" s="120"/>
      <c r="C32" s="121"/>
      <c r="D32" s="121"/>
      <c r="E32" s="121"/>
      <c r="F32" s="121"/>
      <c r="G32" s="121"/>
      <c r="H32" s="121"/>
      <c r="I32" s="121"/>
      <c r="J32" s="121"/>
      <c r="K32" s="121"/>
    </row>
    <row r="33" spans="1:11">
      <c r="A33" s="14"/>
      <c r="B33" s="120"/>
      <c r="C33" s="121"/>
      <c r="D33" s="121"/>
      <c r="E33" s="121"/>
      <c r="F33" s="121"/>
      <c r="G33" s="121"/>
      <c r="H33" s="121"/>
      <c r="I33" s="121"/>
      <c r="J33" s="121"/>
      <c r="K33" s="121"/>
    </row>
    <row r="34" spans="1:11">
      <c r="A34" s="14"/>
      <c r="B34" s="120"/>
      <c r="C34" s="121"/>
      <c r="D34" s="121"/>
      <c r="E34" s="121"/>
      <c r="F34" s="121"/>
      <c r="G34" s="121"/>
      <c r="H34" s="121"/>
      <c r="I34" s="121"/>
      <c r="J34" s="121"/>
      <c r="K34" s="121"/>
    </row>
    <row r="35" spans="1:11">
      <c r="A35" s="1" t="s">
        <v>174</v>
      </c>
      <c r="B35" s="28">
        <v>39.799999999999997</v>
      </c>
      <c r="C35" s="28">
        <v>73.52</v>
      </c>
      <c r="D35" s="28">
        <v>138.41999999999999</v>
      </c>
      <c r="E35" s="28">
        <v>267.33999999999997</v>
      </c>
      <c r="F35" s="28">
        <v>235.01</v>
      </c>
      <c r="G35" s="28">
        <v>785.38</v>
      </c>
      <c r="H35" s="28">
        <f>B64</f>
        <v>858.17</v>
      </c>
      <c r="I35" s="28">
        <f>H35</f>
        <v>858.17</v>
      </c>
      <c r="J35" s="28">
        <f t="shared" ref="J35:K35" si="21">I35</f>
        <v>858.17</v>
      </c>
      <c r="K35" s="28">
        <f t="shared" si="21"/>
        <v>858.17</v>
      </c>
    </row>
    <row r="36" spans="1:11">
      <c r="A36" s="1" t="s">
        <v>218</v>
      </c>
      <c r="B36" s="122">
        <v>43518</v>
      </c>
      <c r="C36" s="122">
        <v>43882</v>
      </c>
      <c r="D36" s="122">
        <v>44256</v>
      </c>
      <c r="E36" s="122">
        <v>44641</v>
      </c>
      <c r="F36" s="122">
        <v>44984</v>
      </c>
      <c r="G36" s="122">
        <v>45344</v>
      </c>
      <c r="H36" s="122">
        <v>45345</v>
      </c>
      <c r="I36" s="122">
        <v>45346</v>
      </c>
      <c r="J36" s="122">
        <v>45346</v>
      </c>
      <c r="K36" s="122">
        <v>45346</v>
      </c>
    </row>
    <row r="37" spans="1:11">
      <c r="A37" s="1" t="s">
        <v>173</v>
      </c>
      <c r="B37" s="54">
        <v>2423</v>
      </c>
      <c r="C37" s="54">
        <v>2450</v>
      </c>
      <c r="D37" s="54">
        <v>2479</v>
      </c>
      <c r="E37" s="54">
        <v>2506</v>
      </c>
      <c r="F37" s="54">
        <v>2466</v>
      </c>
      <c r="G37" s="54">
        <v>2464</v>
      </c>
      <c r="H37" s="54">
        <f>'Forecasted Statements Combined'!F75</f>
        <v>2500</v>
      </c>
      <c r="I37" s="54">
        <f>'Forecasted Statements Combined'!G75</f>
        <v>2500</v>
      </c>
      <c r="J37" s="54">
        <f>'Forecasted Statements Combined'!H75</f>
        <v>2500</v>
      </c>
      <c r="K37" s="54">
        <f>'Forecasted Statements Combined'!I75</f>
        <v>2500</v>
      </c>
    </row>
    <row r="38" spans="1:11"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spans="1:11">
      <c r="A39" s="1" t="s">
        <v>185</v>
      </c>
      <c r="B39" s="8">
        <f t="shared" ref="B39:G39" si="22">B35*B37</f>
        <v>96435.4</v>
      </c>
      <c r="C39" s="8">
        <f t="shared" si="22"/>
        <v>180124</v>
      </c>
      <c r="D39" s="8">
        <f t="shared" si="22"/>
        <v>343143.18</v>
      </c>
      <c r="E39" s="8">
        <f t="shared" si="22"/>
        <v>669954.03999999992</v>
      </c>
      <c r="F39" s="8">
        <f t="shared" si="22"/>
        <v>579534.66</v>
      </c>
      <c r="G39" s="8">
        <f t="shared" si="22"/>
        <v>1935176.32</v>
      </c>
      <c r="H39" s="8">
        <f t="shared" ref="H39:I39" si="23">H35*H37</f>
        <v>2145425</v>
      </c>
      <c r="I39" s="8">
        <f t="shared" si="23"/>
        <v>2145425</v>
      </c>
      <c r="J39" s="8">
        <f t="shared" ref="J39:K39" si="24">J35*J37</f>
        <v>2145425</v>
      </c>
      <c r="K39" s="8">
        <f t="shared" si="24"/>
        <v>2145425</v>
      </c>
    </row>
    <row r="40" spans="1:11">
      <c r="A40" s="1" t="s">
        <v>51</v>
      </c>
      <c r="B40" s="54">
        <f>'Balance Sheet'!B26+'Balance Sheet'!B28-'Balance Sheet'!B8-'Balance Sheet'!B9</f>
        <v>-5434</v>
      </c>
      <c r="C40" s="54">
        <f>'Balance Sheet'!C26+'Balance Sheet'!C28-'Balance Sheet'!C8-'Balance Sheet'!C9</f>
        <v>-8906</v>
      </c>
      <c r="D40" s="54">
        <f>'Forecasted Statements Combined'!B116+'Forecasted Statements Combined'!B118-'Forecasted Statements Combined'!B98-'Forecasted Statements Combined'!B99</f>
        <v>-4598</v>
      </c>
      <c r="E40" s="54">
        <f>'Forecasted Statements Combined'!C116+'Forecasted Statements Combined'!C118-'Forecasted Statements Combined'!C98-'Forecasted Statements Combined'!C99</f>
        <v>-10262</v>
      </c>
      <c r="F40" s="54">
        <f>'Forecasted Statements Combined'!D116+'Forecasted Statements Combined'!D118-'Forecasted Statements Combined'!D98-'Forecasted Statements Combined'!D99</f>
        <v>-2343</v>
      </c>
      <c r="G40" s="54">
        <f>'Forecasted Statements Combined'!E116+'Forecasted Statements Combined'!E118-'Forecasted Statements Combined'!E98-'Forecasted Statements Combined'!E99</f>
        <v>-16275</v>
      </c>
      <c r="H40" s="54">
        <f>'Forecasted Statements Combined'!F116+'Forecasted Statements Combined'!F118-'Forecasted Statements Combined'!F98-'Forecasted Statements Combined'!F99</f>
        <v>-41993.616197315823</v>
      </c>
      <c r="I40" s="54">
        <f>'Forecasted Statements Combined'!G116+'Forecasted Statements Combined'!G118-'Forecasted Statements Combined'!G98-'Forecasted Statements Combined'!G99</f>
        <v>-103243.09792619129</v>
      </c>
      <c r="J40" s="54">
        <f>'Forecasted Statements Combined'!H116+'Forecasted Statements Combined'!H118-'Forecasted Statements Combined'!H98-'Forecasted Statements Combined'!H99</f>
        <v>-206586.14556176611</v>
      </c>
      <c r="K40" s="54">
        <f>'Forecasted Statements Combined'!I116+'Forecasted Statements Combined'!I118-'Forecasted Statements Combined'!I98-'Forecasted Statements Combined'!I99</f>
        <v>-345124.9142300915</v>
      </c>
    </row>
    <row r="41" spans="1:11">
      <c r="A41" s="1" t="s">
        <v>176</v>
      </c>
      <c r="B41" s="54">
        <f>SUM(B39:B40)</f>
        <v>91001.4</v>
      </c>
      <c r="C41" s="54">
        <f t="shared" ref="C41:G41" si="25">SUM(C39:C40)</f>
        <v>171218</v>
      </c>
      <c r="D41" s="54">
        <f t="shared" si="25"/>
        <v>338545.18</v>
      </c>
      <c r="E41" s="54">
        <f t="shared" si="25"/>
        <v>659692.03999999992</v>
      </c>
      <c r="F41" s="54">
        <f t="shared" si="25"/>
        <v>577191.66</v>
      </c>
      <c r="G41" s="54">
        <f t="shared" si="25"/>
        <v>1918901.32</v>
      </c>
      <c r="H41" s="54">
        <f t="shared" ref="H41:I41" si="26">SUM(H39:H40)</f>
        <v>2103431.383802684</v>
      </c>
      <c r="I41" s="54">
        <f t="shared" si="26"/>
        <v>2042181.9020738087</v>
      </c>
      <c r="J41" s="54">
        <f t="shared" ref="J41:K41" si="27">SUM(J39:J40)</f>
        <v>1938838.8544382339</v>
      </c>
      <c r="K41" s="54">
        <f t="shared" si="27"/>
        <v>1800300.0857699085</v>
      </c>
    </row>
    <row r="42" spans="1:11">
      <c r="A42" s="1" t="s">
        <v>171</v>
      </c>
      <c r="B42" s="54">
        <f>'Income Statement Yearly'!B15+'Statement of Cash Flow'!B11</f>
        <v>4066</v>
      </c>
      <c r="C42" s="54">
        <f>'Income Statement Yearly'!C15+'Statement of Cash Flow'!C11</f>
        <v>3227</v>
      </c>
      <c r="D42" s="54">
        <f>'Forecasted Statements Combined'!B44+'Forecasted Statements Combined'!B65</f>
        <v>5630</v>
      </c>
      <c r="E42" s="54">
        <f>'Forecasted Statements Combined'!C44+'Forecasted Statements Combined'!C65</f>
        <v>11215</v>
      </c>
      <c r="F42" s="54">
        <f>'Forecasted Statements Combined'!D44+'Forecasted Statements Combined'!D65</f>
        <v>5768</v>
      </c>
      <c r="G42" s="54">
        <f>'Forecasted Statements Combined'!E44+'Forecasted Statements Combined'!E65</f>
        <v>34480</v>
      </c>
      <c r="H42" s="54">
        <f>'Forecasted Statements Combined'!F44+'Forecasted Statements Combined'!F65</f>
        <v>85226.450000000012</v>
      </c>
      <c r="I42" s="54">
        <f>'Forecasted Statements Combined'!G44+'Forecasted Statements Combined'!G65</f>
        <v>119890.79000000001</v>
      </c>
      <c r="J42" s="54">
        <f>'Forecasted Statements Combined'!H44+'Forecasted Statements Combined'!H65</f>
        <v>169034.88700000002</v>
      </c>
      <c r="K42" s="54">
        <f>'Forecasted Statements Combined'!I44+'Forecasted Statements Combined'!I65</f>
        <v>203888.74440000003</v>
      </c>
    </row>
    <row r="43" spans="1:11">
      <c r="A43" s="82" t="s">
        <v>229</v>
      </c>
      <c r="B43" s="123">
        <f>B41/B42</f>
        <v>22.381062469257255</v>
      </c>
      <c r="C43" s="123">
        <f t="shared" ref="C43:G43" si="28">C41/C42</f>
        <v>53.057948559033157</v>
      </c>
      <c r="D43" s="123">
        <f t="shared" si="28"/>
        <v>60.132358792184725</v>
      </c>
      <c r="E43" s="123">
        <f t="shared" si="28"/>
        <v>58.822295140436907</v>
      </c>
      <c r="F43" s="123">
        <f t="shared" si="28"/>
        <v>100.06790221914009</v>
      </c>
      <c r="G43" s="123">
        <f t="shared" si="28"/>
        <v>55.652590487238982</v>
      </c>
      <c r="H43" s="123">
        <f t="shared" ref="H43:I43" si="29">H41/H42</f>
        <v>24.680499819043074</v>
      </c>
      <c r="I43" s="123">
        <f t="shared" si="29"/>
        <v>17.033684589732111</v>
      </c>
      <c r="J43" s="123">
        <f t="shared" ref="J43:K43" si="30">J41/J42</f>
        <v>11.47005147190848</v>
      </c>
      <c r="K43" s="123">
        <f t="shared" si="30"/>
        <v>8.8298159423552178</v>
      </c>
    </row>
    <row r="44" spans="1:11">
      <c r="E44" s="15"/>
    </row>
    <row r="45" spans="1:11">
      <c r="E45" s="15"/>
    </row>
    <row r="46" spans="1:11">
      <c r="B46" s="54"/>
      <c r="E46" s="15"/>
    </row>
    <row r="47" spans="1:11">
      <c r="A47" s="63" t="s">
        <v>237</v>
      </c>
      <c r="B47" s="4" t="s">
        <v>209</v>
      </c>
      <c r="C47" s="4" t="s">
        <v>210</v>
      </c>
      <c r="D47" s="4" t="s">
        <v>223</v>
      </c>
      <c r="E47" s="4" t="s">
        <v>224</v>
      </c>
      <c r="F47" s="4" t="s">
        <v>211</v>
      </c>
    </row>
    <row r="48" spans="1:11">
      <c r="A48" s="1" t="s">
        <v>203</v>
      </c>
      <c r="B48" s="54">
        <f>'Forecasted Statements Combined'!F44</f>
        <v>83660.850000000006</v>
      </c>
      <c r="C48" s="54">
        <f>'Forecasted Statements Combined'!G44</f>
        <v>117125.19</v>
      </c>
      <c r="D48" s="54">
        <f>'Forecasted Statements Combined'!H44</f>
        <v>164269.28700000001</v>
      </c>
      <c r="E48" s="54">
        <f>'Forecasted Statements Combined'!I44</f>
        <v>197123.14440000002</v>
      </c>
      <c r="G48" s="113" t="s">
        <v>212</v>
      </c>
    </row>
    <row r="49" spans="1:9">
      <c r="A49" s="110" t="s">
        <v>204</v>
      </c>
      <c r="B49" s="54">
        <f>-'Forecasted Statements Combined'!F53*B48</f>
        <v>-14222.344500000003</v>
      </c>
      <c r="C49" s="54">
        <f>-'Forecasted Statements Combined'!G53*C48</f>
        <v>-19911.282300000003</v>
      </c>
      <c r="D49" s="54">
        <f>-'Forecasted Statements Combined'!H53*D48</f>
        <v>-27925.778790000004</v>
      </c>
      <c r="E49" s="54">
        <f>-'Forecasted Statements Combined'!I53*E48</f>
        <v>-33510.934548000005</v>
      </c>
      <c r="G49" s="114">
        <f>4%+1.73*(8.5%-4%)</f>
        <v>0.11785000000000001</v>
      </c>
    </row>
    <row r="50" spans="1:9">
      <c r="A50" s="110" t="s">
        <v>205</v>
      </c>
      <c r="B50" s="54">
        <f>'Forecasted Statements Combined'!F65</f>
        <v>1565.6000000000001</v>
      </c>
      <c r="C50" s="54">
        <f>'Forecasted Statements Combined'!G65</f>
        <v>2765.6000000000004</v>
      </c>
      <c r="D50" s="54">
        <f>'Forecasted Statements Combined'!H65</f>
        <v>4765.6000000000004</v>
      </c>
      <c r="E50" s="54">
        <f>'Forecasted Statements Combined'!I65</f>
        <v>6765.6</v>
      </c>
      <c r="G50" s="115"/>
    </row>
    <row r="51" spans="1:9">
      <c r="A51" s="1" t="s">
        <v>206</v>
      </c>
      <c r="B51" s="54">
        <f>'Forecasted Statements Combined'!F69</f>
        <v>-30311.599999999999</v>
      </c>
      <c r="C51" s="54">
        <f>'Forecasted Statements Combined'!G69</f>
        <v>-23221.44000000001</v>
      </c>
      <c r="D51" s="54">
        <f>'Forecasted Statements Combined'!H69</f>
        <v>-24382.512000000002</v>
      </c>
      <c r="E51" s="54">
        <f>'Forecasted Statements Combined'!I69</f>
        <v>-21131.510399999985</v>
      </c>
      <c r="G51" s="113" t="s">
        <v>191</v>
      </c>
    </row>
    <row r="52" spans="1:9">
      <c r="A52" s="1" t="s">
        <v>207</v>
      </c>
      <c r="B52" s="54">
        <f>'Forecasted Statements Combined'!F72</f>
        <v>-3000</v>
      </c>
      <c r="C52" s="54">
        <f>'Forecasted Statements Combined'!G72</f>
        <v>-5000</v>
      </c>
      <c r="D52" s="54">
        <f>'Forecasted Statements Combined'!H72</f>
        <v>-5000</v>
      </c>
      <c r="E52" s="54">
        <f>'Forecasted Statements Combined'!I72</f>
        <v>-5000</v>
      </c>
      <c r="G52" s="118">
        <v>5.5E-2</v>
      </c>
    </row>
    <row r="53" spans="1:9">
      <c r="A53" s="7" t="s">
        <v>208</v>
      </c>
      <c r="B53" s="7">
        <f>SUM(B48:B52)</f>
        <v>37692.505500000007</v>
      </c>
      <c r="C53" s="7">
        <f>SUM(C48:C52)</f>
        <v>71758.067699999985</v>
      </c>
      <c r="D53" s="7">
        <f t="shared" ref="D53:E53" si="31">SUM(D48:D52)</f>
        <v>111726.59621</v>
      </c>
      <c r="E53" s="7">
        <f t="shared" si="31"/>
        <v>144246.29945200001</v>
      </c>
      <c r="F53" s="126">
        <f>(E53*(1+G52))/(G49-G52)</f>
        <v>2421318.1530924416</v>
      </c>
    </row>
    <row r="54" spans="1:9">
      <c r="A54" s="1" t="s">
        <v>215</v>
      </c>
      <c r="B54" s="54">
        <v>1</v>
      </c>
      <c r="C54" s="54">
        <v>2</v>
      </c>
      <c r="D54" s="54">
        <v>3</v>
      </c>
      <c r="E54" s="54">
        <v>4</v>
      </c>
      <c r="F54" s="1">
        <v>4</v>
      </c>
    </row>
    <row r="55" spans="1:9">
      <c r="A55" s="1" t="s">
        <v>213</v>
      </c>
      <c r="B55" s="111">
        <f>1/(1+$G$49)^B54</f>
        <v>0.89457440622623785</v>
      </c>
      <c r="C55" s="111">
        <f>1/(1+$G$49)^C54</f>
        <v>0.80026336827502609</v>
      </c>
      <c r="D55" s="111">
        <f t="shared" ref="D55:E55" si="32">1/(1+$G$49)^D54</f>
        <v>0.71589512749924056</v>
      </c>
      <c r="E55" s="111">
        <f t="shared" si="32"/>
        <v>0.64042145860289013</v>
      </c>
      <c r="F55" s="111">
        <f>1/(1+$G$49)^F54</f>
        <v>0.64042145860289013</v>
      </c>
    </row>
    <row r="56" spans="1:9">
      <c r="B56" s="87"/>
    </row>
    <row r="57" spans="1:9">
      <c r="A57" s="1" t="s">
        <v>228</v>
      </c>
      <c r="B57" s="8">
        <f>SUM(B53*B55,C53*C55,D53*D55,E53*E55,F53*F55)</f>
        <v>1814171.1583624019</v>
      </c>
    </row>
    <row r="58" spans="1:9">
      <c r="A58" s="1" t="s">
        <v>231</v>
      </c>
      <c r="B58" s="24">
        <f>'Forecasted Statements Combined'!I116+'Forecasted Statements Combined'!I118</f>
        <v>0</v>
      </c>
    </row>
    <row r="59" spans="1:9">
      <c r="A59" s="1" t="s">
        <v>232</v>
      </c>
      <c r="B59" s="54">
        <f>'Forecasted Statements Combined'!I98+'Forecasted Statements Combined'!I99</f>
        <v>345124.9142300915</v>
      </c>
    </row>
    <row r="60" spans="1:9">
      <c r="A60" s="1" t="s">
        <v>225</v>
      </c>
      <c r="B60" s="54">
        <f>B58-B59</f>
        <v>-345124.9142300915</v>
      </c>
    </row>
    <row r="61" spans="1:9">
      <c r="A61" s="1" t="s">
        <v>214</v>
      </c>
      <c r="B61" s="54">
        <f>B57-B60</f>
        <v>2159296.0725924931</v>
      </c>
    </row>
    <row r="62" spans="1:9">
      <c r="A62" s="1" t="s">
        <v>173</v>
      </c>
      <c r="B62" s="108">
        <f>'Forecasted Statements Combined'!I75</f>
        <v>2500</v>
      </c>
    </row>
    <row r="63" spans="1:9">
      <c r="A63" s="82" t="s">
        <v>216</v>
      </c>
      <c r="B63" s="112">
        <f>B61/B62</f>
        <v>863.71842903699724</v>
      </c>
      <c r="I63" s="68"/>
    </row>
    <row r="64" spans="1:9">
      <c r="A64" s="2" t="s">
        <v>239</v>
      </c>
      <c r="B64" s="130">
        <v>858.17</v>
      </c>
    </row>
    <row r="65" spans="1:4">
      <c r="B65" s="28"/>
    </row>
    <row r="68" spans="1:4">
      <c r="A68" s="63" t="s">
        <v>238</v>
      </c>
      <c r="B68" s="9"/>
    </row>
    <row r="69" spans="1:4">
      <c r="A69" s="1" t="s">
        <v>233</v>
      </c>
      <c r="B69" s="8">
        <f>K42</f>
        <v>203888.74440000003</v>
      </c>
    </row>
    <row r="70" spans="1:4">
      <c r="A70" s="1" t="s">
        <v>230</v>
      </c>
      <c r="B70" s="54">
        <v>15</v>
      </c>
      <c r="C70" s="28"/>
      <c r="D70" s="64"/>
    </row>
    <row r="71" spans="1:4">
      <c r="A71" s="1" t="s">
        <v>234</v>
      </c>
      <c r="B71" s="88">
        <f>B69*B70</f>
        <v>3058331.1660000002</v>
      </c>
      <c r="C71" s="28"/>
      <c r="D71" s="64"/>
    </row>
    <row r="72" spans="1:4">
      <c r="A72" s="1" t="s">
        <v>225</v>
      </c>
      <c r="B72" s="54">
        <f>'Forecasted Statements Combined'!I116+'Forecasted Statements Combined'!I118-'Forecasted Statements Combined'!I98-'Forecasted Statements Combined'!I99</f>
        <v>-345124.9142300915</v>
      </c>
      <c r="C72" s="28"/>
      <c r="D72" s="64"/>
    </row>
    <row r="73" spans="1:4">
      <c r="A73" s="1" t="s">
        <v>235</v>
      </c>
      <c r="B73" s="54">
        <f>B71-B72</f>
        <v>3403456.0802300917</v>
      </c>
      <c r="C73" s="28"/>
      <c r="D73" s="64"/>
    </row>
    <row r="74" spans="1:4">
      <c r="A74" s="1" t="s">
        <v>236</v>
      </c>
      <c r="B74" s="54">
        <f>B73*$E$55</f>
        <v>2179646.3071918306</v>
      </c>
      <c r="C74" s="28"/>
      <c r="D74" s="64"/>
    </row>
    <row r="75" spans="1:4">
      <c r="A75" s="1" t="s">
        <v>173</v>
      </c>
      <c r="B75" s="108">
        <v>2500</v>
      </c>
      <c r="C75" s="28"/>
      <c r="D75" s="64"/>
    </row>
    <row r="76" spans="1:4">
      <c r="A76" s="82" t="s">
        <v>216</v>
      </c>
      <c r="B76" s="112">
        <f>B74/B75</f>
        <v>871.8585228767322</v>
      </c>
      <c r="C76" s="28"/>
      <c r="D76" s="64"/>
    </row>
    <row r="77" spans="1:4">
      <c r="A77" s="2" t="str">
        <f>A64</f>
        <v>Actual Close Price 5/2</v>
      </c>
      <c r="B77" s="130">
        <f>B64</f>
        <v>858.17</v>
      </c>
      <c r="C77" s="28"/>
      <c r="D77" s="64"/>
    </row>
    <row r="78" spans="1:4">
      <c r="A78" s="129"/>
      <c r="B78" s="64"/>
      <c r="C78" s="28"/>
      <c r="D78" s="64"/>
    </row>
    <row r="79" spans="1:4">
      <c r="A79" s="129"/>
      <c r="B79" s="64"/>
      <c r="C79" s="28"/>
      <c r="D79" s="64"/>
    </row>
    <row r="80" spans="1:4">
      <c r="A80" s="129"/>
      <c r="B80" s="64"/>
      <c r="C80" s="28"/>
      <c r="D80" s="64"/>
    </row>
    <row r="81" spans="1:4">
      <c r="A81" s="129"/>
      <c r="B81" s="64"/>
      <c r="C81" s="28"/>
      <c r="D81" s="64"/>
    </row>
    <row r="82" spans="1:4">
      <c r="A82" s="129"/>
      <c r="B82" s="64"/>
      <c r="C82" s="28"/>
      <c r="D82" s="64"/>
    </row>
    <row r="83" spans="1:4">
      <c r="A83" s="129"/>
      <c r="B83" s="64"/>
      <c r="C83" s="28"/>
      <c r="D83" s="64"/>
    </row>
    <row r="84" spans="1:4">
      <c r="A84" s="129"/>
      <c r="B84" s="64"/>
      <c r="C84" s="28"/>
      <c r="D84" s="64"/>
    </row>
    <row r="85" spans="1:4">
      <c r="A85" s="129"/>
      <c r="B85" s="64"/>
      <c r="C85" s="28"/>
      <c r="D85" s="64"/>
    </row>
    <row r="86" spans="1:4">
      <c r="A86" s="129"/>
      <c r="B86" s="64"/>
      <c r="C86" s="28"/>
      <c r="D86" s="64"/>
    </row>
  </sheetData>
  <phoneticPr fontId="13" type="noConversion"/>
  <pageMargins left="0.25" right="0.25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6321-9FAF-5044-A1B9-5BB32FB9D154}">
  <sheetPr>
    <pageSetUpPr fitToPage="1"/>
  </sheetPr>
  <dimension ref="A1:AN126"/>
  <sheetViews>
    <sheetView zoomScaleNormal="100" workbookViewId="0">
      <pane xSplit="1" ySplit="5" topLeftCell="B25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6"/>
  <cols>
    <col min="1" max="1" width="52.83203125" style="1" bestFit="1" customWidth="1"/>
    <col min="2" max="9" width="12.83203125" style="1" customWidth="1"/>
    <col min="10" max="10" width="5.83203125" style="1" customWidth="1"/>
    <col min="11" max="15" width="11.83203125" style="1" customWidth="1"/>
    <col min="16" max="16" width="5.83203125" style="1" customWidth="1"/>
    <col min="17" max="21" width="11.83203125" style="1" customWidth="1"/>
    <col min="22" max="22" width="5.83203125" style="1" customWidth="1"/>
    <col min="23" max="27" width="11.83203125" style="1" customWidth="1"/>
    <col min="28" max="28" width="5.83203125" style="1" customWidth="1"/>
    <col min="29" max="33" width="11.83203125" style="1" customWidth="1"/>
    <col min="34" max="34" width="5.83203125" style="1" customWidth="1"/>
    <col min="35" max="39" width="11.83203125" style="1" customWidth="1"/>
    <col min="40" max="40" width="5.83203125" style="1" customWidth="1"/>
    <col min="41" max="16384" width="10.83203125" style="1"/>
  </cols>
  <sheetData>
    <row r="1" spans="1:40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</row>
    <row r="2" spans="1:40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</row>
    <row r="4" spans="1:40">
      <c r="A4" s="3" t="s">
        <v>0</v>
      </c>
      <c r="B4" s="104" t="s">
        <v>80</v>
      </c>
      <c r="C4" s="104" t="s">
        <v>83</v>
      </c>
      <c r="D4" s="104" t="s">
        <v>64</v>
      </c>
      <c r="E4" s="104" t="s">
        <v>62</v>
      </c>
      <c r="F4" s="109" t="s">
        <v>194</v>
      </c>
      <c r="G4" s="109" t="s">
        <v>219</v>
      </c>
      <c r="H4" s="109" t="s">
        <v>220</v>
      </c>
      <c r="I4" s="109" t="s">
        <v>221</v>
      </c>
      <c r="J4" s="3"/>
      <c r="K4" s="136" t="s">
        <v>80</v>
      </c>
      <c r="L4" s="136"/>
      <c r="M4" s="136"/>
      <c r="N4" s="136"/>
      <c r="O4" s="136"/>
      <c r="P4" s="4"/>
      <c r="Q4" s="136" t="s">
        <v>83</v>
      </c>
      <c r="R4" s="136"/>
      <c r="S4" s="136"/>
      <c r="T4" s="136"/>
      <c r="U4" s="136"/>
      <c r="V4" s="9"/>
      <c r="W4" s="136" t="s">
        <v>64</v>
      </c>
      <c r="X4" s="136"/>
      <c r="Y4" s="136"/>
      <c r="Z4" s="136"/>
      <c r="AA4" s="136"/>
      <c r="AB4" s="4"/>
      <c r="AC4" s="136" t="s">
        <v>62</v>
      </c>
      <c r="AD4" s="136"/>
      <c r="AE4" s="136"/>
      <c r="AF4" s="136"/>
      <c r="AG4" s="136"/>
      <c r="AI4" s="137" t="s">
        <v>194</v>
      </c>
      <c r="AJ4" s="137"/>
      <c r="AK4" s="137"/>
      <c r="AL4" s="137"/>
      <c r="AM4" s="137"/>
    </row>
    <row r="5" spans="1:40">
      <c r="A5" s="3" t="s">
        <v>61</v>
      </c>
      <c r="B5" s="3"/>
      <c r="C5" s="3"/>
      <c r="D5" s="3"/>
      <c r="E5" s="3"/>
      <c r="F5" s="3"/>
      <c r="G5" s="3"/>
      <c r="H5" s="3"/>
      <c r="I5" s="3"/>
      <c r="J5" s="3"/>
      <c r="K5" s="43" t="s">
        <v>76</v>
      </c>
      <c r="L5" s="43" t="s">
        <v>75</v>
      </c>
      <c r="M5" s="43" t="s">
        <v>63</v>
      </c>
      <c r="N5" s="43" t="s">
        <v>77</v>
      </c>
      <c r="O5" s="43" t="s">
        <v>81</v>
      </c>
      <c r="P5" s="43"/>
      <c r="Q5" s="43" t="s">
        <v>76</v>
      </c>
      <c r="R5" s="43" t="s">
        <v>75</v>
      </c>
      <c r="S5" s="43" t="s">
        <v>63</v>
      </c>
      <c r="T5" s="43" t="s">
        <v>77</v>
      </c>
      <c r="U5" s="43" t="s">
        <v>82</v>
      </c>
      <c r="V5" s="9"/>
      <c r="W5" s="43" t="s">
        <v>76</v>
      </c>
      <c r="X5" s="43" t="s">
        <v>75</v>
      </c>
      <c r="Y5" s="43" t="s">
        <v>63</v>
      </c>
      <c r="Z5" s="43" t="s">
        <v>77</v>
      </c>
      <c r="AA5" s="43" t="s">
        <v>79</v>
      </c>
      <c r="AB5" s="43"/>
      <c r="AC5" s="43" t="s">
        <v>76</v>
      </c>
      <c r="AD5" s="43" t="s">
        <v>75</v>
      </c>
      <c r="AE5" s="43" t="s">
        <v>63</v>
      </c>
      <c r="AF5" s="43" t="s">
        <v>77</v>
      </c>
      <c r="AG5" s="43" t="s">
        <v>78</v>
      </c>
      <c r="AI5" s="43" t="s">
        <v>195</v>
      </c>
      <c r="AJ5" s="43" t="s">
        <v>196</v>
      </c>
      <c r="AK5" s="43" t="s">
        <v>197</v>
      </c>
      <c r="AL5" s="43" t="s">
        <v>198</v>
      </c>
      <c r="AM5" s="43" t="s">
        <v>202</v>
      </c>
    </row>
    <row r="7" spans="1:40">
      <c r="A7" s="1" t="s">
        <v>74</v>
      </c>
      <c r="B7" s="8">
        <f>O7</f>
        <v>16675</v>
      </c>
      <c r="C7" s="8">
        <f>U7</f>
        <v>26914</v>
      </c>
      <c r="D7" s="8">
        <f>AA7</f>
        <v>26974</v>
      </c>
      <c r="E7" s="8">
        <f>AG7</f>
        <v>60922</v>
      </c>
      <c r="F7" s="8">
        <f>AM7</f>
        <v>131940</v>
      </c>
      <c r="G7" s="8">
        <f>F7*1.4</f>
        <v>184716</v>
      </c>
      <c r="H7" s="8">
        <f>G7*1.3</f>
        <v>240130.80000000002</v>
      </c>
      <c r="I7" s="8">
        <f>H7*1.2</f>
        <v>288156.96000000002</v>
      </c>
      <c r="K7" s="41">
        <v>3080</v>
      </c>
      <c r="L7" s="41">
        <v>3866</v>
      </c>
      <c r="M7" s="41">
        <v>4726</v>
      </c>
      <c r="N7" s="41">
        <f>O7-SUM(K7:M7)</f>
        <v>5003</v>
      </c>
      <c r="O7" s="41">
        <v>16675</v>
      </c>
      <c r="P7" s="41"/>
      <c r="Q7" s="41">
        <v>5661</v>
      </c>
      <c r="R7" s="41">
        <v>6507</v>
      </c>
      <c r="S7" s="41">
        <v>7103</v>
      </c>
      <c r="T7" s="41">
        <f>U7-SUM(Q7:S7)</f>
        <v>7643</v>
      </c>
      <c r="U7" s="41">
        <v>26914</v>
      </c>
      <c r="V7" s="41"/>
      <c r="W7" s="41">
        <v>8288</v>
      </c>
      <c r="X7" s="41">
        <v>6704</v>
      </c>
      <c r="Y7" s="41">
        <v>5931</v>
      </c>
      <c r="Z7" s="41">
        <f>AA7-SUM(W7:Y7)</f>
        <v>6051</v>
      </c>
      <c r="AA7" s="41">
        <v>26974</v>
      </c>
      <c r="AB7" s="41"/>
      <c r="AC7" s="41">
        <v>7192</v>
      </c>
      <c r="AD7" s="41">
        <v>13507</v>
      </c>
      <c r="AE7" s="41">
        <v>18120</v>
      </c>
      <c r="AF7" s="41">
        <f>AG7-SUM(AC7:AE7)</f>
        <v>22103</v>
      </c>
      <c r="AG7" s="41">
        <v>60922</v>
      </c>
      <c r="AI7" s="41">
        <f>24000*(1+2%)</f>
        <v>24480</v>
      </c>
      <c r="AJ7" s="41">
        <f>AD7*200%</f>
        <v>27014</v>
      </c>
      <c r="AK7" s="41">
        <f t="shared" ref="AK7:AL7" si="0">AE7*200%</f>
        <v>36240</v>
      </c>
      <c r="AL7" s="41">
        <f t="shared" si="0"/>
        <v>44206</v>
      </c>
      <c r="AM7" s="41">
        <f>SUM(AI7:AL7)</f>
        <v>131940</v>
      </c>
    </row>
    <row r="8" spans="1:40" s="102" customFormat="1">
      <c r="A8" s="101" t="s">
        <v>192</v>
      </c>
      <c r="B8" s="101">
        <f t="shared" ref="B8:B55" si="1">O8</f>
        <v>0</v>
      </c>
      <c r="C8" s="101">
        <f t="shared" ref="C8:C55" si="2">U8</f>
        <v>0.61403298350824587</v>
      </c>
      <c r="D8" s="101">
        <f t="shared" ref="D8:D55" si="3">AA8</f>
        <v>2.2293230289069932E-3</v>
      </c>
      <c r="E8" s="101">
        <f t="shared" ref="E8:E55" si="4">AG8</f>
        <v>1.2585452658115224</v>
      </c>
      <c r="F8" s="101">
        <f>AM8</f>
        <v>1.1657201011128984</v>
      </c>
      <c r="G8" s="101">
        <f>G7/F7-1</f>
        <v>0.39999999999999991</v>
      </c>
      <c r="H8" s="101">
        <f>H7/G7-1</f>
        <v>0.30000000000000004</v>
      </c>
      <c r="I8" s="101">
        <f>I7/H7-1</f>
        <v>0.19999999999999996</v>
      </c>
      <c r="J8" s="101"/>
      <c r="K8" s="101"/>
      <c r="L8" s="101"/>
      <c r="M8" s="101"/>
      <c r="N8" s="101"/>
      <c r="O8" s="101"/>
      <c r="P8" s="101"/>
      <c r="Q8" s="101">
        <f>Q7/K7-1</f>
        <v>0.83798701298701306</v>
      </c>
      <c r="R8" s="101">
        <f t="shared" ref="R8:U8" si="5">R7/L7-1</f>
        <v>0.68313502327987585</v>
      </c>
      <c r="S8" s="101">
        <f t="shared" si="5"/>
        <v>0.50296233601354201</v>
      </c>
      <c r="T8" s="101">
        <f t="shared" si="5"/>
        <v>0.52768338996602049</v>
      </c>
      <c r="U8" s="101">
        <f t="shared" si="5"/>
        <v>0.61403298350824587</v>
      </c>
      <c r="V8" s="101"/>
      <c r="W8" s="101">
        <f t="shared" ref="W8" si="6">W7/Q7-1</f>
        <v>0.46405228758169925</v>
      </c>
      <c r="X8" s="101">
        <f t="shared" ref="X8" si="7">X7/R7-1</f>
        <v>3.0275088366374714E-2</v>
      </c>
      <c r="Y8" s="101">
        <f t="shared" ref="Y8" si="8">Y7/S7-1</f>
        <v>-0.16500070392791777</v>
      </c>
      <c r="Z8" s="101">
        <f t="shared" ref="Z8" si="9">Z7/T7-1</f>
        <v>-0.20829517205285886</v>
      </c>
      <c r="AA8" s="101">
        <f t="shared" ref="AA8" si="10">AA7/U7-1</f>
        <v>2.2293230289069932E-3</v>
      </c>
      <c r="AB8" s="101"/>
      <c r="AC8" s="101">
        <f t="shared" ref="AC8" si="11">AC7/W7-1</f>
        <v>-0.13223938223938225</v>
      </c>
      <c r="AD8" s="101">
        <f t="shared" ref="AD8" si="12">AD7/X7-1</f>
        <v>1.0147673031026252</v>
      </c>
      <c r="AE8" s="101">
        <f t="shared" ref="AE8" si="13">AE7/Y7-1</f>
        <v>2.0551340414769852</v>
      </c>
      <c r="AF8" s="101">
        <f t="shared" ref="AF8" si="14">AF7/Z7-1</f>
        <v>2.6527846636919516</v>
      </c>
      <c r="AG8" s="101">
        <f t="shared" ref="AG8" si="15">AG7/AA7-1</f>
        <v>1.2585452658115224</v>
      </c>
      <c r="AH8" s="101"/>
      <c r="AI8" s="101">
        <f t="shared" ref="AI8" si="16">AI7/AC7-1</f>
        <v>2.4037819799777531</v>
      </c>
      <c r="AJ8" s="101">
        <f t="shared" ref="AJ8" si="17">AJ7/AD7-1</f>
        <v>1</v>
      </c>
      <c r="AK8" s="101">
        <f t="shared" ref="AK8" si="18">AK7/AE7-1</f>
        <v>1</v>
      </c>
      <c r="AL8" s="101">
        <f t="shared" ref="AL8" si="19">AL7/AF7-1</f>
        <v>1</v>
      </c>
      <c r="AM8" s="101">
        <f t="shared" ref="AM8" si="20">AM7/AG7-1</f>
        <v>1.1657201011128984</v>
      </c>
    </row>
    <row r="9" spans="1:40">
      <c r="B9" s="8"/>
      <c r="C9" s="8"/>
      <c r="D9" s="8"/>
      <c r="E9" s="8"/>
      <c r="F9" s="8"/>
      <c r="G9" s="8"/>
      <c r="H9" s="8"/>
      <c r="I9" s="8"/>
    </row>
    <row r="10" spans="1:40">
      <c r="A10" s="1" t="s">
        <v>125</v>
      </c>
      <c r="B10" s="8"/>
      <c r="C10" s="8"/>
      <c r="D10" s="8"/>
      <c r="E10" s="8"/>
      <c r="F10" s="8"/>
      <c r="G10" s="8"/>
      <c r="H10" s="8"/>
      <c r="I10" s="8"/>
    </row>
    <row r="11" spans="1:40">
      <c r="A11" s="1" t="s">
        <v>65</v>
      </c>
      <c r="B11" s="8">
        <f t="shared" si="1"/>
        <v>6696</v>
      </c>
      <c r="C11" s="8">
        <f t="shared" si="2"/>
        <v>10613</v>
      </c>
      <c r="D11" s="8">
        <f t="shared" si="3"/>
        <v>15005</v>
      </c>
      <c r="E11" s="8">
        <f t="shared" si="4"/>
        <v>47525</v>
      </c>
      <c r="F11" s="8">
        <f t="shared" ref="F11:I55" si="21">AM11</f>
        <v>100529.3</v>
      </c>
      <c r="G11" s="8">
        <f>G7*80%</f>
        <v>147772.80000000002</v>
      </c>
      <c r="H11" s="8">
        <f>H7*80%</f>
        <v>192104.64</v>
      </c>
      <c r="I11" s="8">
        <f>I7*80%</f>
        <v>230525.56800000003</v>
      </c>
      <c r="K11" s="42">
        <v>1141</v>
      </c>
      <c r="L11" s="42">
        <v>1752</v>
      </c>
      <c r="M11" s="42">
        <v>1900</v>
      </c>
      <c r="N11" s="42">
        <f>O11-SUM(K11:M11)</f>
        <v>1903</v>
      </c>
      <c r="O11" s="42">
        <v>6696</v>
      </c>
      <c r="P11" s="42"/>
      <c r="Q11" s="42">
        <v>2048</v>
      </c>
      <c r="R11" s="42">
        <v>2366</v>
      </c>
      <c r="S11" s="42">
        <v>2936</v>
      </c>
      <c r="T11" s="42">
        <f>U11-SUM(Q11:S11)</f>
        <v>3263</v>
      </c>
      <c r="U11" s="42">
        <v>10613</v>
      </c>
      <c r="V11" s="42"/>
      <c r="W11" s="42">
        <v>3750</v>
      </c>
      <c r="X11" s="42">
        <v>3806</v>
      </c>
      <c r="Y11" s="42">
        <v>3833</v>
      </c>
      <c r="Z11" s="42">
        <f>AA11-SUM(W11:Y11)</f>
        <v>3616</v>
      </c>
      <c r="AA11" s="42">
        <v>15005</v>
      </c>
      <c r="AB11" s="42"/>
      <c r="AC11" s="42">
        <v>4284</v>
      </c>
      <c r="AD11" s="42">
        <v>10323</v>
      </c>
      <c r="AE11" s="42">
        <v>14514</v>
      </c>
      <c r="AF11" s="42">
        <f>AG11-SUM(AC11:AE11)</f>
        <v>18404</v>
      </c>
      <c r="AG11" s="42">
        <v>47525</v>
      </c>
      <c r="AI11" s="42">
        <f>AI7*65%</f>
        <v>15912</v>
      </c>
      <c r="AJ11" s="42">
        <f>AJ7*75%</f>
        <v>20260.5</v>
      </c>
      <c r="AK11" s="42">
        <f>AK7*80%</f>
        <v>28992</v>
      </c>
      <c r="AL11" s="42">
        <f>AL7*80%</f>
        <v>35364.800000000003</v>
      </c>
      <c r="AM11" s="42">
        <f>SUM(AI11:AL11)</f>
        <v>100529.3</v>
      </c>
    </row>
    <row r="12" spans="1:40" s="102" customFormat="1">
      <c r="A12" s="101" t="s">
        <v>193</v>
      </c>
      <c r="B12" s="101"/>
      <c r="C12" s="101">
        <f t="shared" si="2"/>
        <v>0.5849761051373954</v>
      </c>
      <c r="D12" s="101">
        <f t="shared" si="3"/>
        <v>0.4138320927164798</v>
      </c>
      <c r="E12" s="101">
        <f t="shared" si="4"/>
        <v>2.1672775741419525</v>
      </c>
      <c r="F12" s="101">
        <f t="shared" si="21"/>
        <v>1.1152930036822726</v>
      </c>
      <c r="G12" s="101">
        <f>G11/F11-1</f>
        <v>0.46994756752508993</v>
      </c>
      <c r="H12" s="101">
        <f>H11/G11-1</f>
        <v>0.30000000000000004</v>
      </c>
      <c r="I12" s="101">
        <f>I11/H11-1</f>
        <v>0.19999999999999996</v>
      </c>
      <c r="J12" s="101"/>
      <c r="K12" s="101"/>
      <c r="L12" s="101"/>
      <c r="M12" s="101"/>
      <c r="N12" s="101"/>
      <c r="O12" s="101"/>
      <c r="P12" s="101"/>
      <c r="Q12" s="101">
        <f>Q11/K11-1</f>
        <v>0.79491673970201582</v>
      </c>
      <c r="R12" s="101">
        <f t="shared" ref="R12" si="22">R11/L11-1</f>
        <v>0.35045662100456632</v>
      </c>
      <c r="S12" s="101">
        <f t="shared" ref="S12" si="23">S11/M11-1</f>
        <v>0.54526315789473689</v>
      </c>
      <c r="T12" s="101">
        <f t="shared" ref="T12" si="24">T11/N11-1</f>
        <v>0.7146610614818707</v>
      </c>
      <c r="U12" s="101">
        <f t="shared" ref="U12" si="25">U11/O11-1</f>
        <v>0.5849761051373954</v>
      </c>
      <c r="V12" s="101"/>
      <c r="W12" s="101">
        <f t="shared" ref="W12" si="26">W11/Q11-1</f>
        <v>0.8310546875</v>
      </c>
      <c r="X12" s="101">
        <f t="shared" ref="X12" si="27">X11/R11-1</f>
        <v>0.60862214708368545</v>
      </c>
      <c r="Y12" s="101">
        <f t="shared" ref="Y12" si="28">Y11/S11-1</f>
        <v>0.30551771117166204</v>
      </c>
      <c r="Z12" s="101">
        <f t="shared" ref="Z12" si="29">Z11/T11-1</f>
        <v>0.10818265399938709</v>
      </c>
      <c r="AA12" s="101">
        <f t="shared" ref="AA12" si="30">AA11/U11-1</f>
        <v>0.4138320927164798</v>
      </c>
      <c r="AB12" s="101"/>
      <c r="AC12" s="101">
        <f t="shared" ref="AC12" si="31">AC11/W11-1</f>
        <v>0.14240000000000008</v>
      </c>
      <c r="AD12" s="101">
        <f t="shared" ref="AD12" si="32">AD11/X11-1</f>
        <v>1.712296374146085</v>
      </c>
      <c r="AE12" s="101">
        <f t="shared" ref="AE12" si="33">AE11/Y11-1</f>
        <v>2.7865901382728935</v>
      </c>
      <c r="AF12" s="101">
        <f t="shared" ref="AF12" si="34">AF11/Z11-1</f>
        <v>4.0896017699115044</v>
      </c>
      <c r="AG12" s="101">
        <f t="shared" ref="AG12" si="35">AG11/AA11-1</f>
        <v>2.1672775741419525</v>
      </c>
      <c r="AH12" s="101"/>
      <c r="AI12" s="101">
        <f t="shared" ref="AI12" si="36">AI11/AC11-1</f>
        <v>2.7142857142857144</v>
      </c>
      <c r="AJ12" s="101">
        <f t="shared" ref="AJ12" si="37">AJ11/AD11-1</f>
        <v>0.96265620459168844</v>
      </c>
      <c r="AK12" s="101">
        <f t="shared" ref="AK12" si="38">AK11/AE11-1</f>
        <v>0.99751963621331119</v>
      </c>
      <c r="AL12" s="101">
        <f t="shared" ref="AL12" si="39">AL11/AF11-1</f>
        <v>0.92158226472506</v>
      </c>
      <c r="AM12" s="101">
        <f t="shared" ref="AM12" si="40">AM11/AG11-1</f>
        <v>1.1152930036822726</v>
      </c>
    </row>
    <row r="13" spans="1:40">
      <c r="A13" s="98"/>
      <c r="B13" s="8"/>
      <c r="C13" s="8"/>
      <c r="D13" s="8"/>
      <c r="E13" s="8"/>
      <c r="F13" s="29"/>
      <c r="G13" s="8"/>
      <c r="H13" s="8"/>
      <c r="I13" s="8"/>
      <c r="J13" s="98"/>
      <c r="K13" s="41"/>
      <c r="L13" s="41"/>
      <c r="M13" s="41"/>
      <c r="N13" s="41"/>
      <c r="O13" s="41"/>
      <c r="P13" s="4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I13" s="101"/>
      <c r="AJ13" s="101"/>
      <c r="AK13" s="101"/>
      <c r="AL13" s="101"/>
      <c r="AM13" s="101"/>
    </row>
    <row r="14" spans="1:40" s="54" customFormat="1">
      <c r="A14" s="54" t="s">
        <v>66</v>
      </c>
      <c r="B14" s="54">
        <f t="shared" si="1"/>
        <v>7759</v>
      </c>
      <c r="C14" s="54">
        <f t="shared" si="2"/>
        <v>12462</v>
      </c>
      <c r="D14" s="54">
        <f t="shared" si="3"/>
        <v>9067</v>
      </c>
      <c r="E14" s="54">
        <f t="shared" si="4"/>
        <v>10447</v>
      </c>
      <c r="F14" s="54">
        <f t="shared" si="21"/>
        <v>18216.7</v>
      </c>
      <c r="G14" s="54">
        <f>G7*10%</f>
        <v>18471.600000000002</v>
      </c>
      <c r="H14" s="54">
        <f>H7*10%</f>
        <v>24013.08</v>
      </c>
      <c r="I14" s="54">
        <f>I7*10%</f>
        <v>28815.696000000004</v>
      </c>
      <c r="K14" s="88">
        <v>1339</v>
      </c>
      <c r="L14" s="88">
        <v>1654</v>
      </c>
      <c r="M14" s="88">
        <v>2271</v>
      </c>
      <c r="N14" s="88">
        <f>O14-SUM(K14:M14)</f>
        <v>2495</v>
      </c>
      <c r="O14" s="88">
        <v>7759</v>
      </c>
      <c r="P14" s="88"/>
      <c r="Q14" s="88">
        <v>2760</v>
      </c>
      <c r="R14" s="88">
        <v>3061</v>
      </c>
      <c r="S14" s="88">
        <v>3221</v>
      </c>
      <c r="T14" s="88">
        <f>U14-SUM(Q14:S14)</f>
        <v>3420</v>
      </c>
      <c r="U14" s="88">
        <v>12462</v>
      </c>
      <c r="V14" s="88"/>
      <c r="W14" s="88">
        <v>3620</v>
      </c>
      <c r="X14" s="88">
        <v>2042</v>
      </c>
      <c r="Y14" s="88">
        <v>1574</v>
      </c>
      <c r="Z14" s="88">
        <f>AA14-SUM(W14:Y14)</f>
        <v>1831</v>
      </c>
      <c r="AA14" s="88">
        <v>9067</v>
      </c>
      <c r="AB14" s="88"/>
      <c r="AC14" s="88">
        <v>2240</v>
      </c>
      <c r="AD14" s="88">
        <v>2486</v>
      </c>
      <c r="AE14" s="88">
        <v>2856</v>
      </c>
      <c r="AF14" s="88">
        <f t="shared" ref="AF14:AF23" si="41">AG14-SUM(AC14:AE14)</f>
        <v>2865</v>
      </c>
      <c r="AG14" s="88">
        <v>10447</v>
      </c>
      <c r="AI14" s="88">
        <f>AI7*25%</f>
        <v>6120</v>
      </c>
      <c r="AJ14" s="88">
        <f>AJ7*15%</f>
        <v>4052.1</v>
      </c>
      <c r="AK14" s="88">
        <f>AK7*10%</f>
        <v>3624</v>
      </c>
      <c r="AL14" s="88">
        <f>AL7*10%</f>
        <v>4420.6000000000004</v>
      </c>
      <c r="AM14" s="105">
        <f>SUM(AI14:AL14)</f>
        <v>18216.7</v>
      </c>
      <c r="AN14" s="29"/>
    </row>
    <row r="15" spans="1:40" s="102" customFormat="1">
      <c r="A15" s="101" t="s">
        <v>193</v>
      </c>
      <c r="B15" s="101"/>
      <c r="C15" s="101">
        <f t="shared" si="2"/>
        <v>0.60613481118700863</v>
      </c>
      <c r="D15" s="101">
        <f t="shared" si="3"/>
        <v>-0.27242818167228378</v>
      </c>
      <c r="E15" s="101">
        <f t="shared" si="4"/>
        <v>0.15220028675416342</v>
      </c>
      <c r="F15" s="101">
        <f t="shared" si="21"/>
        <v>0.74372547142720413</v>
      </c>
      <c r="G15" s="101">
        <f>G14/F14-1</f>
        <v>1.3992655091207507E-2</v>
      </c>
      <c r="H15" s="101">
        <f>H14/G14-1</f>
        <v>0.30000000000000004</v>
      </c>
      <c r="I15" s="101">
        <f>I14/H14-1</f>
        <v>0.19999999999999996</v>
      </c>
      <c r="J15" s="101"/>
      <c r="K15" s="101"/>
      <c r="L15" s="101"/>
      <c r="M15" s="101"/>
      <c r="N15" s="101"/>
      <c r="O15" s="101"/>
      <c r="P15" s="101"/>
      <c r="Q15" s="101">
        <f>Q14/K14-1</f>
        <v>1.0612397311426438</v>
      </c>
      <c r="R15" s="101">
        <f t="shared" ref="R15" si="42">R14/L14-1</f>
        <v>0.85066505441354301</v>
      </c>
      <c r="S15" s="101">
        <f t="shared" ref="S15" si="43">S14/M14-1</f>
        <v>0.41831792162043158</v>
      </c>
      <c r="T15" s="101">
        <f t="shared" ref="T15" si="44">T14/N14-1</f>
        <v>0.3707414829659319</v>
      </c>
      <c r="U15" s="101">
        <f t="shared" ref="U15" si="45">U14/O14-1</f>
        <v>0.60613481118700863</v>
      </c>
      <c r="V15" s="101"/>
      <c r="W15" s="101">
        <f t="shared" ref="W15" si="46">W14/Q14-1</f>
        <v>0.31159420289855078</v>
      </c>
      <c r="X15" s="101">
        <f t="shared" ref="X15" si="47">X14/R14-1</f>
        <v>-0.33289774583469456</v>
      </c>
      <c r="Y15" s="101">
        <f t="shared" ref="Y15" si="48">Y14/S14-1</f>
        <v>-0.51133188450791678</v>
      </c>
      <c r="Z15" s="101">
        <f t="shared" ref="Z15" si="49">Z14/T14-1</f>
        <v>-0.46461988304093571</v>
      </c>
      <c r="AA15" s="101">
        <f t="shared" ref="AA15" si="50">AA14/U14-1</f>
        <v>-0.27242818167228378</v>
      </c>
      <c r="AB15" s="101"/>
      <c r="AC15" s="101">
        <f t="shared" ref="AC15" si="51">AC14/W14-1</f>
        <v>-0.38121546961325969</v>
      </c>
      <c r="AD15" s="101">
        <f t="shared" ref="AD15" si="52">AD14/X14-1</f>
        <v>0.21743388834475996</v>
      </c>
      <c r="AE15" s="101">
        <f t="shared" ref="AE15" si="53">AE14/Y14-1</f>
        <v>0.81448538754764921</v>
      </c>
      <c r="AF15" s="101">
        <f t="shared" ref="AF15" si="54">AF14/Z14-1</f>
        <v>0.5647187329328236</v>
      </c>
      <c r="AG15" s="101">
        <f t="shared" ref="AG15" si="55">AG14/AA14-1</f>
        <v>0.15220028675416342</v>
      </c>
      <c r="AH15" s="101"/>
      <c r="AI15" s="101">
        <f t="shared" ref="AI15" si="56">AI14/AC14-1</f>
        <v>1.7321428571428572</v>
      </c>
      <c r="AJ15" s="101">
        <f t="shared" ref="AJ15" si="57">AJ14/AD14-1</f>
        <v>0.6299678197908285</v>
      </c>
      <c r="AK15" s="101">
        <f t="shared" ref="AK15" si="58">AK14/AE14-1</f>
        <v>0.26890756302521002</v>
      </c>
      <c r="AL15" s="101">
        <f t="shared" ref="AL15" si="59">AL14/AF14-1</f>
        <v>0.54296684118673655</v>
      </c>
      <c r="AM15" s="101">
        <f t="shared" ref="AM15" si="60">AM14/AG14-1</f>
        <v>0.74372547142720413</v>
      </c>
    </row>
    <row r="16" spans="1:40">
      <c r="B16" s="8"/>
      <c r="C16" s="8"/>
      <c r="D16" s="8"/>
      <c r="E16" s="8"/>
      <c r="F16" s="29"/>
      <c r="G16" s="8"/>
      <c r="H16" s="8"/>
      <c r="I16" s="8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I16" s="39"/>
      <c r="AJ16" s="39"/>
      <c r="AK16" s="39"/>
      <c r="AL16" s="39"/>
      <c r="AM16" s="39"/>
    </row>
    <row r="17" spans="1:40" s="54" customFormat="1">
      <c r="A17" s="54" t="s">
        <v>67</v>
      </c>
      <c r="B17" s="54">
        <f t="shared" si="1"/>
        <v>1053</v>
      </c>
      <c r="C17" s="54">
        <f t="shared" si="2"/>
        <v>2111</v>
      </c>
      <c r="D17" s="54">
        <f t="shared" si="3"/>
        <v>1544</v>
      </c>
      <c r="E17" s="54">
        <f t="shared" si="4"/>
        <v>1553</v>
      </c>
      <c r="F17" s="54">
        <f t="shared" si="21"/>
        <v>6597</v>
      </c>
      <c r="G17" s="54">
        <f>G7*5%</f>
        <v>9235.8000000000011</v>
      </c>
      <c r="H17" s="54">
        <f>H7*5%</f>
        <v>12006.54</v>
      </c>
      <c r="I17" s="54">
        <f>I7*5%</f>
        <v>14407.848000000002</v>
      </c>
      <c r="K17" s="88">
        <v>307</v>
      </c>
      <c r="L17" s="88">
        <v>203</v>
      </c>
      <c r="M17" s="88">
        <v>236</v>
      </c>
      <c r="N17" s="88">
        <f>O17-SUM(K17:M17)</f>
        <v>307</v>
      </c>
      <c r="O17" s="88">
        <v>1053</v>
      </c>
      <c r="P17" s="88"/>
      <c r="Q17" s="88">
        <v>372</v>
      </c>
      <c r="R17" s="88">
        <v>519</v>
      </c>
      <c r="S17" s="88">
        <v>577</v>
      </c>
      <c r="T17" s="88">
        <f>U17-SUM(Q17:S17)</f>
        <v>643</v>
      </c>
      <c r="U17" s="88">
        <v>2111</v>
      </c>
      <c r="V17" s="88"/>
      <c r="W17" s="88">
        <v>622</v>
      </c>
      <c r="X17" s="88">
        <v>496</v>
      </c>
      <c r="Y17" s="88">
        <v>200</v>
      </c>
      <c r="Z17" s="88">
        <f>AA17-SUM(W17:Y17)</f>
        <v>226</v>
      </c>
      <c r="AA17" s="88">
        <v>1544</v>
      </c>
      <c r="AB17" s="88"/>
      <c r="AC17" s="88">
        <v>295</v>
      </c>
      <c r="AD17" s="88">
        <v>379</v>
      </c>
      <c r="AE17" s="88">
        <v>416</v>
      </c>
      <c r="AF17" s="88">
        <f t="shared" si="41"/>
        <v>463</v>
      </c>
      <c r="AG17" s="88">
        <v>1553</v>
      </c>
      <c r="AI17" s="88">
        <f>AI7*5%</f>
        <v>1224</v>
      </c>
      <c r="AJ17" s="88">
        <f>AJ7*5%</f>
        <v>1350.7</v>
      </c>
      <c r="AK17" s="88">
        <f t="shared" ref="AK17:AL17" si="61">AK7*5%</f>
        <v>1812</v>
      </c>
      <c r="AL17" s="88">
        <f t="shared" si="61"/>
        <v>2210.3000000000002</v>
      </c>
      <c r="AM17" s="105">
        <f>SUM(AI17:AL17)</f>
        <v>6597</v>
      </c>
      <c r="AN17" s="29"/>
    </row>
    <row r="18" spans="1:40" s="102" customFormat="1">
      <c r="A18" s="101" t="s">
        <v>193</v>
      </c>
      <c r="B18" s="101"/>
      <c r="C18" s="101">
        <f t="shared" si="2"/>
        <v>1.0047483380816713</v>
      </c>
      <c r="D18" s="101">
        <f t="shared" si="3"/>
        <v>-0.26859308384651825</v>
      </c>
      <c r="E18" s="101">
        <f t="shared" si="4"/>
        <v>5.8290155440414715E-3</v>
      </c>
      <c r="F18" s="101">
        <f t="shared" si="21"/>
        <v>3.2479072762395367</v>
      </c>
      <c r="G18" s="101">
        <f>G17/F17-1</f>
        <v>0.40000000000000013</v>
      </c>
      <c r="H18" s="101">
        <f>H17/G17-1</f>
        <v>0.30000000000000004</v>
      </c>
      <c r="I18" s="101">
        <f>I17/H17-1</f>
        <v>0.19999999999999996</v>
      </c>
      <c r="J18" s="101"/>
      <c r="K18" s="101"/>
      <c r="L18" s="101"/>
      <c r="M18" s="101"/>
      <c r="N18" s="101"/>
      <c r="O18" s="101"/>
      <c r="P18" s="101"/>
      <c r="Q18" s="101">
        <f>Q17/K17-1</f>
        <v>0.21172638436482094</v>
      </c>
      <c r="R18" s="101">
        <f t="shared" ref="R18" si="62">R17/L17-1</f>
        <v>1.5566502463054186</v>
      </c>
      <c r="S18" s="101">
        <f t="shared" ref="S18" si="63">S17/M17-1</f>
        <v>1.4449152542372881</v>
      </c>
      <c r="T18" s="101">
        <f t="shared" ref="T18" si="64">T17/N17-1</f>
        <v>1.0944625407166124</v>
      </c>
      <c r="U18" s="101">
        <f t="shared" ref="U18" si="65">U17/O17-1</f>
        <v>1.0047483380816713</v>
      </c>
      <c r="V18" s="101"/>
      <c r="W18" s="101">
        <f t="shared" ref="W18" si="66">W17/Q17-1</f>
        <v>0.67204301075268824</v>
      </c>
      <c r="X18" s="101">
        <f t="shared" ref="X18" si="67">X17/R17-1</f>
        <v>-4.4315992292870865E-2</v>
      </c>
      <c r="Y18" s="101">
        <f t="shared" ref="Y18" si="68">Y17/S17-1</f>
        <v>-0.65337954939341425</v>
      </c>
      <c r="Z18" s="101">
        <f t="shared" ref="Z18" si="69">Z17/T17-1</f>
        <v>-0.64852255054432351</v>
      </c>
      <c r="AA18" s="101">
        <f t="shared" ref="AA18" si="70">AA17/U17-1</f>
        <v>-0.26859308384651825</v>
      </c>
      <c r="AB18" s="101"/>
      <c r="AC18" s="101">
        <f t="shared" ref="AC18" si="71">AC17/W17-1</f>
        <v>-0.52572347266881025</v>
      </c>
      <c r="AD18" s="101">
        <f t="shared" ref="AD18" si="72">AD17/X17-1</f>
        <v>-0.23588709677419351</v>
      </c>
      <c r="AE18" s="101">
        <f t="shared" ref="AE18" si="73">AE17/Y17-1</f>
        <v>1.08</v>
      </c>
      <c r="AF18" s="101">
        <f t="shared" ref="AF18" si="74">AF17/Z17-1</f>
        <v>1.0486725663716814</v>
      </c>
      <c r="AG18" s="101">
        <f t="shared" ref="AG18" si="75">AG17/AA17-1</f>
        <v>5.8290155440414715E-3</v>
      </c>
      <c r="AH18" s="101"/>
      <c r="AI18" s="101">
        <f t="shared" ref="AI18" si="76">AI17/AC17-1</f>
        <v>3.1491525423728817</v>
      </c>
      <c r="AJ18" s="101">
        <f t="shared" ref="AJ18" si="77">AJ17/AD17-1</f>
        <v>2.5638522427440633</v>
      </c>
      <c r="AK18" s="101">
        <f t="shared" ref="AK18" si="78">AK17/AE17-1</f>
        <v>3.3557692307692308</v>
      </c>
      <c r="AL18" s="101">
        <f t="shared" ref="AL18" si="79">AL17/AF17-1</f>
        <v>3.773866090712743</v>
      </c>
      <c r="AM18" s="101">
        <f t="shared" ref="AM18" si="80">AM17/AG17-1</f>
        <v>3.2479072762395367</v>
      </c>
    </row>
    <row r="19" spans="1:40">
      <c r="B19" s="8"/>
      <c r="C19" s="8"/>
      <c r="D19" s="8"/>
      <c r="E19" s="8"/>
      <c r="F19" s="29"/>
      <c r="G19" s="8"/>
      <c r="H19" s="8"/>
      <c r="I19" s="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I19" s="39"/>
      <c r="AJ19" s="39"/>
      <c r="AK19" s="39"/>
      <c r="AL19" s="39"/>
      <c r="AM19" s="39"/>
    </row>
    <row r="20" spans="1:40" s="54" customFormat="1">
      <c r="A20" s="54" t="s">
        <v>68</v>
      </c>
      <c r="B20" s="54">
        <f t="shared" si="1"/>
        <v>536</v>
      </c>
      <c r="C20" s="54">
        <f t="shared" si="2"/>
        <v>566</v>
      </c>
      <c r="D20" s="54">
        <f t="shared" si="3"/>
        <v>903</v>
      </c>
      <c r="E20" s="54">
        <f t="shared" si="4"/>
        <v>1091</v>
      </c>
      <c r="F20" s="54">
        <f t="shared" si="21"/>
        <v>5277.6</v>
      </c>
      <c r="G20" s="54">
        <f>G7*4%</f>
        <v>7388.64</v>
      </c>
      <c r="H20" s="54">
        <f>H7*4%</f>
        <v>9605.2320000000018</v>
      </c>
      <c r="I20" s="54">
        <f>I7*4%</f>
        <v>11526.278400000001</v>
      </c>
      <c r="K20" s="88">
        <v>155</v>
      </c>
      <c r="L20" s="88">
        <v>111</v>
      </c>
      <c r="M20" s="88">
        <v>125</v>
      </c>
      <c r="N20" s="88">
        <f>O20-SUM(K20:M20)</f>
        <v>145</v>
      </c>
      <c r="O20" s="88">
        <v>536</v>
      </c>
      <c r="P20" s="88"/>
      <c r="Q20" s="88">
        <v>154</v>
      </c>
      <c r="R20" s="88">
        <v>152</v>
      </c>
      <c r="S20" s="88">
        <v>135</v>
      </c>
      <c r="T20" s="88">
        <f>U20-SUM(Q20:S20)</f>
        <v>125</v>
      </c>
      <c r="U20" s="88">
        <v>566</v>
      </c>
      <c r="V20" s="88"/>
      <c r="W20" s="88">
        <v>138</v>
      </c>
      <c r="X20" s="88">
        <v>220</v>
      </c>
      <c r="Y20" s="88">
        <v>251</v>
      </c>
      <c r="Z20" s="88">
        <f>AA20-SUM(W20:Y20)</f>
        <v>294</v>
      </c>
      <c r="AA20" s="88">
        <v>903</v>
      </c>
      <c r="AB20" s="88"/>
      <c r="AC20" s="88">
        <v>296</v>
      </c>
      <c r="AD20" s="88">
        <v>253</v>
      </c>
      <c r="AE20" s="88">
        <v>261</v>
      </c>
      <c r="AF20" s="88">
        <f t="shared" si="41"/>
        <v>281</v>
      </c>
      <c r="AG20" s="88">
        <v>1091</v>
      </c>
      <c r="AI20" s="88">
        <f>AI7*4%</f>
        <v>979.2</v>
      </c>
      <c r="AJ20" s="88">
        <f>AJ7*4%</f>
        <v>1080.56</v>
      </c>
      <c r="AK20" s="88">
        <f t="shared" ref="AK20:AL20" si="81">AK7*4%</f>
        <v>1449.6000000000001</v>
      </c>
      <c r="AL20" s="88">
        <f t="shared" si="81"/>
        <v>1768.24</v>
      </c>
      <c r="AM20" s="105">
        <f>SUM(AI20:AL20)</f>
        <v>5277.6</v>
      </c>
      <c r="AN20" s="29"/>
    </row>
    <row r="21" spans="1:40" s="102" customFormat="1">
      <c r="A21" s="101" t="s">
        <v>193</v>
      </c>
      <c r="B21" s="101"/>
      <c r="C21" s="101">
        <f t="shared" si="2"/>
        <v>5.5970149253731449E-2</v>
      </c>
      <c r="D21" s="101">
        <f t="shared" si="3"/>
        <v>0.59540636042402828</v>
      </c>
      <c r="E21" s="101">
        <f t="shared" si="4"/>
        <v>0.20819490586932443</v>
      </c>
      <c r="F21" s="101">
        <f t="shared" si="21"/>
        <v>3.8373968835930343</v>
      </c>
      <c r="G21" s="101">
        <f>G20/F20-1</f>
        <v>0.39999999999999991</v>
      </c>
      <c r="H21" s="101">
        <f>H20/G20-1</f>
        <v>0.30000000000000027</v>
      </c>
      <c r="I21" s="101">
        <f>I20/H20-1</f>
        <v>0.19999999999999996</v>
      </c>
      <c r="J21" s="101"/>
      <c r="K21" s="101"/>
      <c r="L21" s="101"/>
      <c r="M21" s="101"/>
      <c r="N21" s="101"/>
      <c r="O21" s="101"/>
      <c r="P21" s="101"/>
      <c r="Q21" s="101">
        <f>Q20/K20-1</f>
        <v>-6.4516129032258229E-3</v>
      </c>
      <c r="R21" s="101">
        <f t="shared" ref="R21" si="82">R20/L20-1</f>
        <v>0.36936936936936937</v>
      </c>
      <c r="S21" s="101">
        <f t="shared" ref="S21" si="83">S20/M20-1</f>
        <v>8.0000000000000071E-2</v>
      </c>
      <c r="T21" s="101">
        <f t="shared" ref="T21" si="84">T20/N20-1</f>
        <v>-0.13793103448275867</v>
      </c>
      <c r="U21" s="101">
        <f t="shared" ref="U21" si="85">U20/O20-1</f>
        <v>5.5970149253731449E-2</v>
      </c>
      <c r="V21" s="101"/>
      <c r="W21" s="101">
        <f t="shared" ref="W21" si="86">W20/Q20-1</f>
        <v>-0.10389610389610393</v>
      </c>
      <c r="X21" s="101">
        <f t="shared" ref="X21" si="87">X20/R20-1</f>
        <v>0.44736842105263164</v>
      </c>
      <c r="Y21" s="101">
        <f t="shared" ref="Y21" si="88">Y20/S20-1</f>
        <v>0.85925925925925917</v>
      </c>
      <c r="Z21" s="101">
        <f t="shared" ref="Z21" si="89">Z20/T20-1</f>
        <v>1.3519999999999999</v>
      </c>
      <c r="AA21" s="101">
        <f t="shared" ref="AA21" si="90">AA20/U20-1</f>
        <v>0.59540636042402828</v>
      </c>
      <c r="AB21" s="101"/>
      <c r="AC21" s="101">
        <f t="shared" ref="AC21" si="91">AC20/W20-1</f>
        <v>1.1449275362318843</v>
      </c>
      <c r="AD21" s="101">
        <f t="shared" ref="AD21" si="92">AD20/X20-1</f>
        <v>0.14999999999999991</v>
      </c>
      <c r="AE21" s="101">
        <f t="shared" ref="AE21" si="93">AE20/Y20-1</f>
        <v>3.9840637450199168E-2</v>
      </c>
      <c r="AF21" s="101">
        <f t="shared" ref="AF21" si="94">AF20/Z20-1</f>
        <v>-4.4217687074829981E-2</v>
      </c>
      <c r="AG21" s="101">
        <f t="shared" ref="AG21" si="95">AG20/AA20-1</f>
        <v>0.20819490586932443</v>
      </c>
      <c r="AH21" s="101"/>
      <c r="AI21" s="101">
        <f t="shared" ref="AI21" si="96">AI20/AC20-1</f>
        <v>2.3081081081081081</v>
      </c>
      <c r="AJ21" s="101">
        <f t="shared" ref="AJ21" si="97">AJ20/AD20-1</f>
        <v>3.2709881422924898</v>
      </c>
      <c r="AK21" s="101">
        <f t="shared" ref="AK21" si="98">AK20/AE20-1</f>
        <v>4.5540229885057473</v>
      </c>
      <c r="AL21" s="101">
        <f t="shared" ref="AL21" si="99">AL20/AF20-1</f>
        <v>5.2926690391459079</v>
      </c>
      <c r="AM21" s="101">
        <f t="shared" ref="AM21" si="100">AM20/AG20-1</f>
        <v>3.8373968835930343</v>
      </c>
    </row>
    <row r="22" spans="1:40">
      <c r="B22" s="8"/>
      <c r="C22" s="8"/>
      <c r="D22" s="8"/>
      <c r="E22" s="8"/>
      <c r="F22" s="29"/>
      <c r="G22" s="8"/>
      <c r="H22" s="8"/>
      <c r="I22" s="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I22" s="39"/>
      <c r="AJ22" s="39"/>
      <c r="AK22" s="39"/>
      <c r="AL22" s="39"/>
      <c r="AM22" s="39"/>
    </row>
    <row r="23" spans="1:40" s="54" customFormat="1">
      <c r="A23" s="54" t="s">
        <v>73</v>
      </c>
      <c r="B23" s="54">
        <f t="shared" si="1"/>
        <v>631</v>
      </c>
      <c r="C23" s="54">
        <f t="shared" si="2"/>
        <v>1162</v>
      </c>
      <c r="D23" s="54">
        <f t="shared" si="3"/>
        <v>455</v>
      </c>
      <c r="E23" s="54">
        <f t="shared" si="4"/>
        <v>306</v>
      </c>
      <c r="F23" s="54">
        <f t="shared" si="21"/>
        <v>1319.4</v>
      </c>
      <c r="G23" s="54">
        <f>G7*1%</f>
        <v>1847.16</v>
      </c>
      <c r="H23" s="54">
        <f>H7*1%</f>
        <v>2401.3080000000004</v>
      </c>
      <c r="I23" s="54">
        <f>I7*1%</f>
        <v>2881.5696000000003</v>
      </c>
      <c r="K23" s="88">
        <v>138</v>
      </c>
      <c r="L23" s="88">
        <v>146</v>
      </c>
      <c r="M23" s="88">
        <v>194</v>
      </c>
      <c r="N23" s="88">
        <f>O23-SUM(K23:M23)</f>
        <v>153</v>
      </c>
      <c r="O23" s="88">
        <v>631</v>
      </c>
      <c r="P23" s="88"/>
      <c r="Q23" s="88">
        <v>327</v>
      </c>
      <c r="R23" s="88">
        <v>409</v>
      </c>
      <c r="S23" s="88">
        <v>234</v>
      </c>
      <c r="T23" s="88">
        <f>U23-SUM(Q23:S23)</f>
        <v>192</v>
      </c>
      <c r="U23" s="88">
        <v>1162</v>
      </c>
      <c r="V23" s="88"/>
      <c r="W23" s="88">
        <v>158</v>
      </c>
      <c r="X23" s="88">
        <v>140</v>
      </c>
      <c r="Y23" s="88">
        <v>73</v>
      </c>
      <c r="Z23" s="88">
        <f>AA23-SUM(W23:Y23)</f>
        <v>84</v>
      </c>
      <c r="AA23" s="88">
        <v>455</v>
      </c>
      <c r="AB23" s="88"/>
      <c r="AC23" s="88">
        <v>77</v>
      </c>
      <c r="AD23" s="88">
        <v>66</v>
      </c>
      <c r="AE23" s="88">
        <v>73</v>
      </c>
      <c r="AF23" s="88">
        <f t="shared" si="41"/>
        <v>90</v>
      </c>
      <c r="AG23" s="88">
        <v>306</v>
      </c>
      <c r="AI23" s="88">
        <f>AI7*1%</f>
        <v>244.8</v>
      </c>
      <c r="AJ23" s="88">
        <f>AJ7*1%</f>
        <v>270.14</v>
      </c>
      <c r="AK23" s="88">
        <f t="shared" ref="AK23:AL23" si="101">AK7*1%</f>
        <v>362.40000000000003</v>
      </c>
      <c r="AL23" s="88">
        <f t="shared" si="101"/>
        <v>442.06</v>
      </c>
      <c r="AM23" s="105">
        <f>SUM(AI23:AL23)</f>
        <v>1319.4</v>
      </c>
      <c r="AN23" s="131"/>
    </row>
    <row r="24" spans="1:40" s="102" customFormat="1">
      <c r="A24" s="101" t="s">
        <v>193</v>
      </c>
      <c r="B24" s="101"/>
      <c r="C24" s="101">
        <f t="shared" si="2"/>
        <v>0.84152139461172748</v>
      </c>
      <c r="D24" s="101">
        <f t="shared" si="3"/>
        <v>-0.60843373493975905</v>
      </c>
      <c r="E24" s="101">
        <f t="shared" si="4"/>
        <v>-0.32747252747252742</v>
      </c>
      <c r="F24" s="101">
        <f t="shared" si="21"/>
        <v>3.3117647058823536</v>
      </c>
      <c r="G24" s="101">
        <f>G23/F23-1</f>
        <v>0.39999999999999991</v>
      </c>
      <c r="H24" s="101">
        <f>H23/G23-1</f>
        <v>0.30000000000000027</v>
      </c>
      <c r="I24" s="101">
        <f>I23/H23-1</f>
        <v>0.19999999999999996</v>
      </c>
      <c r="J24" s="101"/>
      <c r="K24" s="101"/>
      <c r="L24" s="101"/>
      <c r="M24" s="101"/>
      <c r="N24" s="101"/>
      <c r="O24" s="101"/>
      <c r="P24" s="101"/>
      <c r="Q24" s="101">
        <f>Q23/K23-1</f>
        <v>1.3695652173913042</v>
      </c>
      <c r="R24" s="101">
        <f t="shared" ref="R24" si="102">R23/L23-1</f>
        <v>1.8013698630136985</v>
      </c>
      <c r="S24" s="101">
        <f t="shared" ref="S24" si="103">S23/M23-1</f>
        <v>0.20618556701030921</v>
      </c>
      <c r="T24" s="101">
        <f t="shared" ref="T24" si="104">T23/N23-1</f>
        <v>0.25490196078431371</v>
      </c>
      <c r="U24" s="101">
        <f t="shared" ref="U24" si="105">U23/O23-1</f>
        <v>0.84152139461172748</v>
      </c>
      <c r="V24" s="101"/>
      <c r="W24" s="101">
        <f t="shared" ref="W24" si="106">W23/Q23-1</f>
        <v>-0.51681957186544336</v>
      </c>
      <c r="X24" s="101">
        <f t="shared" ref="X24" si="107">X23/R23-1</f>
        <v>-0.65770171149144252</v>
      </c>
      <c r="Y24" s="101">
        <f t="shared" ref="Y24" si="108">Y23/S23-1</f>
        <v>-0.68803418803418803</v>
      </c>
      <c r="Z24" s="101">
        <f t="shared" ref="Z24" si="109">Z23/T23-1</f>
        <v>-0.5625</v>
      </c>
      <c r="AA24" s="101">
        <f t="shared" ref="AA24" si="110">AA23/U23-1</f>
        <v>-0.60843373493975905</v>
      </c>
      <c r="AB24" s="101"/>
      <c r="AC24" s="101">
        <f t="shared" ref="AC24" si="111">AC23/W23-1</f>
        <v>-0.51265822784810133</v>
      </c>
      <c r="AD24" s="101">
        <f t="shared" ref="AD24" si="112">AD23/X23-1</f>
        <v>-0.52857142857142858</v>
      </c>
      <c r="AE24" s="101">
        <f t="shared" ref="AE24" si="113">AE23/Y23-1</f>
        <v>0</v>
      </c>
      <c r="AF24" s="101">
        <f t="shared" ref="AF24" si="114">AF23/Z23-1</f>
        <v>7.1428571428571397E-2</v>
      </c>
      <c r="AG24" s="101">
        <f t="shared" ref="AG24" si="115">AG23/AA23-1</f>
        <v>-0.32747252747252742</v>
      </c>
      <c r="AH24" s="101"/>
      <c r="AI24" s="101">
        <f t="shared" ref="AI24" si="116">AI23/AC23-1</f>
        <v>2.1792207792207794</v>
      </c>
      <c r="AJ24" s="101">
        <f t="shared" ref="AJ24" si="117">AJ23/AD23-1</f>
        <v>3.0930303030303028</v>
      </c>
      <c r="AK24" s="101">
        <f t="shared" ref="AK24" si="118">AK23/AE23-1</f>
        <v>3.9643835616438361</v>
      </c>
      <c r="AL24" s="101">
        <f t="shared" ref="AL24" si="119">AL23/AF23-1</f>
        <v>3.911777777777778</v>
      </c>
      <c r="AM24" s="101">
        <f t="shared" ref="AM24" si="120">AM23/AG23-1</f>
        <v>3.3117647058823536</v>
      </c>
    </row>
    <row r="25" spans="1:40">
      <c r="B25" s="8"/>
      <c r="C25" s="8"/>
      <c r="D25" s="8"/>
      <c r="E25" s="8"/>
      <c r="F25" s="29"/>
      <c r="G25" s="8"/>
      <c r="H25" s="8"/>
      <c r="I25" s="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I25" s="39"/>
      <c r="AJ25" s="39"/>
      <c r="AK25" s="39"/>
      <c r="AL25" s="39"/>
      <c r="AM25" s="39"/>
    </row>
    <row r="26" spans="1:40">
      <c r="A26" s="1" t="s">
        <v>74</v>
      </c>
      <c r="B26" s="8">
        <f t="shared" si="1"/>
        <v>16675</v>
      </c>
      <c r="C26" s="8">
        <f t="shared" si="2"/>
        <v>26914</v>
      </c>
      <c r="D26" s="8">
        <f t="shared" si="3"/>
        <v>26974</v>
      </c>
      <c r="E26" s="8">
        <f t="shared" si="4"/>
        <v>60922</v>
      </c>
      <c r="F26" s="8">
        <f t="shared" si="21"/>
        <v>131940</v>
      </c>
      <c r="G26" s="8">
        <f>SUM(G11,G14,G17,G20,G23)</f>
        <v>184716.00000000003</v>
      </c>
      <c r="H26" s="8">
        <f>SUM(H11,H14,H17,H20,H23)</f>
        <v>240130.80000000002</v>
      </c>
      <c r="I26" s="8">
        <f>SUM(I11,I14,I17,I20,I23)</f>
        <v>288156.96000000002</v>
      </c>
      <c r="K26" s="41">
        <f>SUM(K11,K14,K17,K20,K23)</f>
        <v>3080</v>
      </c>
      <c r="L26" s="41">
        <f t="shared" ref="L26:AM26" si="121">SUM(L11,L14,L17,L20,L23)</f>
        <v>3866</v>
      </c>
      <c r="M26" s="41">
        <f t="shared" si="121"/>
        <v>4726</v>
      </c>
      <c r="N26" s="41">
        <f t="shared" si="121"/>
        <v>5003</v>
      </c>
      <c r="O26" s="41">
        <f t="shared" si="121"/>
        <v>16675</v>
      </c>
      <c r="P26" s="41"/>
      <c r="Q26" s="41">
        <f t="shared" si="121"/>
        <v>5661</v>
      </c>
      <c r="R26" s="41">
        <f t="shared" si="121"/>
        <v>6507</v>
      </c>
      <c r="S26" s="41">
        <f t="shared" si="121"/>
        <v>7103</v>
      </c>
      <c r="T26" s="41">
        <f t="shared" si="121"/>
        <v>7643</v>
      </c>
      <c r="U26" s="41">
        <f t="shared" si="121"/>
        <v>26914</v>
      </c>
      <c r="V26" s="41"/>
      <c r="W26" s="41">
        <f t="shared" si="121"/>
        <v>8288</v>
      </c>
      <c r="X26" s="41">
        <f t="shared" si="121"/>
        <v>6704</v>
      </c>
      <c r="Y26" s="41">
        <f t="shared" si="121"/>
        <v>5931</v>
      </c>
      <c r="Z26" s="41">
        <f t="shared" si="121"/>
        <v>6051</v>
      </c>
      <c r="AA26" s="41">
        <f t="shared" si="121"/>
        <v>26974</v>
      </c>
      <c r="AB26" s="41"/>
      <c r="AC26" s="41">
        <f t="shared" si="121"/>
        <v>7192</v>
      </c>
      <c r="AD26" s="41">
        <f t="shared" si="121"/>
        <v>13507</v>
      </c>
      <c r="AE26" s="41">
        <f t="shared" si="121"/>
        <v>18120</v>
      </c>
      <c r="AF26" s="41">
        <f t="shared" si="121"/>
        <v>22103</v>
      </c>
      <c r="AG26" s="41">
        <f t="shared" si="121"/>
        <v>60922</v>
      </c>
      <c r="AH26" s="41"/>
      <c r="AI26" s="41">
        <f t="shared" si="121"/>
        <v>24480</v>
      </c>
      <c r="AJ26" s="41">
        <f t="shared" si="121"/>
        <v>27014</v>
      </c>
      <c r="AK26" s="41">
        <f t="shared" si="121"/>
        <v>36240</v>
      </c>
      <c r="AL26" s="41">
        <f t="shared" si="121"/>
        <v>44206</v>
      </c>
      <c r="AM26" s="41">
        <f t="shared" si="121"/>
        <v>131940</v>
      </c>
    </row>
    <row r="27" spans="1:40">
      <c r="B27" s="8"/>
      <c r="C27" s="8"/>
      <c r="D27" s="8"/>
      <c r="E27" s="8"/>
      <c r="F27" s="8"/>
      <c r="G27" s="8"/>
      <c r="H27" s="8"/>
      <c r="I27" s="8"/>
    </row>
    <row r="28" spans="1:40">
      <c r="A28" s="1" t="s">
        <v>126</v>
      </c>
      <c r="B28" s="8"/>
      <c r="C28" s="8"/>
      <c r="D28" s="8"/>
      <c r="E28" s="8"/>
      <c r="F28" s="8"/>
      <c r="G28" s="8"/>
      <c r="H28" s="8"/>
      <c r="I28" s="8"/>
    </row>
    <row r="29" spans="1:40">
      <c r="A29" s="1" t="s">
        <v>69</v>
      </c>
      <c r="B29" s="8">
        <f t="shared" si="1"/>
        <v>3214</v>
      </c>
      <c r="C29" s="8">
        <f t="shared" si="2"/>
        <v>4349</v>
      </c>
      <c r="D29" s="8">
        <f t="shared" si="3"/>
        <v>8292</v>
      </c>
      <c r="E29" s="8">
        <f t="shared" si="4"/>
        <v>26966</v>
      </c>
      <c r="F29" s="8">
        <f t="shared" si="21"/>
        <v>65970</v>
      </c>
      <c r="G29" s="8">
        <f>G7*60%</f>
        <v>110829.59999999999</v>
      </c>
      <c r="H29" s="8">
        <f>H7*60%</f>
        <v>144078.48000000001</v>
      </c>
      <c r="I29" s="8">
        <f>I7*60%</f>
        <v>172894.17600000001</v>
      </c>
      <c r="K29" s="42">
        <v>497</v>
      </c>
      <c r="L29" s="42">
        <v>944</v>
      </c>
      <c r="M29" s="42">
        <v>890</v>
      </c>
      <c r="N29" s="42">
        <f>O29-SUM(K29:M29)</f>
        <v>883</v>
      </c>
      <c r="O29" s="42">
        <v>3214</v>
      </c>
      <c r="P29" s="42"/>
      <c r="Q29" s="42">
        <v>768</v>
      </c>
      <c r="R29" s="42">
        <v>996</v>
      </c>
      <c r="S29" s="42">
        <v>1126</v>
      </c>
      <c r="T29" s="42">
        <f>U29-SUM(Q29:S29)</f>
        <v>1459</v>
      </c>
      <c r="U29" s="42">
        <v>4349</v>
      </c>
      <c r="V29" s="42"/>
      <c r="W29" s="42">
        <v>1932</v>
      </c>
      <c r="X29" s="42">
        <v>1988</v>
      </c>
      <c r="Y29" s="42">
        <v>2148</v>
      </c>
      <c r="Z29" s="42">
        <f>AA29-SUM(W29:Y29)</f>
        <v>2224</v>
      </c>
      <c r="AA29" s="42">
        <v>8292</v>
      </c>
      <c r="AB29" s="42"/>
      <c r="AC29" s="42">
        <v>2385</v>
      </c>
      <c r="AD29" s="42">
        <v>6043</v>
      </c>
      <c r="AE29" s="42">
        <v>6302</v>
      </c>
      <c r="AF29" s="42">
        <f>AG29-SUM(AC29:AE29)</f>
        <v>12236</v>
      </c>
      <c r="AG29" s="42">
        <v>26966</v>
      </c>
      <c r="AI29" s="42">
        <f t="shared" ref="AI29:AK29" si="122">AI7*50%</f>
        <v>12240</v>
      </c>
      <c r="AJ29" s="42">
        <f t="shared" si="122"/>
        <v>13507</v>
      </c>
      <c r="AK29" s="42">
        <f t="shared" si="122"/>
        <v>18120</v>
      </c>
      <c r="AL29" s="42">
        <f>AL7*50%</f>
        <v>22103</v>
      </c>
      <c r="AM29" s="42">
        <f>SUM(AI29:AL29)</f>
        <v>65970</v>
      </c>
      <c r="AN29" s="29">
        <f>AM29/AM34</f>
        <v>0.5</v>
      </c>
    </row>
    <row r="30" spans="1:40" s="54" customFormat="1">
      <c r="A30" s="54" t="s">
        <v>70</v>
      </c>
      <c r="B30" s="54">
        <f t="shared" si="1"/>
        <v>4531</v>
      </c>
      <c r="C30" s="54">
        <f t="shared" si="2"/>
        <v>8544</v>
      </c>
      <c r="D30" s="54">
        <f t="shared" si="3"/>
        <v>6986</v>
      </c>
      <c r="E30" s="54">
        <f t="shared" si="4"/>
        <v>13405</v>
      </c>
      <c r="F30" s="54">
        <f t="shared" si="21"/>
        <v>39582</v>
      </c>
      <c r="G30" s="54">
        <f>G7*20%</f>
        <v>36943.200000000004</v>
      </c>
      <c r="H30" s="54">
        <f>H7*20%</f>
        <v>48026.16</v>
      </c>
      <c r="I30" s="54">
        <f>I7*20%</f>
        <v>57631.392000000007</v>
      </c>
      <c r="J30" s="1"/>
      <c r="K30" s="88">
        <v>813</v>
      </c>
      <c r="L30" s="88">
        <v>954</v>
      </c>
      <c r="M30" s="88">
        <v>1296</v>
      </c>
      <c r="N30" s="88">
        <f>O30-SUM(K30:M30)</f>
        <v>1468</v>
      </c>
      <c r="O30" s="88">
        <v>4531</v>
      </c>
      <c r="P30" s="88"/>
      <c r="Q30" s="88">
        <v>1784</v>
      </c>
      <c r="R30" s="88">
        <v>1961</v>
      </c>
      <c r="S30" s="88">
        <v>2187</v>
      </c>
      <c r="T30" s="88">
        <f>U30-SUM(Q30:S30)</f>
        <v>2612</v>
      </c>
      <c r="U30" s="88">
        <v>8544</v>
      </c>
      <c r="V30" s="88"/>
      <c r="W30" s="88">
        <v>2777</v>
      </c>
      <c r="X30" s="88">
        <v>1204</v>
      </c>
      <c r="Y30" s="88">
        <v>1153</v>
      </c>
      <c r="Z30" s="88">
        <f>AA30-SUM(W30:Y30)</f>
        <v>1852</v>
      </c>
      <c r="AA30" s="88">
        <v>6986</v>
      </c>
      <c r="AB30" s="88"/>
      <c r="AC30" s="88">
        <v>1796</v>
      </c>
      <c r="AD30" s="88">
        <v>2839</v>
      </c>
      <c r="AE30" s="88">
        <v>4333</v>
      </c>
      <c r="AF30" s="88">
        <f t="shared" ref="AF30:AF32" si="123">AG30-SUM(AC30:AE30)</f>
        <v>4437</v>
      </c>
      <c r="AG30" s="88">
        <v>13405</v>
      </c>
      <c r="AI30" s="88">
        <f t="shared" ref="AI30:AK30" si="124">AI7*30%</f>
        <v>7344</v>
      </c>
      <c r="AJ30" s="88">
        <f t="shared" si="124"/>
        <v>8104.2</v>
      </c>
      <c r="AK30" s="88">
        <f t="shared" si="124"/>
        <v>10872</v>
      </c>
      <c r="AL30" s="88">
        <f>AL7*30%</f>
        <v>13261.8</v>
      </c>
      <c r="AM30" s="105">
        <f>SUM(AI30:AL30)</f>
        <v>39582</v>
      </c>
      <c r="AN30" s="29">
        <f>AM30/AM34</f>
        <v>0.3</v>
      </c>
    </row>
    <row r="31" spans="1:40" s="54" customFormat="1">
      <c r="A31" s="54" t="s">
        <v>71</v>
      </c>
      <c r="B31" s="54">
        <f t="shared" si="1"/>
        <v>3886</v>
      </c>
      <c r="C31" s="54">
        <f t="shared" si="2"/>
        <v>7111</v>
      </c>
      <c r="D31" s="54">
        <f t="shared" si="3"/>
        <v>5785</v>
      </c>
      <c r="E31" s="54">
        <f t="shared" si="4"/>
        <v>10306</v>
      </c>
      <c r="F31" s="54">
        <f t="shared" si="21"/>
        <v>13194</v>
      </c>
      <c r="G31" s="54">
        <f>G7*10%</f>
        <v>18471.600000000002</v>
      </c>
      <c r="H31" s="54">
        <f>H7*10%</f>
        <v>24013.08</v>
      </c>
      <c r="I31" s="54">
        <f>I7*10%</f>
        <v>28815.696000000004</v>
      </c>
      <c r="J31" s="1"/>
      <c r="K31" s="88">
        <v>758</v>
      </c>
      <c r="L31" s="88">
        <v>855</v>
      </c>
      <c r="M31" s="88">
        <v>1113</v>
      </c>
      <c r="N31" s="88">
        <f>O31-SUM(K31:M31)</f>
        <v>1160</v>
      </c>
      <c r="O31" s="88">
        <v>3886</v>
      </c>
      <c r="P31" s="88"/>
      <c r="Q31" s="88">
        <v>1391</v>
      </c>
      <c r="R31" s="88">
        <v>1720</v>
      </c>
      <c r="S31" s="88">
        <v>2017</v>
      </c>
      <c r="T31" s="88">
        <f>U31-SUM(Q31:S31)</f>
        <v>1983</v>
      </c>
      <c r="U31" s="88">
        <v>7111</v>
      </c>
      <c r="V31" s="88"/>
      <c r="W31" s="88">
        <v>2081</v>
      </c>
      <c r="X31" s="88">
        <v>1602</v>
      </c>
      <c r="Y31" s="88">
        <v>1148</v>
      </c>
      <c r="Z31" s="88">
        <f>AA31-SUM(W31:Y31)</f>
        <v>954</v>
      </c>
      <c r="AA31" s="88">
        <v>5785</v>
      </c>
      <c r="AB31" s="88"/>
      <c r="AC31" s="88">
        <v>1590</v>
      </c>
      <c r="AD31" s="88">
        <v>2740</v>
      </c>
      <c r="AE31" s="88">
        <v>4030</v>
      </c>
      <c r="AF31" s="88">
        <f t="shared" si="123"/>
        <v>1946</v>
      </c>
      <c r="AG31" s="88">
        <v>10306</v>
      </c>
      <c r="AI31" s="88">
        <f t="shared" ref="AI31:AK31" si="125">AI7*10%</f>
        <v>2448</v>
      </c>
      <c r="AJ31" s="88">
        <f t="shared" si="125"/>
        <v>2701.4</v>
      </c>
      <c r="AK31" s="88">
        <f t="shared" si="125"/>
        <v>3624</v>
      </c>
      <c r="AL31" s="88">
        <f>AL7*10%</f>
        <v>4420.6000000000004</v>
      </c>
      <c r="AM31" s="105">
        <f t="shared" ref="AM31:AM32" si="126">SUM(AI31:AL31)</f>
        <v>13194</v>
      </c>
    </row>
    <row r="32" spans="1:40" s="54" customFormat="1">
      <c r="A32" s="54" t="s">
        <v>72</v>
      </c>
      <c r="B32" s="54">
        <f t="shared" si="1"/>
        <v>5044</v>
      </c>
      <c r="C32" s="54">
        <f t="shared" si="2"/>
        <v>6910</v>
      </c>
      <c r="D32" s="54">
        <f t="shared" si="3"/>
        <v>5911</v>
      </c>
      <c r="E32" s="54">
        <f t="shared" si="4"/>
        <v>10245</v>
      </c>
      <c r="F32" s="54">
        <f t="shared" si="21"/>
        <v>13194</v>
      </c>
      <c r="G32" s="54">
        <f>G7*10%</f>
        <v>18471.600000000002</v>
      </c>
      <c r="H32" s="54">
        <f>H7*10%</f>
        <v>24013.08</v>
      </c>
      <c r="I32" s="54">
        <f>I7*10%</f>
        <v>28815.696000000004</v>
      </c>
      <c r="J32" s="1"/>
      <c r="K32" s="88">
        <f>607+254+151</f>
        <v>1012</v>
      </c>
      <c r="L32" s="88">
        <f>698+240+175</f>
        <v>1113</v>
      </c>
      <c r="M32" s="88">
        <f>955+247+225</f>
        <v>1427</v>
      </c>
      <c r="N32" s="88">
        <f>O32-SUM(K32:M32)</f>
        <v>1492</v>
      </c>
      <c r="O32" s="88">
        <v>5044</v>
      </c>
      <c r="P32" s="88"/>
      <c r="Q32" s="88">
        <f>1001+381+336</f>
        <v>1718</v>
      </c>
      <c r="R32" s="88">
        <f>1047+429+354</f>
        <v>1830</v>
      </c>
      <c r="S32" s="88">
        <f>1067+340+366</f>
        <v>1773</v>
      </c>
      <c r="T32" s="88">
        <f>U32-SUM(Q32:S32)</f>
        <v>1589</v>
      </c>
      <c r="U32" s="88">
        <v>6910</v>
      </c>
      <c r="V32" s="88"/>
      <c r="W32" s="88">
        <f>1044+454</f>
        <v>1498</v>
      </c>
      <c r="X32" s="88">
        <v>1910</v>
      </c>
      <c r="Y32" s="88">
        <f>946+536</f>
        <v>1482</v>
      </c>
      <c r="Z32" s="88">
        <f>AA32-SUM(W32:Y32)</f>
        <v>1021</v>
      </c>
      <c r="AA32" s="88">
        <v>5911</v>
      </c>
      <c r="AB32" s="88"/>
      <c r="AC32" s="88">
        <f>659+762</f>
        <v>1421</v>
      </c>
      <c r="AD32" s="88">
        <v>1885</v>
      </c>
      <c r="AE32" s="88">
        <f>753+2702</f>
        <v>3455</v>
      </c>
      <c r="AF32" s="88">
        <f t="shared" si="123"/>
        <v>3484</v>
      </c>
      <c r="AG32" s="88">
        <v>10245</v>
      </c>
      <c r="AI32" s="88">
        <f t="shared" ref="AI32:AK32" si="127">AI7*10%</f>
        <v>2448</v>
      </c>
      <c r="AJ32" s="88">
        <f t="shared" si="127"/>
        <v>2701.4</v>
      </c>
      <c r="AK32" s="88">
        <f t="shared" si="127"/>
        <v>3624</v>
      </c>
      <c r="AL32" s="88">
        <f>AL7*10%</f>
        <v>4420.6000000000004</v>
      </c>
      <c r="AM32" s="105">
        <f t="shared" si="126"/>
        <v>13194</v>
      </c>
    </row>
    <row r="33" spans="1:40">
      <c r="B33" s="8"/>
      <c r="C33" s="8"/>
      <c r="D33" s="8"/>
      <c r="E33" s="8"/>
      <c r="F33" s="8"/>
      <c r="G33" s="8"/>
      <c r="H33" s="8"/>
      <c r="I33" s="8"/>
    </row>
    <row r="34" spans="1:40">
      <c r="A34" s="1" t="s">
        <v>74</v>
      </c>
      <c r="B34" s="8">
        <f t="shared" si="1"/>
        <v>16675</v>
      </c>
      <c r="C34" s="8">
        <f t="shared" si="2"/>
        <v>26914</v>
      </c>
      <c r="D34" s="8">
        <f t="shared" si="3"/>
        <v>26974</v>
      </c>
      <c r="E34" s="8">
        <f t="shared" si="4"/>
        <v>60922</v>
      </c>
      <c r="F34" s="8">
        <f t="shared" si="21"/>
        <v>131940</v>
      </c>
      <c r="G34" s="8">
        <f>SUM(G29:G32)</f>
        <v>184716</v>
      </c>
      <c r="H34" s="8">
        <f>SUM(H29:H32)</f>
        <v>240130.80000000005</v>
      </c>
      <c r="I34" s="8">
        <f>SUM(I29:I32)</f>
        <v>288156.96000000002</v>
      </c>
      <c r="K34" s="41">
        <f t="shared" ref="K34:AF34" si="128">SUM(K29:K32)</f>
        <v>3080</v>
      </c>
      <c r="L34" s="41">
        <f t="shared" si="128"/>
        <v>3866</v>
      </c>
      <c r="M34" s="41">
        <f t="shared" si="128"/>
        <v>4726</v>
      </c>
      <c r="N34" s="41">
        <f t="shared" ref="N34" si="129">SUM(N29:N32)</f>
        <v>5003</v>
      </c>
      <c r="O34" s="41">
        <f t="shared" si="128"/>
        <v>16675</v>
      </c>
      <c r="P34" s="41"/>
      <c r="Q34" s="41">
        <f t="shared" si="128"/>
        <v>5661</v>
      </c>
      <c r="R34" s="41">
        <f t="shared" si="128"/>
        <v>6507</v>
      </c>
      <c r="S34" s="41">
        <f t="shared" si="128"/>
        <v>7103</v>
      </c>
      <c r="T34" s="41">
        <f t="shared" ref="T34" si="130">SUM(T29:T32)</f>
        <v>7643</v>
      </c>
      <c r="U34" s="41">
        <f t="shared" si="128"/>
        <v>26914</v>
      </c>
      <c r="V34" s="41"/>
      <c r="W34" s="41">
        <f t="shared" si="128"/>
        <v>8288</v>
      </c>
      <c r="X34" s="41">
        <f t="shared" si="128"/>
        <v>6704</v>
      </c>
      <c r="Y34" s="41">
        <f t="shared" si="128"/>
        <v>5931</v>
      </c>
      <c r="Z34" s="41">
        <f t="shared" si="128"/>
        <v>6051</v>
      </c>
      <c r="AA34" s="41">
        <f t="shared" si="128"/>
        <v>26974</v>
      </c>
      <c r="AB34" s="41"/>
      <c r="AC34" s="41">
        <f t="shared" si="128"/>
        <v>7192</v>
      </c>
      <c r="AD34" s="41">
        <f t="shared" si="128"/>
        <v>13507</v>
      </c>
      <c r="AE34" s="41">
        <f t="shared" si="128"/>
        <v>18120</v>
      </c>
      <c r="AF34" s="41">
        <f t="shared" si="128"/>
        <v>22103</v>
      </c>
      <c r="AG34" s="41">
        <f>SUM(AG29:AG32)</f>
        <v>60922</v>
      </c>
      <c r="AI34" s="41">
        <f t="shared" ref="AI34:AK34" si="131">SUM(AI29:AI32)</f>
        <v>24480</v>
      </c>
      <c r="AJ34" s="41">
        <f t="shared" si="131"/>
        <v>27014.000000000004</v>
      </c>
      <c r="AK34" s="41">
        <f t="shared" si="131"/>
        <v>36240</v>
      </c>
      <c r="AL34" s="41">
        <f>SUM(AL29:AL32)</f>
        <v>44206</v>
      </c>
      <c r="AM34" s="41">
        <f>SUM(AM29:AM32)</f>
        <v>131940</v>
      </c>
    </row>
    <row r="35" spans="1:40">
      <c r="B35" s="8"/>
      <c r="C35" s="8"/>
      <c r="D35" s="8"/>
      <c r="E35" s="8"/>
      <c r="F35" s="8"/>
      <c r="G35" s="8"/>
      <c r="H35" s="8"/>
      <c r="I35" s="8"/>
    </row>
    <row r="36" spans="1:40" s="54" customFormat="1">
      <c r="A36" s="90" t="s">
        <v>106</v>
      </c>
      <c r="B36" s="90">
        <f t="shared" si="1"/>
        <v>6279</v>
      </c>
      <c r="C36" s="90">
        <f t="shared" si="2"/>
        <v>9439</v>
      </c>
      <c r="D36" s="90">
        <f t="shared" si="3"/>
        <v>11618</v>
      </c>
      <c r="E36" s="90">
        <f t="shared" si="4"/>
        <v>16621</v>
      </c>
      <c r="F36" s="90">
        <f t="shared" si="21"/>
        <v>32985</v>
      </c>
      <c r="G36" s="90">
        <f>G7-G37</f>
        <v>46179</v>
      </c>
      <c r="H36" s="90">
        <f>H7-H37</f>
        <v>48026.16</v>
      </c>
      <c r="I36" s="90">
        <f>I7-I37</f>
        <v>57631.391999999993</v>
      </c>
      <c r="J36" s="90"/>
      <c r="K36" s="106">
        <v>1076</v>
      </c>
      <c r="L36" s="106">
        <v>1591</v>
      </c>
      <c r="M36" s="106">
        <v>1766</v>
      </c>
      <c r="N36" s="106">
        <f>O36-SUM(K36:M36)</f>
        <v>1846</v>
      </c>
      <c r="O36" s="106">
        <v>6279</v>
      </c>
      <c r="P36" s="106"/>
      <c r="Q36" s="106">
        <v>2032</v>
      </c>
      <c r="R36" s="106">
        <v>2292</v>
      </c>
      <c r="S36" s="106">
        <v>2472</v>
      </c>
      <c r="T36" s="106">
        <f>U36-SUM(Q36:S36)</f>
        <v>2643</v>
      </c>
      <c r="U36" s="106">
        <v>9439</v>
      </c>
      <c r="V36" s="106"/>
      <c r="W36" s="106">
        <v>2857</v>
      </c>
      <c r="X36" s="106">
        <v>3789</v>
      </c>
      <c r="Y36" s="106">
        <v>2754</v>
      </c>
      <c r="Z36" s="106">
        <f>AA36-SUM(W36:Y36)</f>
        <v>2218</v>
      </c>
      <c r="AA36" s="106">
        <v>11618</v>
      </c>
      <c r="AB36" s="106"/>
      <c r="AC36" s="106">
        <v>2544</v>
      </c>
      <c r="AD36" s="106">
        <v>4045</v>
      </c>
      <c r="AE36" s="106">
        <v>4720</v>
      </c>
      <c r="AF36" s="106">
        <f>AG36-SUM(AC36:AE36)</f>
        <v>5312</v>
      </c>
      <c r="AG36" s="106">
        <v>16621</v>
      </c>
      <c r="AH36" s="90"/>
      <c r="AI36" s="106">
        <f>AI7-AI37</f>
        <v>5679.3600000000006</v>
      </c>
      <c r="AJ36" s="106">
        <f>AJ7-AJ37</f>
        <v>6753.5</v>
      </c>
      <c r="AK36" s="106">
        <f>AK7-AK37</f>
        <v>9060</v>
      </c>
      <c r="AL36" s="106">
        <f>AM36-SUM(AI36:AK36)</f>
        <v>11492.14</v>
      </c>
      <c r="AM36" s="106">
        <f>AM7-AM37</f>
        <v>32985</v>
      </c>
    </row>
    <row r="37" spans="1:40" s="54" customFormat="1">
      <c r="A37" s="54" t="s">
        <v>107</v>
      </c>
      <c r="B37" s="54">
        <f t="shared" si="1"/>
        <v>10396</v>
      </c>
      <c r="C37" s="54">
        <f t="shared" si="2"/>
        <v>17475</v>
      </c>
      <c r="D37" s="54">
        <f t="shared" si="3"/>
        <v>15356</v>
      </c>
      <c r="E37" s="54">
        <f t="shared" si="4"/>
        <v>44301</v>
      </c>
      <c r="F37" s="54">
        <f t="shared" si="21"/>
        <v>98955</v>
      </c>
      <c r="G37" s="54">
        <f>G7*75%</f>
        <v>138537</v>
      </c>
      <c r="H37" s="54">
        <f>H7*80%</f>
        <v>192104.64</v>
      </c>
      <c r="I37" s="54">
        <f>I7*80%</f>
        <v>230525.56800000003</v>
      </c>
      <c r="K37" s="88">
        <v>2004</v>
      </c>
      <c r="L37" s="88">
        <v>2275</v>
      </c>
      <c r="M37" s="88">
        <v>2960</v>
      </c>
      <c r="N37" s="88">
        <f>O37-SUM(K37:M37)</f>
        <v>3157</v>
      </c>
      <c r="O37" s="88">
        <v>10396</v>
      </c>
      <c r="P37" s="88"/>
      <c r="Q37" s="88">
        <v>3629</v>
      </c>
      <c r="R37" s="88">
        <v>4215</v>
      </c>
      <c r="S37" s="88">
        <v>4631</v>
      </c>
      <c r="T37" s="88">
        <f>U37-SUM(Q37:S37)</f>
        <v>5000</v>
      </c>
      <c r="U37" s="88">
        <v>17475</v>
      </c>
      <c r="V37" s="88"/>
      <c r="W37" s="88">
        <v>5431</v>
      </c>
      <c r="X37" s="88">
        <v>2915</v>
      </c>
      <c r="Y37" s="88">
        <v>3177</v>
      </c>
      <c r="Z37" s="88">
        <f>AA37-SUM(W37:Y37)</f>
        <v>3833</v>
      </c>
      <c r="AA37" s="88">
        <v>15356</v>
      </c>
      <c r="AB37" s="88"/>
      <c r="AC37" s="88">
        <v>4648</v>
      </c>
      <c r="AD37" s="88">
        <v>9462</v>
      </c>
      <c r="AE37" s="88">
        <v>13400</v>
      </c>
      <c r="AF37" s="88">
        <f>AG37-SUM(AC37:AE37)</f>
        <v>16791</v>
      </c>
      <c r="AG37" s="88">
        <v>44301</v>
      </c>
      <c r="AI37" s="88">
        <f>AI7*AI38</f>
        <v>18800.64</v>
      </c>
      <c r="AJ37" s="88">
        <f t="shared" ref="AJ37:AM37" si="132">AJ7*AJ38</f>
        <v>20260.5</v>
      </c>
      <c r="AK37" s="88">
        <f t="shared" si="132"/>
        <v>27180</v>
      </c>
      <c r="AL37" s="88">
        <f t="shared" si="132"/>
        <v>33154.5</v>
      </c>
      <c r="AM37" s="88">
        <f t="shared" si="132"/>
        <v>98955</v>
      </c>
    </row>
    <row r="38" spans="1:40" s="102" customFormat="1">
      <c r="A38" s="101" t="s">
        <v>199</v>
      </c>
      <c r="B38" s="101">
        <f t="shared" si="1"/>
        <v>0.62344827586206897</v>
      </c>
      <c r="C38" s="101">
        <f t="shared" si="2"/>
        <v>0.64929033216913135</v>
      </c>
      <c r="D38" s="101">
        <f t="shared" si="3"/>
        <v>0.56928894490991322</v>
      </c>
      <c r="E38" s="101">
        <f t="shared" si="4"/>
        <v>0.72717573290436954</v>
      </c>
      <c r="F38" s="101">
        <f t="shared" si="21"/>
        <v>0.75</v>
      </c>
      <c r="G38" s="101">
        <f>G37/G7</f>
        <v>0.75</v>
      </c>
      <c r="H38" s="101">
        <f>H37/H7</f>
        <v>0.8</v>
      </c>
      <c r="I38" s="101">
        <f>I37/I7</f>
        <v>0.8</v>
      </c>
      <c r="J38" s="101"/>
      <c r="K38" s="101">
        <f>K37/K7</f>
        <v>0.6506493506493507</v>
      </c>
      <c r="L38" s="101">
        <f t="shared" ref="L38:AG38" si="133">L37/L7</f>
        <v>0.58846352819451631</v>
      </c>
      <c r="M38" s="101">
        <f t="shared" si="133"/>
        <v>0.62632247143461706</v>
      </c>
      <c r="N38" s="101">
        <f t="shared" si="133"/>
        <v>0.6310213871676994</v>
      </c>
      <c r="O38" s="101">
        <f t="shared" si="133"/>
        <v>0.62344827586206897</v>
      </c>
      <c r="P38" s="101"/>
      <c r="Q38" s="101">
        <f t="shared" si="133"/>
        <v>0.6410528175234057</v>
      </c>
      <c r="R38" s="101">
        <f t="shared" si="133"/>
        <v>0.64776394651913327</v>
      </c>
      <c r="S38" s="101">
        <f t="shared" si="133"/>
        <v>0.65197803744896521</v>
      </c>
      <c r="T38" s="101">
        <f t="shared" si="133"/>
        <v>0.65419337956299883</v>
      </c>
      <c r="U38" s="101">
        <f t="shared" si="133"/>
        <v>0.64929033216913135</v>
      </c>
      <c r="V38" s="101"/>
      <c r="W38" s="101">
        <f t="shared" si="133"/>
        <v>0.65528474903474898</v>
      </c>
      <c r="X38" s="101">
        <f t="shared" si="133"/>
        <v>0.43481503579952269</v>
      </c>
      <c r="Y38" s="101">
        <f t="shared" si="133"/>
        <v>0.53566009104704093</v>
      </c>
      <c r="Z38" s="101">
        <f t="shared" si="133"/>
        <v>0.63344901669145592</v>
      </c>
      <c r="AA38" s="101">
        <f t="shared" si="133"/>
        <v>0.56928894490991322</v>
      </c>
      <c r="AB38" s="101"/>
      <c r="AC38" s="101">
        <f t="shared" si="133"/>
        <v>0.64627363737486099</v>
      </c>
      <c r="AD38" s="101">
        <f t="shared" si="133"/>
        <v>0.7005256533649219</v>
      </c>
      <c r="AE38" s="101">
        <f t="shared" si="133"/>
        <v>0.73951434878587197</v>
      </c>
      <c r="AF38" s="101">
        <f t="shared" si="133"/>
        <v>0.75967063294575399</v>
      </c>
      <c r="AG38" s="101">
        <f t="shared" si="133"/>
        <v>0.72717573290436954</v>
      </c>
      <c r="AH38" s="101"/>
      <c r="AI38" s="101">
        <f>76.3%+0.5%</f>
        <v>0.76800000000000002</v>
      </c>
      <c r="AJ38" s="101">
        <v>0.75</v>
      </c>
      <c r="AK38" s="101">
        <v>0.75</v>
      </c>
      <c r="AL38" s="101">
        <v>0.75</v>
      </c>
      <c r="AM38" s="101">
        <v>0.75</v>
      </c>
    </row>
    <row r="39" spans="1:40">
      <c r="A39" s="1" t="s">
        <v>123</v>
      </c>
      <c r="B39" s="8"/>
      <c r="C39" s="8"/>
      <c r="D39" s="8"/>
      <c r="E39" s="8"/>
      <c r="F39" s="8"/>
      <c r="G39" s="8"/>
      <c r="H39" s="8"/>
      <c r="I39" s="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I39" s="29"/>
      <c r="AJ39" s="29"/>
      <c r="AK39" s="29"/>
      <c r="AL39" s="29"/>
      <c r="AM39" s="29"/>
    </row>
    <row r="40" spans="1:40" s="54" customFormat="1">
      <c r="A40" s="54" t="s">
        <v>109</v>
      </c>
      <c r="B40" s="54">
        <f t="shared" si="1"/>
        <v>3924</v>
      </c>
      <c r="C40" s="54">
        <f t="shared" si="2"/>
        <v>5268</v>
      </c>
      <c r="D40" s="54">
        <f t="shared" si="3"/>
        <v>7339</v>
      </c>
      <c r="E40" s="54">
        <f t="shared" si="4"/>
        <v>8675</v>
      </c>
      <c r="F40" s="54">
        <f t="shared" si="21"/>
        <v>11776.495500000003</v>
      </c>
      <c r="G40" s="54">
        <f>G43*80%</f>
        <v>17129.448</v>
      </c>
      <c r="H40" s="54">
        <f>H43*85%</f>
        <v>23660.050050000002</v>
      </c>
      <c r="I40" s="54">
        <f>I43*85%</f>
        <v>28392.06006</v>
      </c>
      <c r="K40" s="88">
        <v>735</v>
      </c>
      <c r="L40" s="88">
        <v>997</v>
      </c>
      <c r="M40" s="88">
        <v>1047</v>
      </c>
      <c r="N40" s="88">
        <f>O40-SUM(K40:M40)</f>
        <v>1145</v>
      </c>
      <c r="O40" s="88">
        <v>3924</v>
      </c>
      <c r="P40" s="88"/>
      <c r="Q40" s="88">
        <v>1153</v>
      </c>
      <c r="R40" s="88">
        <v>1245</v>
      </c>
      <c r="S40" s="88">
        <v>1403</v>
      </c>
      <c r="T40" s="88">
        <f>U40-SUM(Q40:S40)</f>
        <v>1467</v>
      </c>
      <c r="U40" s="88">
        <v>5268</v>
      </c>
      <c r="V40" s="88"/>
      <c r="W40" s="88">
        <v>1618</v>
      </c>
      <c r="X40" s="88">
        <v>1824</v>
      </c>
      <c r="Y40" s="88">
        <v>1945</v>
      </c>
      <c r="Z40" s="88">
        <f>AA40-SUM(W40:Y40)</f>
        <v>1952</v>
      </c>
      <c r="AA40" s="88">
        <v>7339</v>
      </c>
      <c r="AB40" s="88"/>
      <c r="AC40" s="88">
        <v>1875</v>
      </c>
      <c r="AD40" s="88">
        <v>2040</v>
      </c>
      <c r="AE40" s="88">
        <v>2294</v>
      </c>
      <c r="AF40" s="88">
        <f>AG40-SUM(AC40:AE40)</f>
        <v>2466</v>
      </c>
      <c r="AG40" s="88">
        <v>8675</v>
      </c>
      <c r="AI40" s="88">
        <f>AI43*77%</f>
        <v>2695</v>
      </c>
      <c r="AJ40" s="88">
        <f t="shared" ref="AJ40:AL40" si="134">AJ43*77%</f>
        <v>1456.0546000000002</v>
      </c>
      <c r="AK40" s="88">
        <f t="shared" si="134"/>
        <v>2232.3840000000005</v>
      </c>
      <c r="AL40" s="88">
        <f t="shared" si="134"/>
        <v>5393.0569000000014</v>
      </c>
      <c r="AM40" s="88">
        <f>SUM(AI40:AL40)</f>
        <v>11776.495500000003</v>
      </c>
    </row>
    <row r="41" spans="1:40" s="54" customFormat="1">
      <c r="A41" s="54" t="s">
        <v>110</v>
      </c>
      <c r="B41" s="54">
        <f t="shared" si="1"/>
        <v>1940</v>
      </c>
      <c r="C41" s="54">
        <f t="shared" si="2"/>
        <v>2166</v>
      </c>
      <c r="D41" s="54">
        <f t="shared" si="3"/>
        <v>2440</v>
      </c>
      <c r="E41" s="54">
        <f t="shared" si="4"/>
        <v>2654</v>
      </c>
      <c r="F41" s="54">
        <f t="shared" si="21"/>
        <v>3517.6544999999996</v>
      </c>
      <c r="G41" s="54">
        <f>G43-G40</f>
        <v>4282.362000000001</v>
      </c>
      <c r="H41" s="54">
        <f>H43-H40</f>
        <v>4175.3029500000011</v>
      </c>
      <c r="I41" s="54">
        <f>I43-I40</f>
        <v>5010.3635400000021</v>
      </c>
      <c r="K41" s="88">
        <v>293</v>
      </c>
      <c r="L41" s="88">
        <v>627</v>
      </c>
      <c r="M41" s="88">
        <v>515</v>
      </c>
      <c r="N41" s="88">
        <f>O41-SUM(K41:M41)</f>
        <v>505</v>
      </c>
      <c r="O41" s="88">
        <v>1940</v>
      </c>
      <c r="P41" s="88"/>
      <c r="Q41" s="88">
        <v>520</v>
      </c>
      <c r="R41" s="88">
        <v>526</v>
      </c>
      <c r="S41" s="88">
        <v>557</v>
      </c>
      <c r="T41" s="88">
        <f>U41-SUM(Q41:S41)</f>
        <v>563</v>
      </c>
      <c r="U41" s="88">
        <v>2166</v>
      </c>
      <c r="V41" s="88"/>
      <c r="W41" s="88">
        <v>592</v>
      </c>
      <c r="X41" s="88">
        <v>592</v>
      </c>
      <c r="Y41" s="88">
        <v>561</v>
      </c>
      <c r="Z41" s="88">
        <f>AA41-SUM(W41:Y41)</f>
        <v>695</v>
      </c>
      <c r="AA41" s="88">
        <v>2440</v>
      </c>
      <c r="AB41" s="88"/>
      <c r="AC41" s="88">
        <v>633</v>
      </c>
      <c r="AD41" s="88">
        <v>622</v>
      </c>
      <c r="AE41" s="88">
        <v>689</v>
      </c>
      <c r="AF41" s="88">
        <f>AG41-SUM(AC41:AE41)</f>
        <v>710</v>
      </c>
      <c r="AG41" s="88">
        <v>2654</v>
      </c>
      <c r="AI41" s="88">
        <f>AI43-AI40</f>
        <v>805</v>
      </c>
      <c r="AJ41" s="88">
        <f t="shared" ref="AJ41:AL41" si="135">AJ43-AJ40</f>
        <v>434.92540000000008</v>
      </c>
      <c r="AK41" s="88">
        <f t="shared" si="135"/>
        <v>666.8159999999998</v>
      </c>
      <c r="AL41" s="88">
        <f t="shared" si="135"/>
        <v>1610.9130999999998</v>
      </c>
      <c r="AM41" s="88">
        <f>SUM(AI41:AL41)</f>
        <v>3517.6544999999996</v>
      </c>
    </row>
    <row r="42" spans="1:40">
      <c r="A42" s="1" t="s">
        <v>111</v>
      </c>
      <c r="B42" s="24">
        <f t="shared" si="1"/>
        <v>0</v>
      </c>
      <c r="C42" s="24">
        <f t="shared" si="2"/>
        <v>0</v>
      </c>
      <c r="D42" s="24">
        <f t="shared" si="3"/>
        <v>1353</v>
      </c>
      <c r="E42" s="24">
        <f t="shared" si="4"/>
        <v>0</v>
      </c>
      <c r="F42" s="24">
        <f t="shared" si="21"/>
        <v>0</v>
      </c>
      <c r="G42" s="24">
        <f t="shared" si="21"/>
        <v>0</v>
      </c>
      <c r="H42" s="24">
        <f t="shared" si="21"/>
        <v>0</v>
      </c>
      <c r="I42" s="24">
        <f t="shared" si="21"/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40"/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/>
      <c r="W42" s="39">
        <v>1353</v>
      </c>
      <c r="X42" s="39">
        <v>0</v>
      </c>
      <c r="Y42" s="39">
        <v>0</v>
      </c>
      <c r="Z42" s="39">
        <v>0</v>
      </c>
      <c r="AA42" s="40">
        <v>1353</v>
      </c>
      <c r="AB42" s="40"/>
      <c r="AC42" s="40">
        <v>0</v>
      </c>
      <c r="AD42" s="39">
        <v>0</v>
      </c>
      <c r="AE42" s="39">
        <v>0</v>
      </c>
      <c r="AF42" s="39">
        <v>0</v>
      </c>
      <c r="AG42" s="39">
        <v>0</v>
      </c>
      <c r="AI42" s="40">
        <v>0</v>
      </c>
      <c r="AJ42" s="39">
        <v>0</v>
      </c>
      <c r="AK42" s="39">
        <v>0</v>
      </c>
      <c r="AL42" s="39">
        <v>0</v>
      </c>
      <c r="AM42" s="39">
        <v>0</v>
      </c>
    </row>
    <row r="43" spans="1:40" s="54" customFormat="1">
      <c r="A43" s="58" t="s">
        <v>112</v>
      </c>
      <c r="B43" s="58">
        <f t="shared" si="1"/>
        <v>5864</v>
      </c>
      <c r="C43" s="58">
        <f t="shared" si="2"/>
        <v>7434</v>
      </c>
      <c r="D43" s="58">
        <f t="shared" si="3"/>
        <v>11132</v>
      </c>
      <c r="E43" s="58">
        <f t="shared" si="4"/>
        <v>11329</v>
      </c>
      <c r="F43" s="58">
        <f t="shared" si="21"/>
        <v>15294.150000000001</v>
      </c>
      <c r="G43" s="58">
        <f>F43*1.4</f>
        <v>21411.81</v>
      </c>
      <c r="H43" s="58">
        <f>G43*1.3</f>
        <v>27835.353000000003</v>
      </c>
      <c r="I43" s="58">
        <f>H43*1.2</f>
        <v>33402.423600000002</v>
      </c>
      <c r="J43" s="58"/>
      <c r="K43" s="103">
        <v>1028</v>
      </c>
      <c r="L43" s="103">
        <v>1624</v>
      </c>
      <c r="M43" s="103">
        <v>1562</v>
      </c>
      <c r="N43" s="103">
        <f t="shared" ref="N43:N54" si="136">O43-SUM(K43:M43)</f>
        <v>1650</v>
      </c>
      <c r="O43" s="103">
        <v>5864</v>
      </c>
      <c r="P43" s="103"/>
      <c r="Q43" s="103">
        <v>1673</v>
      </c>
      <c r="R43" s="103">
        <v>1771</v>
      </c>
      <c r="S43" s="103">
        <v>1960</v>
      </c>
      <c r="T43" s="103">
        <f t="shared" ref="T43:T54" si="137">U43-SUM(Q43:S43)</f>
        <v>2030</v>
      </c>
      <c r="U43" s="103">
        <v>7434</v>
      </c>
      <c r="V43" s="103"/>
      <c r="W43" s="103">
        <v>3563</v>
      </c>
      <c r="X43" s="103">
        <v>2416</v>
      </c>
      <c r="Y43" s="103">
        <v>2576</v>
      </c>
      <c r="Z43" s="103">
        <f t="shared" ref="Z43:Z54" si="138">AA43-SUM(W43:Y43)</f>
        <v>2577</v>
      </c>
      <c r="AA43" s="103">
        <v>11132</v>
      </c>
      <c r="AB43" s="103"/>
      <c r="AC43" s="103">
        <v>2508</v>
      </c>
      <c r="AD43" s="103">
        <v>2662</v>
      </c>
      <c r="AE43" s="103">
        <v>2983</v>
      </c>
      <c r="AF43" s="103">
        <f t="shared" ref="AF43:AF54" si="139">AG43-SUM(AC43:AE43)</f>
        <v>3176</v>
      </c>
      <c r="AG43" s="103">
        <v>11329</v>
      </c>
      <c r="AH43" s="58"/>
      <c r="AI43" s="103">
        <v>3500</v>
      </c>
      <c r="AJ43" s="103">
        <f>AJ7*7%</f>
        <v>1890.9800000000002</v>
      </c>
      <c r="AK43" s="103">
        <f>AK7*8%</f>
        <v>2899.2000000000003</v>
      </c>
      <c r="AL43" s="103">
        <f>AM43-SUM(AI43:AK43)</f>
        <v>7003.9700000000012</v>
      </c>
      <c r="AM43" s="103">
        <f>AG43*(1+35%)</f>
        <v>15294.150000000001</v>
      </c>
      <c r="AN43" s="132">
        <f>AM43/AG43-1</f>
        <v>0.35000000000000009</v>
      </c>
    </row>
    <row r="44" spans="1:40" s="54" customFormat="1">
      <c r="A44" s="54" t="s">
        <v>113</v>
      </c>
      <c r="B44" s="54">
        <f t="shared" si="1"/>
        <v>4532</v>
      </c>
      <c r="C44" s="54">
        <f t="shared" si="2"/>
        <v>10041</v>
      </c>
      <c r="D44" s="54">
        <f t="shared" si="3"/>
        <v>4224</v>
      </c>
      <c r="E44" s="54">
        <f t="shared" si="4"/>
        <v>32972</v>
      </c>
      <c r="F44" s="54">
        <f t="shared" si="21"/>
        <v>83660.850000000006</v>
      </c>
      <c r="G44" s="54">
        <f>G37-G43</f>
        <v>117125.19</v>
      </c>
      <c r="H44" s="54">
        <f>H37-H43</f>
        <v>164269.28700000001</v>
      </c>
      <c r="I44" s="54">
        <f>I37-I43</f>
        <v>197123.14440000002</v>
      </c>
      <c r="J44" s="29"/>
      <c r="K44" s="88">
        <v>976</v>
      </c>
      <c r="L44" s="88">
        <v>651</v>
      </c>
      <c r="M44" s="88">
        <v>1398</v>
      </c>
      <c r="N44" s="88">
        <f t="shared" si="136"/>
        <v>1507</v>
      </c>
      <c r="O44" s="88">
        <v>4532</v>
      </c>
      <c r="P44" s="88"/>
      <c r="Q44" s="88">
        <v>1956</v>
      </c>
      <c r="R44" s="88">
        <v>2444</v>
      </c>
      <c r="S44" s="88">
        <v>2671</v>
      </c>
      <c r="T44" s="88">
        <f t="shared" si="137"/>
        <v>2970</v>
      </c>
      <c r="U44" s="88">
        <v>10041</v>
      </c>
      <c r="V44" s="88"/>
      <c r="W44" s="88">
        <v>1868</v>
      </c>
      <c r="X44" s="88">
        <v>499</v>
      </c>
      <c r="Y44" s="88">
        <v>601</v>
      </c>
      <c r="Z44" s="88">
        <f t="shared" si="138"/>
        <v>1256</v>
      </c>
      <c r="AA44" s="88">
        <v>4224</v>
      </c>
      <c r="AB44" s="88"/>
      <c r="AC44" s="88">
        <v>2140</v>
      </c>
      <c r="AD44" s="88">
        <v>6800</v>
      </c>
      <c r="AE44" s="88">
        <v>10417</v>
      </c>
      <c r="AF44" s="88">
        <f t="shared" si="139"/>
        <v>13615</v>
      </c>
      <c r="AG44" s="88">
        <v>32972</v>
      </c>
      <c r="AI44" s="88">
        <f>AI37-AI43</f>
        <v>15300.64</v>
      </c>
      <c r="AJ44" s="88">
        <f t="shared" ref="AJ44:AM44" si="140">AJ37-AJ43</f>
        <v>18369.52</v>
      </c>
      <c r="AK44" s="88">
        <f t="shared" si="140"/>
        <v>24280.799999999999</v>
      </c>
      <c r="AL44" s="88">
        <f t="shared" si="140"/>
        <v>26150.53</v>
      </c>
      <c r="AM44" s="88">
        <f t="shared" si="140"/>
        <v>83660.850000000006</v>
      </c>
    </row>
    <row r="45" spans="1:40" s="54" customFormat="1">
      <c r="A45" s="108" t="s">
        <v>222</v>
      </c>
      <c r="B45" s="101">
        <f>B44/B7</f>
        <v>0.27178410794602698</v>
      </c>
      <c r="C45" s="101">
        <f t="shared" ref="C45:AM45" si="141">C44/C7</f>
        <v>0.37307720888756779</v>
      </c>
      <c r="D45" s="101">
        <f t="shared" si="141"/>
        <v>0.1565952398606065</v>
      </c>
      <c r="E45" s="101">
        <f t="shared" si="141"/>
        <v>0.54121663766783756</v>
      </c>
      <c r="F45" s="101">
        <f t="shared" si="141"/>
        <v>0.63408253751705324</v>
      </c>
      <c r="G45" s="101">
        <f t="shared" si="141"/>
        <v>0.63408253751705324</v>
      </c>
      <c r="H45" s="101">
        <f t="shared" si="141"/>
        <v>0.68408253751705317</v>
      </c>
      <c r="I45" s="101">
        <f t="shared" si="141"/>
        <v>0.68408253751705317</v>
      </c>
      <c r="J45" s="101"/>
      <c r="K45" s="101">
        <f t="shared" si="141"/>
        <v>0.31688311688311688</v>
      </c>
      <c r="L45" s="101">
        <f t="shared" si="141"/>
        <v>0.16839110191412313</v>
      </c>
      <c r="M45" s="101">
        <f t="shared" si="141"/>
        <v>0.29581041049513329</v>
      </c>
      <c r="N45" s="101">
        <f t="shared" si="141"/>
        <v>0.30121926843893665</v>
      </c>
      <c r="O45" s="101">
        <f t="shared" si="141"/>
        <v>0.27178410794602698</v>
      </c>
      <c r="P45" s="101"/>
      <c r="Q45" s="101">
        <f t="shared" si="141"/>
        <v>0.34552199258081612</v>
      </c>
      <c r="R45" s="101">
        <f t="shared" si="141"/>
        <v>0.37559551252497309</v>
      </c>
      <c r="S45" s="101">
        <f t="shared" si="141"/>
        <v>0.37603829367872732</v>
      </c>
      <c r="T45" s="101">
        <f t="shared" si="141"/>
        <v>0.38859086746042132</v>
      </c>
      <c r="U45" s="101">
        <f t="shared" si="141"/>
        <v>0.37307720888756779</v>
      </c>
      <c r="V45" s="101"/>
      <c r="W45" s="101">
        <f t="shared" si="141"/>
        <v>0.22538610038610038</v>
      </c>
      <c r="X45" s="101">
        <f t="shared" si="141"/>
        <v>7.4433174224343673E-2</v>
      </c>
      <c r="Y45" s="101">
        <f t="shared" si="141"/>
        <v>0.10133198448828191</v>
      </c>
      <c r="Z45" s="101">
        <f t="shared" si="141"/>
        <v>0.20756899686002314</v>
      </c>
      <c r="AA45" s="101">
        <f t="shared" si="141"/>
        <v>0.1565952398606065</v>
      </c>
      <c r="AB45" s="101"/>
      <c r="AC45" s="101">
        <f t="shared" si="141"/>
        <v>0.29755283648498332</v>
      </c>
      <c r="AD45" s="101">
        <f t="shared" si="141"/>
        <v>0.50344265936181243</v>
      </c>
      <c r="AE45" s="101">
        <f t="shared" si="141"/>
        <v>0.5748896247240618</v>
      </c>
      <c r="AF45" s="101">
        <f t="shared" si="141"/>
        <v>0.61597973125820027</v>
      </c>
      <c r="AG45" s="101">
        <f t="shared" si="141"/>
        <v>0.54121663766783756</v>
      </c>
      <c r="AH45" s="101"/>
      <c r="AI45" s="101">
        <f t="shared" si="141"/>
        <v>0.62502614379084964</v>
      </c>
      <c r="AJ45" s="101">
        <f t="shared" si="141"/>
        <v>0.68</v>
      </c>
      <c r="AK45" s="101">
        <f t="shared" si="141"/>
        <v>0.66999999999999993</v>
      </c>
      <c r="AL45" s="101">
        <f t="shared" si="141"/>
        <v>0.59156064787585394</v>
      </c>
      <c r="AM45" s="101">
        <f t="shared" si="141"/>
        <v>0.63408253751705324</v>
      </c>
    </row>
    <row r="46" spans="1:40" s="54" customFormat="1">
      <c r="E46" s="29"/>
      <c r="F46" s="29"/>
      <c r="G46" s="29"/>
      <c r="H46" s="29"/>
      <c r="I46" s="29"/>
      <c r="J46" s="2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I46" s="88"/>
      <c r="AJ46" s="88"/>
      <c r="AK46" s="88"/>
      <c r="AL46" s="88"/>
      <c r="AM46" s="88"/>
    </row>
    <row r="47" spans="1:40" s="54" customFormat="1">
      <c r="A47" s="54" t="s">
        <v>114</v>
      </c>
      <c r="B47" s="54">
        <f t="shared" si="1"/>
        <v>57</v>
      </c>
      <c r="C47" s="54">
        <f t="shared" si="2"/>
        <v>29</v>
      </c>
      <c r="D47" s="54">
        <f t="shared" si="3"/>
        <v>267</v>
      </c>
      <c r="E47" s="54">
        <f t="shared" si="4"/>
        <v>866</v>
      </c>
      <c r="F47" s="54">
        <f t="shared" si="21"/>
        <v>1039.3600000000001</v>
      </c>
      <c r="G47" s="54">
        <f>SUM(F98,F99)*2%</f>
        <v>839.87232394631644</v>
      </c>
      <c r="H47" s="54">
        <f>SUM(G98,G99)*2%</f>
        <v>2064.8619585238257</v>
      </c>
      <c r="I47" s="54">
        <f>SUM(H98,H99)*2%</f>
        <v>4131.7229112353225</v>
      </c>
      <c r="K47" s="88">
        <v>31</v>
      </c>
      <c r="L47" s="88">
        <v>13</v>
      </c>
      <c r="M47" s="88">
        <v>7</v>
      </c>
      <c r="N47" s="88">
        <f t="shared" si="136"/>
        <v>6</v>
      </c>
      <c r="O47" s="88">
        <v>57</v>
      </c>
      <c r="P47" s="88"/>
      <c r="Q47" s="88">
        <v>6</v>
      </c>
      <c r="R47" s="88">
        <v>6</v>
      </c>
      <c r="S47" s="88">
        <v>7</v>
      </c>
      <c r="T47" s="88">
        <f t="shared" si="137"/>
        <v>10</v>
      </c>
      <c r="U47" s="88">
        <v>29</v>
      </c>
      <c r="V47" s="88"/>
      <c r="W47" s="88">
        <v>18</v>
      </c>
      <c r="X47" s="88">
        <v>46</v>
      </c>
      <c r="Y47" s="88">
        <v>88</v>
      </c>
      <c r="Z47" s="88">
        <f t="shared" si="138"/>
        <v>115</v>
      </c>
      <c r="AA47" s="88">
        <v>267</v>
      </c>
      <c r="AB47" s="88"/>
      <c r="AC47" s="88">
        <v>150</v>
      </c>
      <c r="AD47" s="88">
        <v>187</v>
      </c>
      <c r="AE47" s="88">
        <v>234</v>
      </c>
      <c r="AF47" s="88">
        <f t="shared" si="139"/>
        <v>295</v>
      </c>
      <c r="AG47" s="88">
        <v>866</v>
      </c>
      <c r="AI47" s="88">
        <f>$AM$47/4</f>
        <v>259.84000000000003</v>
      </c>
      <c r="AJ47" s="88">
        <f t="shared" ref="AJ47:AL47" si="142">$AM$47/4</f>
        <v>259.84000000000003</v>
      </c>
      <c r="AK47" s="88">
        <f t="shared" si="142"/>
        <v>259.84000000000003</v>
      </c>
      <c r="AL47" s="88">
        <f t="shared" si="142"/>
        <v>259.84000000000003</v>
      </c>
      <c r="AM47" s="88">
        <f>SUM('Balance Sheet'!G8,'Balance Sheet'!G9)*4%</f>
        <v>1039.3600000000001</v>
      </c>
    </row>
    <row r="48" spans="1:40" s="54" customFormat="1">
      <c r="A48" s="54" t="s">
        <v>115</v>
      </c>
      <c r="B48" s="54">
        <f t="shared" si="1"/>
        <v>-184</v>
      </c>
      <c r="C48" s="54">
        <f t="shared" si="2"/>
        <v>236</v>
      </c>
      <c r="D48" s="54">
        <f t="shared" si="3"/>
        <v>-262</v>
      </c>
      <c r="E48" s="54">
        <f t="shared" si="4"/>
        <v>-257</v>
      </c>
      <c r="F48" s="54">
        <f t="shared" si="21"/>
        <v>-227.8109193828175</v>
      </c>
      <c r="G48" s="24">
        <f t="shared" ref="G48" si="143">AN48</f>
        <v>0</v>
      </c>
      <c r="H48" s="24">
        <f t="shared" ref="H48" si="144">AO48</f>
        <v>0</v>
      </c>
      <c r="I48" s="24">
        <f t="shared" ref="I48" si="145">AP48</f>
        <v>0</v>
      </c>
      <c r="K48" s="88">
        <v>-25</v>
      </c>
      <c r="L48" s="88">
        <v>-54</v>
      </c>
      <c r="M48" s="88">
        <v>-53</v>
      </c>
      <c r="N48" s="88">
        <f t="shared" si="136"/>
        <v>-52</v>
      </c>
      <c r="O48" s="88">
        <v>-184</v>
      </c>
      <c r="P48" s="88"/>
      <c r="Q48" s="88">
        <v>-53</v>
      </c>
      <c r="R48" s="88">
        <v>-60</v>
      </c>
      <c r="S48" s="88">
        <v>-62</v>
      </c>
      <c r="T48" s="88">
        <f t="shared" si="137"/>
        <v>411</v>
      </c>
      <c r="U48" s="88">
        <v>236</v>
      </c>
      <c r="V48" s="88"/>
      <c r="W48" s="88">
        <v>-68</v>
      </c>
      <c r="X48" s="88">
        <v>-65</v>
      </c>
      <c r="Y48" s="88">
        <v>-65</v>
      </c>
      <c r="Z48" s="88">
        <f t="shared" si="138"/>
        <v>-64</v>
      </c>
      <c r="AA48" s="88">
        <v>-262</v>
      </c>
      <c r="AB48" s="88"/>
      <c r="AC48" s="88">
        <v>-66</v>
      </c>
      <c r="AD48" s="88">
        <v>-65</v>
      </c>
      <c r="AE48" s="88">
        <v>-63</v>
      </c>
      <c r="AF48" s="88">
        <f t="shared" si="139"/>
        <v>-63</v>
      </c>
      <c r="AG48" s="88">
        <v>-257</v>
      </c>
      <c r="AI48" s="88">
        <f>$AM$48/4</f>
        <v>-56.952729845704376</v>
      </c>
      <c r="AJ48" s="88">
        <f t="shared" ref="AJ48:AL48" si="146">$AM$48/4</f>
        <v>-56.952729845704376</v>
      </c>
      <c r="AK48" s="88">
        <f t="shared" si="146"/>
        <v>-56.952729845704376</v>
      </c>
      <c r="AL48" s="88">
        <f t="shared" si="146"/>
        <v>-56.952729845704376</v>
      </c>
      <c r="AM48" s="88">
        <f>AG48/('Balance Sheet'!F26+'Balance Sheet'!F28)*SUM('Balance Sheet'!G26,'Balance Sheet'!G28)</f>
        <v>-227.8109193828175</v>
      </c>
    </row>
    <row r="49" spans="1:39" s="54" customFormat="1">
      <c r="A49" s="54" t="s">
        <v>116</v>
      </c>
      <c r="B49" s="54">
        <f t="shared" si="1"/>
        <v>4</v>
      </c>
      <c r="C49" s="54">
        <f t="shared" si="2"/>
        <v>107</v>
      </c>
      <c r="D49" s="54">
        <f t="shared" si="3"/>
        <v>-48</v>
      </c>
      <c r="E49" s="54">
        <f t="shared" si="4"/>
        <v>237</v>
      </c>
      <c r="F49" s="24">
        <f t="shared" si="21"/>
        <v>-66.7927298457044</v>
      </c>
      <c r="G49" s="24">
        <f t="shared" si="21"/>
        <v>0</v>
      </c>
      <c r="H49" s="24">
        <f t="shared" si="21"/>
        <v>0</v>
      </c>
      <c r="I49" s="24">
        <f t="shared" si="21"/>
        <v>0</v>
      </c>
      <c r="K49" s="88">
        <v>-1</v>
      </c>
      <c r="L49" s="88">
        <v>-1</v>
      </c>
      <c r="M49" s="88">
        <v>-4</v>
      </c>
      <c r="N49" s="88">
        <f t="shared" si="136"/>
        <v>10</v>
      </c>
      <c r="O49" s="88">
        <v>4</v>
      </c>
      <c r="P49" s="88"/>
      <c r="Q49" s="88">
        <v>135</v>
      </c>
      <c r="R49" s="88">
        <v>4</v>
      </c>
      <c r="S49" s="88">
        <v>22</v>
      </c>
      <c r="T49" s="88">
        <f t="shared" si="137"/>
        <v>-54</v>
      </c>
      <c r="U49" s="88">
        <v>107</v>
      </c>
      <c r="V49" s="88"/>
      <c r="W49" s="88">
        <v>-13</v>
      </c>
      <c r="X49" s="88">
        <v>-5</v>
      </c>
      <c r="Y49" s="88">
        <v>-11</v>
      </c>
      <c r="Z49" s="88">
        <f t="shared" si="138"/>
        <v>-19</v>
      </c>
      <c r="AA49" s="88">
        <v>-48</v>
      </c>
      <c r="AB49" s="88"/>
      <c r="AC49" s="88">
        <v>-15</v>
      </c>
      <c r="AD49" s="88">
        <v>59</v>
      </c>
      <c r="AE49" s="88">
        <v>-66</v>
      </c>
      <c r="AF49" s="88">
        <f t="shared" si="139"/>
        <v>259</v>
      </c>
      <c r="AG49" s="88">
        <v>237</v>
      </c>
      <c r="AI49" s="88">
        <f>AI50-AI47+AI48</f>
        <v>-66.7927298457044</v>
      </c>
      <c r="AJ49" s="88">
        <v>0</v>
      </c>
      <c r="AK49" s="88">
        <v>0</v>
      </c>
      <c r="AL49" s="88">
        <v>0</v>
      </c>
      <c r="AM49" s="88">
        <f>SUM(AI49:AL49)</f>
        <v>-66.7927298457044</v>
      </c>
    </row>
    <row r="50" spans="1:39" s="54" customFormat="1">
      <c r="A50" s="58" t="s">
        <v>117</v>
      </c>
      <c r="B50" s="58">
        <f t="shared" si="1"/>
        <v>-123</v>
      </c>
      <c r="C50" s="58">
        <f t="shared" si="2"/>
        <v>-100</v>
      </c>
      <c r="D50" s="58">
        <f t="shared" si="3"/>
        <v>-43</v>
      </c>
      <c r="E50" s="58">
        <f t="shared" si="4"/>
        <v>846</v>
      </c>
      <c r="F50" s="58">
        <f t="shared" si="21"/>
        <v>858.66181046288693</v>
      </c>
      <c r="G50" s="58">
        <f>SUM(G47:G49)</f>
        <v>839.87232394631644</v>
      </c>
      <c r="H50" s="58">
        <f>SUM(H47:H49)</f>
        <v>2064.8619585238257</v>
      </c>
      <c r="I50" s="58">
        <f>SUM(I47:I49)</f>
        <v>4131.7229112353225</v>
      </c>
      <c r="J50" s="58"/>
      <c r="K50" s="103">
        <v>5</v>
      </c>
      <c r="L50" s="103">
        <v>-42</v>
      </c>
      <c r="M50" s="103">
        <v>-50</v>
      </c>
      <c r="N50" s="103">
        <f t="shared" si="136"/>
        <v>-36</v>
      </c>
      <c r="O50" s="103">
        <v>-123</v>
      </c>
      <c r="P50" s="103"/>
      <c r="Q50" s="103">
        <v>88</v>
      </c>
      <c r="R50" s="103">
        <v>-50</v>
      </c>
      <c r="S50" s="103">
        <v>-33</v>
      </c>
      <c r="T50" s="103">
        <f t="shared" si="137"/>
        <v>-105</v>
      </c>
      <c r="U50" s="103">
        <v>-100</v>
      </c>
      <c r="V50" s="103"/>
      <c r="W50" s="103">
        <v>-63</v>
      </c>
      <c r="X50" s="103">
        <v>-24</v>
      </c>
      <c r="Y50" s="103">
        <v>12</v>
      </c>
      <c r="Z50" s="103">
        <f t="shared" si="138"/>
        <v>32</v>
      </c>
      <c r="AA50" s="103">
        <v>-43</v>
      </c>
      <c r="AB50" s="103"/>
      <c r="AC50" s="103">
        <v>69</v>
      </c>
      <c r="AD50" s="103">
        <v>181</v>
      </c>
      <c r="AE50" s="103">
        <v>105</v>
      </c>
      <c r="AF50" s="103">
        <f t="shared" si="139"/>
        <v>491</v>
      </c>
      <c r="AG50" s="103">
        <v>846</v>
      </c>
      <c r="AH50" s="58"/>
      <c r="AI50" s="103">
        <v>250</v>
      </c>
      <c r="AJ50" s="103">
        <f>SUM(AJ47:AJ49)</f>
        <v>202.88727015429566</v>
      </c>
      <c r="AK50" s="103">
        <f t="shared" ref="AK50:AL50" si="147">SUM(AK47:AK49)</f>
        <v>202.88727015429566</v>
      </c>
      <c r="AL50" s="103">
        <f t="shared" si="147"/>
        <v>202.88727015429566</v>
      </c>
      <c r="AM50" s="103">
        <f>SUM(AI50:AL50)</f>
        <v>858.66181046288693</v>
      </c>
    </row>
    <row r="51" spans="1:39" s="54" customFormat="1">
      <c r="A51" s="54" t="s">
        <v>118</v>
      </c>
      <c r="B51" s="54">
        <f t="shared" si="1"/>
        <v>4409</v>
      </c>
      <c r="C51" s="54">
        <f t="shared" si="2"/>
        <v>9941</v>
      </c>
      <c r="D51" s="54">
        <f t="shared" si="3"/>
        <v>4181</v>
      </c>
      <c r="E51" s="54">
        <f t="shared" si="4"/>
        <v>33818</v>
      </c>
      <c r="F51" s="54">
        <f t="shared" si="21"/>
        <v>82802.188189537119</v>
      </c>
      <c r="G51" s="54">
        <f>G44+G50</f>
        <v>117965.06232394632</v>
      </c>
      <c r="H51" s="54">
        <f>H44+H50</f>
        <v>166334.14895852385</v>
      </c>
      <c r="I51" s="54">
        <f>I44+I50</f>
        <v>201254.86731123534</v>
      </c>
      <c r="K51" s="88">
        <v>981</v>
      </c>
      <c r="L51" s="88">
        <v>609</v>
      </c>
      <c r="M51" s="88">
        <v>1348</v>
      </c>
      <c r="N51" s="88">
        <f t="shared" si="136"/>
        <v>1471</v>
      </c>
      <c r="O51" s="88">
        <v>4409</v>
      </c>
      <c r="P51" s="88"/>
      <c r="Q51" s="88">
        <v>2044</v>
      </c>
      <c r="R51" s="88">
        <v>2394</v>
      </c>
      <c r="S51" s="88">
        <v>2638</v>
      </c>
      <c r="T51" s="88">
        <f t="shared" si="137"/>
        <v>2865</v>
      </c>
      <c r="U51" s="88">
        <v>9941</v>
      </c>
      <c r="V51" s="88"/>
      <c r="W51" s="88">
        <v>1805</v>
      </c>
      <c r="X51" s="88">
        <v>475</v>
      </c>
      <c r="Y51" s="88">
        <v>613</v>
      </c>
      <c r="Z51" s="88">
        <f t="shared" si="138"/>
        <v>1288</v>
      </c>
      <c r="AA51" s="88">
        <v>4181</v>
      </c>
      <c r="AB51" s="88"/>
      <c r="AC51" s="88">
        <v>2209</v>
      </c>
      <c r="AD51" s="88">
        <v>6981</v>
      </c>
      <c r="AE51" s="88">
        <v>10522</v>
      </c>
      <c r="AF51" s="88">
        <f t="shared" si="139"/>
        <v>14106</v>
      </c>
      <c r="AG51" s="88">
        <v>33818</v>
      </c>
      <c r="AI51" s="88">
        <f>AI44-AI50</f>
        <v>15050.64</v>
      </c>
      <c r="AJ51" s="88">
        <f t="shared" ref="AJ51:AM51" si="148">AJ44-AJ50</f>
        <v>18166.632729845704</v>
      </c>
      <c r="AK51" s="88">
        <f t="shared" si="148"/>
        <v>24077.912729845702</v>
      </c>
      <c r="AL51" s="88">
        <f t="shared" si="148"/>
        <v>25947.642729845702</v>
      </c>
      <c r="AM51" s="88">
        <f t="shared" si="148"/>
        <v>82802.188189537119</v>
      </c>
    </row>
    <row r="52" spans="1:39" s="54" customFormat="1">
      <c r="A52" s="54" t="s">
        <v>119</v>
      </c>
      <c r="B52" s="54">
        <f t="shared" si="1"/>
        <v>77</v>
      </c>
      <c r="C52" s="54">
        <f t="shared" si="2"/>
        <v>189</v>
      </c>
      <c r="D52" s="54">
        <f t="shared" si="3"/>
        <v>-187</v>
      </c>
      <c r="E52" s="54">
        <f t="shared" si="4"/>
        <v>4058</v>
      </c>
      <c r="F52" s="54">
        <f t="shared" si="21"/>
        <v>14076.371992221311</v>
      </c>
      <c r="G52" s="54">
        <f>G51*17%</f>
        <v>20054.060595070874</v>
      </c>
      <c r="H52" s="54">
        <f>H51*17%</f>
        <v>28276.805322949054</v>
      </c>
      <c r="I52" s="54">
        <f>I51*17%</f>
        <v>34213.327442910013</v>
      </c>
      <c r="K52" s="88">
        <v>64</v>
      </c>
      <c r="L52" s="88">
        <v>-13</v>
      </c>
      <c r="M52" s="88">
        <v>12</v>
      </c>
      <c r="N52" s="88">
        <f t="shared" si="136"/>
        <v>14</v>
      </c>
      <c r="O52" s="88">
        <v>77</v>
      </c>
      <c r="P52" s="88"/>
      <c r="Q52" s="88">
        <v>132</v>
      </c>
      <c r="R52" s="88">
        <v>20</v>
      </c>
      <c r="S52" s="88">
        <v>174</v>
      </c>
      <c r="T52" s="88">
        <f t="shared" si="137"/>
        <v>-137</v>
      </c>
      <c r="U52" s="88">
        <v>189</v>
      </c>
      <c r="V52" s="88"/>
      <c r="W52" s="88">
        <v>183</v>
      </c>
      <c r="X52" s="88">
        <v>-181</v>
      </c>
      <c r="Y52" s="88">
        <v>-67</v>
      </c>
      <c r="Z52" s="88">
        <f t="shared" si="138"/>
        <v>-122</v>
      </c>
      <c r="AA52" s="88">
        <v>-187</v>
      </c>
      <c r="AB52" s="88"/>
      <c r="AC52" s="88">
        <v>166</v>
      </c>
      <c r="AD52" s="88">
        <v>793</v>
      </c>
      <c r="AE52" s="88">
        <v>1279</v>
      </c>
      <c r="AF52" s="88">
        <f t="shared" si="139"/>
        <v>1820</v>
      </c>
      <c r="AG52" s="88">
        <v>4058</v>
      </c>
      <c r="AI52" s="88">
        <f>AI51*AI53</f>
        <v>2558.6088</v>
      </c>
      <c r="AJ52" s="88">
        <f t="shared" ref="AJ52:AM52" si="149">AJ51*AJ53</f>
        <v>3088.3275640737697</v>
      </c>
      <c r="AK52" s="88">
        <f t="shared" si="149"/>
        <v>4093.2451640737695</v>
      </c>
      <c r="AL52" s="88">
        <f t="shared" si="149"/>
        <v>4411.0992640737695</v>
      </c>
      <c r="AM52" s="88">
        <f t="shared" si="149"/>
        <v>14076.371992221311</v>
      </c>
    </row>
    <row r="53" spans="1:39" s="102" customFormat="1">
      <c r="A53" s="101" t="s">
        <v>55</v>
      </c>
      <c r="B53" s="101">
        <f t="shared" si="1"/>
        <v>1.7464277613971423E-2</v>
      </c>
      <c r="C53" s="101">
        <f t="shared" si="2"/>
        <v>1.9012171813700834E-2</v>
      </c>
      <c r="D53" s="101">
        <f t="shared" si="3"/>
        <v>-4.4726142071274816E-2</v>
      </c>
      <c r="E53" s="101">
        <f t="shared" si="4"/>
        <v>0.1199952687917677</v>
      </c>
      <c r="F53" s="101">
        <f t="shared" si="21"/>
        <v>0.17</v>
      </c>
      <c r="G53" s="101">
        <f>G52/G51</f>
        <v>0.17</v>
      </c>
      <c r="H53" s="101">
        <f>H52/H51</f>
        <v>0.17</v>
      </c>
      <c r="I53" s="101">
        <f>I52/I51</f>
        <v>0.17</v>
      </c>
      <c r="J53" s="101"/>
      <c r="K53" s="101">
        <f>K52/K51</f>
        <v>6.5239551478083593E-2</v>
      </c>
      <c r="L53" s="101">
        <f t="shared" ref="L53:AG53" si="150">L52/L51</f>
        <v>-2.1346469622331693E-2</v>
      </c>
      <c r="M53" s="101">
        <f t="shared" si="150"/>
        <v>8.9020771513353119E-3</v>
      </c>
      <c r="N53" s="101">
        <f t="shared" si="150"/>
        <v>9.5173351461590762E-3</v>
      </c>
      <c r="O53" s="101">
        <f t="shared" si="150"/>
        <v>1.7464277613971423E-2</v>
      </c>
      <c r="P53" s="101"/>
      <c r="Q53" s="101">
        <f t="shared" si="150"/>
        <v>6.4579256360078274E-2</v>
      </c>
      <c r="R53" s="101">
        <f t="shared" si="150"/>
        <v>8.3542188805346695E-3</v>
      </c>
      <c r="S53" s="101">
        <f t="shared" si="150"/>
        <v>6.5959059893858987E-2</v>
      </c>
      <c r="T53" s="101">
        <f t="shared" si="150"/>
        <v>-4.7818499127399654E-2</v>
      </c>
      <c r="U53" s="101">
        <f t="shared" si="150"/>
        <v>1.9012171813700834E-2</v>
      </c>
      <c r="V53" s="101"/>
      <c r="W53" s="101">
        <f t="shared" si="150"/>
        <v>0.10138504155124654</v>
      </c>
      <c r="X53" s="101">
        <f t="shared" si="150"/>
        <v>-0.38105263157894737</v>
      </c>
      <c r="Y53" s="101">
        <f t="shared" si="150"/>
        <v>-0.10929853181076672</v>
      </c>
      <c r="Z53" s="101">
        <f t="shared" si="150"/>
        <v>-9.4720496894409936E-2</v>
      </c>
      <c r="AA53" s="101">
        <f t="shared" si="150"/>
        <v>-4.4726142071274816E-2</v>
      </c>
      <c r="AB53" s="101"/>
      <c r="AC53" s="101">
        <f t="shared" si="150"/>
        <v>7.5147125396106837E-2</v>
      </c>
      <c r="AD53" s="101">
        <f t="shared" si="150"/>
        <v>0.11359404096834265</v>
      </c>
      <c r="AE53" s="101">
        <f t="shared" si="150"/>
        <v>0.12155483748336818</v>
      </c>
      <c r="AF53" s="101">
        <f t="shared" si="150"/>
        <v>0.12902311073302142</v>
      </c>
      <c r="AG53" s="101">
        <f t="shared" si="150"/>
        <v>0.1199952687917677</v>
      </c>
      <c r="AH53" s="101"/>
      <c r="AI53" s="101">
        <v>0.17</v>
      </c>
      <c r="AJ53" s="101">
        <v>0.17</v>
      </c>
      <c r="AK53" s="101">
        <v>0.17</v>
      </c>
      <c r="AL53" s="101">
        <v>0.17</v>
      </c>
      <c r="AM53" s="101">
        <v>0.17</v>
      </c>
    </row>
    <row r="54" spans="1:39" s="2" customFormat="1" ht="17" thickBot="1">
      <c r="A54" s="33" t="s">
        <v>120</v>
      </c>
      <c r="B54" s="34">
        <f t="shared" si="1"/>
        <v>4332</v>
      </c>
      <c r="C54" s="34">
        <f t="shared" si="2"/>
        <v>9752</v>
      </c>
      <c r="D54" s="34">
        <f t="shared" si="3"/>
        <v>4368</v>
      </c>
      <c r="E54" s="34">
        <f t="shared" si="4"/>
        <v>29760</v>
      </c>
      <c r="F54" s="34">
        <f t="shared" si="21"/>
        <v>68725.816197315813</v>
      </c>
      <c r="G54" s="34">
        <f>G51-G52</f>
        <v>97911.001728875446</v>
      </c>
      <c r="H54" s="34">
        <f>H51-H52</f>
        <v>138057.3436355748</v>
      </c>
      <c r="I54" s="34">
        <f>I51-I52</f>
        <v>167041.53986832534</v>
      </c>
      <c r="J54" s="33"/>
      <c r="K54" s="66">
        <v>917</v>
      </c>
      <c r="L54" s="66">
        <v>622</v>
      </c>
      <c r="M54" s="66">
        <v>1336</v>
      </c>
      <c r="N54" s="66">
        <f t="shared" si="136"/>
        <v>1457</v>
      </c>
      <c r="O54" s="66">
        <v>4332</v>
      </c>
      <c r="P54" s="66"/>
      <c r="Q54" s="66">
        <v>1912</v>
      </c>
      <c r="R54" s="66">
        <v>2374</v>
      </c>
      <c r="S54" s="66">
        <v>2464</v>
      </c>
      <c r="T54" s="66">
        <f t="shared" si="137"/>
        <v>3002</v>
      </c>
      <c r="U54" s="66">
        <v>9752</v>
      </c>
      <c r="V54" s="66"/>
      <c r="W54" s="66">
        <v>1618</v>
      </c>
      <c r="X54" s="66">
        <v>656</v>
      </c>
      <c r="Y54" s="66">
        <v>680</v>
      </c>
      <c r="Z54" s="66">
        <f t="shared" si="138"/>
        <v>1414</v>
      </c>
      <c r="AA54" s="66">
        <v>4368</v>
      </c>
      <c r="AB54" s="66"/>
      <c r="AC54" s="66">
        <v>2043</v>
      </c>
      <c r="AD54" s="66">
        <v>6188</v>
      </c>
      <c r="AE54" s="66">
        <v>9243</v>
      </c>
      <c r="AF54" s="66">
        <f t="shared" si="139"/>
        <v>12286</v>
      </c>
      <c r="AG54" s="66">
        <v>29760</v>
      </c>
      <c r="AH54" s="33"/>
      <c r="AI54" s="66">
        <f>AI51-AI52</f>
        <v>12492.031199999999</v>
      </c>
      <c r="AJ54" s="66">
        <f t="shared" ref="AJ54:AM54" si="151">AJ51-AJ52</f>
        <v>15078.305165771933</v>
      </c>
      <c r="AK54" s="66">
        <f t="shared" si="151"/>
        <v>19984.667565771932</v>
      </c>
      <c r="AL54" s="66">
        <f t="shared" si="151"/>
        <v>21536.543465771931</v>
      </c>
      <c r="AM54" s="66">
        <f t="shared" si="151"/>
        <v>68725.816197315813</v>
      </c>
    </row>
    <row r="55" spans="1:39" s="102" customFormat="1" ht="17" thickTop="1">
      <c r="A55" s="101" t="s">
        <v>192</v>
      </c>
      <c r="B55" s="101">
        <f t="shared" si="1"/>
        <v>0</v>
      </c>
      <c r="C55" s="101">
        <f t="shared" si="2"/>
        <v>1.2511542012927053</v>
      </c>
      <c r="D55" s="101">
        <f t="shared" si="3"/>
        <v>-0.55209187858900743</v>
      </c>
      <c r="E55" s="101">
        <f t="shared" si="4"/>
        <v>5.813186813186813</v>
      </c>
      <c r="F55" s="101">
        <f t="shared" si="21"/>
        <v>1.3093352216839991</v>
      </c>
      <c r="G55" s="101">
        <f>G54/F54-1</f>
        <v>0.42466117023284622</v>
      </c>
      <c r="H55" s="101">
        <f>H54/G54-1</f>
        <v>0.41002891603405578</v>
      </c>
      <c r="I55" s="101">
        <f>I54/H54-1</f>
        <v>0.20994316904473487</v>
      </c>
      <c r="J55" s="101"/>
      <c r="K55" s="101"/>
      <c r="L55" s="101"/>
      <c r="M55" s="101"/>
      <c r="N55" s="101"/>
      <c r="O55" s="101"/>
      <c r="P55" s="101"/>
      <c r="Q55" s="101">
        <f>Q54/K54-1</f>
        <v>1.085059978189749</v>
      </c>
      <c r="R55" s="101">
        <f>R54/L54-1</f>
        <v>2.8167202572347265</v>
      </c>
      <c r="S55" s="101">
        <f>S54/M54-1</f>
        <v>0.84431137724550909</v>
      </c>
      <c r="T55" s="101">
        <f>T54/N54-1</f>
        <v>1.0603980782429652</v>
      </c>
      <c r="U55" s="101">
        <f>U54/O54-1</f>
        <v>1.2511542012927053</v>
      </c>
      <c r="V55" s="101"/>
      <c r="W55" s="101">
        <f>W54/Q54-1</f>
        <v>-0.15376569037656906</v>
      </c>
      <c r="X55" s="101">
        <f>X54/R54-1</f>
        <v>-0.72367312552653751</v>
      </c>
      <c r="Y55" s="101">
        <f>Y54/S54-1</f>
        <v>-0.72402597402597402</v>
      </c>
      <c r="Z55" s="101">
        <f>Z54/T54-1</f>
        <v>-0.5289806795469687</v>
      </c>
      <c r="AA55" s="101">
        <f>AA54/U54-1</f>
        <v>-0.55209187858900743</v>
      </c>
      <c r="AB55" s="101"/>
      <c r="AC55" s="101">
        <f>AC54/W54-1</f>
        <v>0.26266996291718181</v>
      </c>
      <c r="AD55" s="101">
        <f>AD54/X54-1</f>
        <v>8.4329268292682933</v>
      </c>
      <c r="AE55" s="101">
        <f>AE54/Y54-1</f>
        <v>12.592647058823529</v>
      </c>
      <c r="AF55" s="101">
        <f>AF54/Z54-1</f>
        <v>7.6888260254596883</v>
      </c>
      <c r="AG55" s="101">
        <f>AG54/AA54-1</f>
        <v>5.813186813186813</v>
      </c>
      <c r="AH55" s="101"/>
      <c r="AI55" s="101">
        <f>AI54/AC54-1</f>
        <v>5.114552716593245</v>
      </c>
      <c r="AJ55" s="101">
        <f>AJ54/AD54-1</f>
        <v>1.4367008994460138</v>
      </c>
      <c r="AK55" s="101">
        <f>AK54/AE54-1</f>
        <v>1.1621408163769265</v>
      </c>
      <c r="AL55" s="101">
        <f>AL54/AF54-1</f>
        <v>0.75293370224417466</v>
      </c>
      <c r="AM55" s="101">
        <f>AM54/AG54-1</f>
        <v>1.3093352216839991</v>
      </c>
    </row>
    <row r="59" spans="1:39">
      <c r="A59" s="2" t="s">
        <v>165</v>
      </c>
    </row>
    <row r="60" spans="1:39">
      <c r="A60" s="2" t="s">
        <v>175</v>
      </c>
      <c r="B60" s="29"/>
      <c r="C60" s="29"/>
      <c r="D60" s="29"/>
      <c r="E60" s="29"/>
      <c r="F60" s="29"/>
      <c r="G60" s="29"/>
    </row>
    <row r="61" spans="1:39">
      <c r="A61" s="2"/>
      <c r="B61" s="29"/>
      <c r="C61" s="29"/>
      <c r="D61" s="29"/>
      <c r="E61" s="29"/>
      <c r="F61" s="29"/>
      <c r="G61" s="29"/>
    </row>
    <row r="62" spans="1:39">
      <c r="A62" s="3" t="s">
        <v>0</v>
      </c>
      <c r="B62" s="104" t="s">
        <v>80</v>
      </c>
      <c r="C62" s="104" t="s">
        <v>83</v>
      </c>
      <c r="D62" s="104" t="s">
        <v>64</v>
      </c>
      <c r="E62" s="104" t="s">
        <v>62</v>
      </c>
      <c r="F62" s="109" t="s">
        <v>194</v>
      </c>
      <c r="G62" s="109" t="s">
        <v>219</v>
      </c>
      <c r="H62" s="109" t="s">
        <v>220</v>
      </c>
      <c r="I62" s="109" t="s">
        <v>221</v>
      </c>
    </row>
    <row r="63" spans="1:39">
      <c r="B63" s="29"/>
      <c r="C63" s="29"/>
      <c r="D63" s="29"/>
      <c r="E63" s="29"/>
      <c r="F63" s="29"/>
      <c r="G63" s="29"/>
      <c r="H63" s="29"/>
      <c r="I63" s="29"/>
    </row>
    <row r="64" spans="1:39">
      <c r="A64" s="51" t="s">
        <v>120</v>
      </c>
      <c r="B64" s="8">
        <f>'Forecasted Statements Combined'!B54</f>
        <v>4332</v>
      </c>
      <c r="C64" s="8">
        <f>'Forecasted Statements Combined'!C54</f>
        <v>9752</v>
      </c>
      <c r="D64" s="8">
        <f>'Forecasted Statements Combined'!D54</f>
        <v>4368</v>
      </c>
      <c r="E64" s="8">
        <f>'Forecasted Statements Combined'!E54</f>
        <v>29760</v>
      </c>
      <c r="F64" s="8">
        <f>'Forecasted Statements Combined'!F54</f>
        <v>68725.816197315813</v>
      </c>
      <c r="G64" s="8">
        <f>'Forecasted Statements Combined'!G54</f>
        <v>97911.001728875446</v>
      </c>
      <c r="H64" s="8">
        <f>'Forecasted Statements Combined'!H54</f>
        <v>138057.3436355748</v>
      </c>
      <c r="I64" s="8">
        <f>'Forecasted Statements Combined'!I54</f>
        <v>167041.53986832534</v>
      </c>
    </row>
    <row r="65" spans="1:9">
      <c r="A65" s="52" t="s">
        <v>166</v>
      </c>
      <c r="B65" s="54">
        <f>'Statement of Cash Flow'!D11</f>
        <v>1098</v>
      </c>
      <c r="C65" s="54">
        <f>'Statement of Cash Flow'!E11</f>
        <v>1174</v>
      </c>
      <c r="D65" s="54">
        <f>'Statement of Cash Flow'!F11</f>
        <v>1544</v>
      </c>
      <c r="E65" s="54">
        <f>'Statement of Cash Flow'!G11</f>
        <v>1508</v>
      </c>
      <c r="F65" s="54">
        <f>E104*0.4</f>
        <v>1565.6000000000001</v>
      </c>
      <c r="G65" s="54">
        <f t="shared" ref="G65:I65" si="152">F104*0.4</f>
        <v>2765.6000000000004</v>
      </c>
      <c r="H65" s="54">
        <f t="shared" si="152"/>
        <v>4765.6000000000004</v>
      </c>
      <c r="I65" s="54">
        <f t="shared" si="152"/>
        <v>6765.6</v>
      </c>
    </row>
    <row r="66" spans="1:9">
      <c r="A66" s="52" t="s">
        <v>131</v>
      </c>
      <c r="B66" s="54">
        <f>'Statement of Cash Flow'!D12</f>
        <v>-282</v>
      </c>
      <c r="C66" s="54">
        <f>'Statement of Cash Flow'!E12</f>
        <v>-406</v>
      </c>
      <c r="D66" s="54">
        <f>'Statement of Cash Flow'!F12</f>
        <v>-2164</v>
      </c>
      <c r="E66" s="54">
        <f>'Statement of Cash Flow'!G12</f>
        <v>-2489</v>
      </c>
      <c r="F66" s="54">
        <f>F7*-3%</f>
        <v>-3958.2</v>
      </c>
      <c r="G66" s="54">
        <f>G7*-3%</f>
        <v>-5541.48</v>
      </c>
      <c r="H66" s="54">
        <f>H7*-3%</f>
        <v>-7203.924</v>
      </c>
      <c r="I66" s="54">
        <f>I7*-3%</f>
        <v>-8644.7088000000003</v>
      </c>
    </row>
    <row r="67" spans="1:9">
      <c r="A67" s="56" t="s">
        <v>130</v>
      </c>
      <c r="B67" s="87">
        <f>'Statement of Cash Flow'!D10</f>
        <v>1397</v>
      </c>
      <c r="C67" s="87">
        <f>'Statement of Cash Flow'!E10</f>
        <v>2004</v>
      </c>
      <c r="D67" s="87">
        <f>'Statement of Cash Flow'!F10</f>
        <v>2709</v>
      </c>
      <c r="E67" s="87">
        <f>'Statement of Cash Flow'!G10</f>
        <v>3549</v>
      </c>
      <c r="F67" s="87">
        <f>F7*5%</f>
        <v>6597</v>
      </c>
      <c r="G67" s="87">
        <f>G7*5%</f>
        <v>9235.8000000000011</v>
      </c>
      <c r="H67" s="87">
        <f>H7*5%</f>
        <v>12006.54</v>
      </c>
      <c r="I67" s="87">
        <f>I7*5%</f>
        <v>14407.848000000002</v>
      </c>
    </row>
    <row r="68" spans="1:9">
      <c r="A68" s="52" t="s">
        <v>122</v>
      </c>
      <c r="B68" s="54">
        <f>SUM('Statement of Cash Flow'!D13,'Statement of Cash Flow'!D14,'Statement of Cash Flow'!D15,'Statement of Cash Flow'!D23)</f>
        <v>143</v>
      </c>
      <c r="C68" s="54">
        <f>SUM('Statement of Cash Flow'!E13,'Statement of Cash Flow'!E14,'Statement of Cash Flow'!E15,'Statement of Cash Flow'!E23)</f>
        <v>139</v>
      </c>
      <c r="D68" s="54">
        <f>SUM('Statement of Cash Flow'!F13,'Statement of Cash Flow'!F14,'Statement of Cash Flow'!F15,'Statement of Cash Flow'!F23)</f>
        <v>1643</v>
      </c>
      <c r="E68" s="54">
        <f>SUM('Statement of Cash Flow'!G13,'Statement of Cash Flow'!G14,'Statement of Cash Flow'!G15,'Statement of Cash Flow'!G23)</f>
        <v>-2</v>
      </c>
      <c r="F68" s="24">
        <f>SUM('Statement of Cash Flow'!H13,'Statement of Cash Flow'!H14,'Statement of Cash Flow'!H15,'Statement of Cash Flow'!H23)</f>
        <v>0</v>
      </c>
      <c r="G68" s="24">
        <f>SUM('Statement of Cash Flow'!I13,'Statement of Cash Flow'!I14,'Statement of Cash Flow'!I15,'Statement of Cash Flow'!I23)</f>
        <v>0</v>
      </c>
      <c r="H68" s="24">
        <f>SUM('Statement of Cash Flow'!J13,'Statement of Cash Flow'!J14,'Statement of Cash Flow'!J15,'Statement of Cash Flow'!J23)</f>
        <v>0</v>
      </c>
      <c r="I68" s="24">
        <f>SUM('Statement of Cash Flow'!K13,'Statement of Cash Flow'!K14,'Statement of Cash Flow'!K15,'Statement of Cash Flow'!K23)</f>
        <v>0</v>
      </c>
    </row>
    <row r="69" spans="1:9">
      <c r="A69" s="52" t="s">
        <v>170</v>
      </c>
      <c r="B69" s="54">
        <f>SUM('Statement of Cash Flow'!D18:D22)</f>
        <v>-866</v>
      </c>
      <c r="C69" s="54">
        <f>SUM('Statement of Cash Flow'!E18:E22)</f>
        <v>-3555</v>
      </c>
      <c r="D69" s="54">
        <f>SUM('Statement of Cash Flow'!F18:F22)</f>
        <v>-2459</v>
      </c>
      <c r="E69" s="54">
        <f>SUM('Statement of Cash Flow'!G18:G22)</f>
        <v>-4236</v>
      </c>
      <c r="F69" s="54">
        <f>SUM(E100,E101,E102,E114,E115)-SUM(F100,F101,F102,F114,F115)</f>
        <v>-30311.599999999999</v>
      </c>
      <c r="G69" s="54">
        <f t="shared" ref="G69:I69" si="153">SUM(F100,F101,F102,F114,F115)-SUM(G100,G101,G102,G114,G115)</f>
        <v>-23221.44000000001</v>
      </c>
      <c r="H69" s="54">
        <f t="shared" si="153"/>
        <v>-24382.512000000002</v>
      </c>
      <c r="I69" s="54">
        <f t="shared" si="153"/>
        <v>-21131.510399999985</v>
      </c>
    </row>
    <row r="70" spans="1:9">
      <c r="A70" s="67" t="s">
        <v>178</v>
      </c>
      <c r="B70" s="69">
        <f t="shared" ref="B70:I70" si="154">SUM(B64:B69)</f>
        <v>5822</v>
      </c>
      <c r="C70" s="69">
        <f t="shared" si="154"/>
        <v>9108</v>
      </c>
      <c r="D70" s="69">
        <f t="shared" si="154"/>
        <v>5641</v>
      </c>
      <c r="E70" s="69">
        <f t="shared" si="154"/>
        <v>28090</v>
      </c>
      <c r="F70" s="69">
        <f t="shared" si="154"/>
        <v>42618.616197315823</v>
      </c>
      <c r="G70" s="69">
        <f t="shared" si="154"/>
        <v>81149.481728875457</v>
      </c>
      <c r="H70" s="69">
        <f t="shared" si="154"/>
        <v>123243.04763557481</v>
      </c>
      <c r="I70" s="69">
        <f t="shared" si="154"/>
        <v>158438.76866832539</v>
      </c>
    </row>
    <row r="71" spans="1:9">
      <c r="A71" s="51"/>
      <c r="B71" s="29"/>
      <c r="C71" s="29"/>
      <c r="D71" s="29"/>
      <c r="E71" s="29"/>
      <c r="F71" s="29"/>
      <c r="G71" s="29"/>
      <c r="H71" s="29"/>
      <c r="I71" s="29"/>
    </row>
    <row r="72" spans="1:9">
      <c r="A72" s="52" t="s">
        <v>167</v>
      </c>
      <c r="B72" s="54">
        <f>SUM('Statement of Cash Flow'!D30)</f>
        <v>-8524</v>
      </c>
      <c r="C72" s="54">
        <f>SUM('Statement of Cash Flow'!E30)</f>
        <v>-976</v>
      </c>
      <c r="D72" s="54">
        <f>SUM('Statement of Cash Flow'!F30)</f>
        <v>-1833</v>
      </c>
      <c r="E72" s="54">
        <f>SUM('Statement of Cash Flow'!G30)</f>
        <v>-1069</v>
      </c>
      <c r="F72" s="54">
        <v>-3000</v>
      </c>
      <c r="G72" s="90">
        <v>-5000</v>
      </c>
      <c r="H72" s="90">
        <v>-5000</v>
      </c>
      <c r="I72" s="90">
        <v>-5000</v>
      </c>
    </row>
    <row r="73" spans="1:9">
      <c r="A73" s="67" t="s">
        <v>179</v>
      </c>
      <c r="B73" s="69">
        <f t="shared" ref="B73:I73" si="155">SUM(B70:B72)</f>
        <v>-2702</v>
      </c>
      <c r="C73" s="69">
        <f t="shared" si="155"/>
        <v>8132</v>
      </c>
      <c r="D73" s="69">
        <f t="shared" si="155"/>
        <v>3808</v>
      </c>
      <c r="E73" s="69">
        <f t="shared" si="155"/>
        <v>27021</v>
      </c>
      <c r="F73" s="69">
        <f t="shared" si="155"/>
        <v>39618.616197315823</v>
      </c>
      <c r="G73" s="127">
        <f t="shared" si="155"/>
        <v>76149.481728875457</v>
      </c>
      <c r="H73" s="127">
        <f t="shared" si="155"/>
        <v>118243.04763557481</v>
      </c>
      <c r="I73" s="127">
        <f t="shared" si="155"/>
        <v>153438.76866832539</v>
      </c>
    </row>
    <row r="74" spans="1:9">
      <c r="A74" s="51"/>
    </row>
    <row r="75" spans="1:9">
      <c r="A75" s="98" t="s">
        <v>173</v>
      </c>
      <c r="B75" s="108">
        <v>2479</v>
      </c>
      <c r="C75" s="108">
        <v>2506</v>
      </c>
      <c r="D75" s="108">
        <v>2466</v>
      </c>
      <c r="E75" s="108">
        <v>2464</v>
      </c>
      <c r="F75" s="108">
        <v>2500</v>
      </c>
      <c r="G75" s="108">
        <v>2500</v>
      </c>
      <c r="H75" s="108">
        <v>2500</v>
      </c>
      <c r="I75" s="108">
        <v>2500</v>
      </c>
    </row>
    <row r="76" spans="1:9">
      <c r="A76" s="53" t="s">
        <v>168</v>
      </c>
      <c r="B76" s="68">
        <f>B73/B75</f>
        <v>-1.08995562726906</v>
      </c>
      <c r="C76" s="68">
        <f t="shared" ref="C76:I76" si="156">C73/C75</f>
        <v>3.2450119712689545</v>
      </c>
      <c r="D76" s="68">
        <f t="shared" si="156"/>
        <v>1.5442011354420113</v>
      </c>
      <c r="E76" s="68">
        <f t="shared" si="156"/>
        <v>10.966314935064934</v>
      </c>
      <c r="F76" s="68">
        <f t="shared" si="156"/>
        <v>15.847446478926329</v>
      </c>
      <c r="G76" s="68">
        <f t="shared" si="156"/>
        <v>30.459792691550181</v>
      </c>
      <c r="H76" s="68">
        <f t="shared" si="156"/>
        <v>47.297219054229927</v>
      </c>
      <c r="I76" s="68">
        <f t="shared" si="156"/>
        <v>61.375507467330152</v>
      </c>
    </row>
    <row r="77" spans="1:9">
      <c r="A77" s="52" t="s">
        <v>169</v>
      </c>
      <c r="B77" s="54">
        <f>'Statement of Cash Flow'!D31</f>
        <v>-1128</v>
      </c>
      <c r="C77" s="54">
        <f>'Statement of Cash Flow'!E31</f>
        <v>-263</v>
      </c>
      <c r="D77" s="54">
        <f>'Statement of Cash Flow'!F31</f>
        <v>-49</v>
      </c>
      <c r="E77" s="54">
        <f>'Statement of Cash Flow'!G31</f>
        <v>-83</v>
      </c>
      <c r="F77" s="24">
        <v>0</v>
      </c>
      <c r="G77" s="24">
        <v>0</v>
      </c>
      <c r="H77" s="24">
        <v>0</v>
      </c>
      <c r="I77" s="24">
        <v>0</v>
      </c>
    </row>
    <row r="78" spans="1:9">
      <c r="A78" s="52" t="s">
        <v>177</v>
      </c>
      <c r="B78" s="54">
        <f>'Statement of Cash Flow'!D32</f>
        <v>-34</v>
      </c>
      <c r="C78" s="54">
        <f>'Statement of Cash Flow'!E32</f>
        <v>-24</v>
      </c>
      <c r="D78" s="54">
        <f>'Statement of Cash Flow'!F32</f>
        <v>-77</v>
      </c>
      <c r="E78" s="54">
        <f>'Statement of Cash Flow'!G32</f>
        <v>-985</v>
      </c>
      <c r="F78" s="54">
        <v>-1000</v>
      </c>
      <c r="G78" s="54">
        <v>-2000</v>
      </c>
      <c r="H78" s="54">
        <v>-2000</v>
      </c>
      <c r="I78" s="54">
        <v>-2000</v>
      </c>
    </row>
    <row r="79" spans="1:9">
      <c r="A79" s="52" t="s">
        <v>181</v>
      </c>
      <c r="B79" s="54">
        <f>SUM('Statement of Cash Flow'!D39,'Statement of Cash Flow'!D42)</f>
        <v>4968</v>
      </c>
      <c r="C79" s="54">
        <f>SUM('Statement of Cash Flow'!E39,'Statement of Cash Flow'!E42)</f>
        <v>3977</v>
      </c>
      <c r="D79" s="24">
        <f>SUM('Statement of Cash Flow'!F39,'Statement of Cash Flow'!F42)</f>
        <v>0</v>
      </c>
      <c r="E79" s="54">
        <f>SUM('Statement of Cash Flow'!G39,'Statement of Cash Flow'!G42)</f>
        <v>-1250</v>
      </c>
      <c r="F79" s="54">
        <f>-E116-E118</f>
        <v>-9709</v>
      </c>
      <c r="G79" s="24">
        <f>'Statement of Cash Flow'!I40</f>
        <v>0</v>
      </c>
      <c r="H79" s="24">
        <f>'Statement of Cash Flow'!J40</f>
        <v>0</v>
      </c>
      <c r="I79" s="24">
        <f>'Statement of Cash Flow'!K40</f>
        <v>0</v>
      </c>
    </row>
    <row r="80" spans="1:9">
      <c r="A80" s="52" t="s">
        <v>182</v>
      </c>
      <c r="B80" s="54">
        <f>'Statement of Cash Flow'!D40</f>
        <v>-395</v>
      </c>
      <c r="C80" s="54">
        <f>'Statement of Cash Flow'!E40</f>
        <v>-399</v>
      </c>
      <c r="D80" s="54">
        <f>'Statement of Cash Flow'!F40</f>
        <v>-398</v>
      </c>
      <c r="E80" s="54">
        <f>'Statement of Cash Flow'!G40</f>
        <v>-395</v>
      </c>
      <c r="F80" s="54">
        <f>F75*-0.32</f>
        <v>-800</v>
      </c>
      <c r="G80" s="54">
        <f t="shared" ref="G80:I80" si="157">G75*-0.32</f>
        <v>-800</v>
      </c>
      <c r="H80" s="54">
        <f t="shared" si="157"/>
        <v>-800</v>
      </c>
      <c r="I80" s="54">
        <f t="shared" si="157"/>
        <v>-800</v>
      </c>
    </row>
    <row r="81" spans="1:9">
      <c r="A81" s="52" t="s">
        <v>183</v>
      </c>
      <c r="B81" s="54">
        <f>SUM('Statement of Cash Flow'!D36,'Statement of Cash Flow'!D37,'Statement of Cash Flow'!D38)</f>
        <v>-748</v>
      </c>
      <c r="C81" s="54">
        <f>SUM('Statement of Cash Flow'!E36,'Statement of Cash Flow'!E37,'Statement of Cash Flow'!E38)</f>
        <v>-1623</v>
      </c>
      <c r="D81" s="54">
        <f>SUM('Statement of Cash Flow'!F36,'Statement of Cash Flow'!F37,'Statement of Cash Flow'!F38)</f>
        <v>-11159</v>
      </c>
      <c r="E81" s="54">
        <f>SUM('Statement of Cash Flow'!G36,'Statement of Cash Flow'!G37,'Statement of Cash Flow'!G38)</f>
        <v>-11913</v>
      </c>
      <c r="F81" s="54">
        <v>-12000</v>
      </c>
      <c r="G81" s="54">
        <v>-12000</v>
      </c>
      <c r="H81" s="54">
        <v>-12000</v>
      </c>
      <c r="I81" s="54">
        <v>-12000</v>
      </c>
    </row>
    <row r="82" spans="1:9">
      <c r="A82" s="52" t="s">
        <v>184</v>
      </c>
      <c r="B82" s="54">
        <f>SUM('Statement of Cash Flow'!D27,'Statement of Cash Flow'!D28,'Statement of Cash Flow'!D29)</f>
        <v>-9989</v>
      </c>
      <c r="C82" s="54">
        <f>SUM('Statement of Cash Flow'!E27,'Statement of Cash Flow'!E28,'Statement of Cash Flow'!E29)</f>
        <v>-8567</v>
      </c>
      <c r="D82" s="54">
        <f>SUM('Statement of Cash Flow'!F27,'Statement of Cash Flow'!F28,'Statement of Cash Flow'!F29)</f>
        <v>9334</v>
      </c>
      <c r="E82" s="54">
        <f>SUM('Statement of Cash Flow'!G27,'Statement of Cash Flow'!G28,'Statement of Cash Flow'!G29)</f>
        <v>-8429</v>
      </c>
      <c r="F82" s="54">
        <f>E99-F99</f>
        <v>-1296</v>
      </c>
      <c r="G82" s="24">
        <f>F99-G99</f>
        <v>0</v>
      </c>
      <c r="H82" s="24">
        <f t="shared" ref="H82:I82" si="158">G99-H99</f>
        <v>0</v>
      </c>
      <c r="I82" s="24">
        <f t="shared" si="158"/>
        <v>0</v>
      </c>
    </row>
    <row r="83" spans="1:9">
      <c r="A83" s="52" t="s">
        <v>122</v>
      </c>
      <c r="B83" s="54">
        <f>SUM('Statement of Cash Flow'!D41,'Statement of Cash Flow'!D43)</f>
        <v>-21</v>
      </c>
      <c r="C83" s="54">
        <f>SUM('Statement of Cash Flow'!E41,'Statement of Cash Flow'!E43)</f>
        <v>-90</v>
      </c>
      <c r="D83" s="54">
        <f>SUM('Statement of Cash Flow'!F41,'Statement of Cash Flow'!F43)</f>
        <v>-60</v>
      </c>
      <c r="E83" s="54">
        <f>SUM('Statement of Cash Flow'!G41,'Statement of Cash Flow'!G43)</f>
        <v>-75</v>
      </c>
      <c r="F83" s="54">
        <v>-100</v>
      </c>
      <c r="G83" s="54">
        <v>-100</v>
      </c>
      <c r="H83" s="54">
        <v>-100</v>
      </c>
      <c r="I83" s="54">
        <v>-100</v>
      </c>
    </row>
    <row r="84" spans="1:9">
      <c r="A84" s="70" t="s">
        <v>180</v>
      </c>
      <c r="B84" s="7">
        <f t="shared" ref="B84:G84" si="159">SUM(B73,B77,B78,B79,B80,B81,B82,B83)</f>
        <v>-10049</v>
      </c>
      <c r="C84" s="7">
        <f t="shared" si="159"/>
        <v>1143</v>
      </c>
      <c r="D84" s="7">
        <f t="shared" si="159"/>
        <v>1399</v>
      </c>
      <c r="E84" s="7">
        <f t="shared" si="159"/>
        <v>3891</v>
      </c>
      <c r="F84" s="7">
        <f t="shared" si="159"/>
        <v>14713.616197315823</v>
      </c>
      <c r="G84" s="7">
        <f t="shared" si="159"/>
        <v>61249.481728875457</v>
      </c>
      <c r="H84" s="7">
        <f t="shared" ref="H84:I84" si="160">SUM(H73,H77,H78,H79,H80,H81,H82,H83)</f>
        <v>103343.04763557481</v>
      </c>
      <c r="I84" s="7">
        <f t="shared" si="160"/>
        <v>138538.76866832539</v>
      </c>
    </row>
    <row r="85" spans="1:9">
      <c r="A85" s="56"/>
    </row>
    <row r="86" spans="1:9">
      <c r="A86" s="56" t="s">
        <v>139</v>
      </c>
      <c r="B86" s="85">
        <f>'Balance Sheet'!C8</f>
        <v>10896</v>
      </c>
      <c r="C86" s="85">
        <f>B98</f>
        <v>847</v>
      </c>
      <c r="D86" s="85">
        <f t="shared" ref="D86:G86" si="161">C98</f>
        <v>1990</v>
      </c>
      <c r="E86" s="85">
        <f t="shared" si="161"/>
        <v>3389</v>
      </c>
      <c r="F86" s="85">
        <f t="shared" si="161"/>
        <v>7280</v>
      </c>
      <c r="G86" s="85">
        <f t="shared" si="161"/>
        <v>21993.616197315823</v>
      </c>
      <c r="H86" s="85">
        <f t="shared" ref="H86" si="162">G98</f>
        <v>83243.097926191287</v>
      </c>
      <c r="I86" s="85">
        <f t="shared" ref="I86" si="163">H98</f>
        <v>186586.14556176611</v>
      </c>
    </row>
    <row r="87" spans="1:9">
      <c r="A87" s="70" t="s">
        <v>140</v>
      </c>
      <c r="B87" s="7">
        <f t="shared" ref="B87:G87" si="164">B84+B86</f>
        <v>847</v>
      </c>
      <c r="C87" s="7">
        <f t="shared" si="164"/>
        <v>1990</v>
      </c>
      <c r="D87" s="7">
        <f t="shared" si="164"/>
        <v>3389</v>
      </c>
      <c r="E87" s="7">
        <f t="shared" si="164"/>
        <v>7280</v>
      </c>
      <c r="F87" s="7">
        <f t="shared" si="164"/>
        <v>21993.616197315823</v>
      </c>
      <c r="G87" s="7">
        <f t="shared" si="164"/>
        <v>83243.097926191287</v>
      </c>
      <c r="H87" s="7">
        <f t="shared" ref="H87:I87" si="165">H84+H86</f>
        <v>186586.14556176611</v>
      </c>
      <c r="I87" s="7">
        <f t="shared" si="165"/>
        <v>325124.9142300915</v>
      </c>
    </row>
    <row r="88" spans="1:9">
      <c r="G88" s="107"/>
      <c r="H88" s="107"/>
      <c r="I88" s="107"/>
    </row>
    <row r="89" spans="1:9">
      <c r="A89" s="2"/>
      <c r="B89" s="128"/>
      <c r="C89" s="128"/>
      <c r="D89" s="128"/>
      <c r="E89" s="128"/>
      <c r="F89" s="128"/>
      <c r="G89" s="128"/>
    </row>
    <row r="91" spans="1:9">
      <c r="A91" s="2" t="s">
        <v>30</v>
      </c>
    </row>
    <row r="92" spans="1:9">
      <c r="A92" s="2" t="s">
        <v>28</v>
      </c>
    </row>
    <row r="93" spans="1:9">
      <c r="A93" s="2"/>
    </row>
    <row r="94" spans="1:9">
      <c r="A94" s="3" t="s">
        <v>0</v>
      </c>
      <c r="B94" s="104" t="s">
        <v>80</v>
      </c>
      <c r="C94" s="104" t="s">
        <v>83</v>
      </c>
      <c r="D94" s="104" t="s">
        <v>64</v>
      </c>
      <c r="E94" s="104" t="s">
        <v>62</v>
      </c>
      <c r="F94" s="109" t="s">
        <v>194</v>
      </c>
      <c r="G94" s="109" t="s">
        <v>219</v>
      </c>
      <c r="H94" s="109" t="s">
        <v>220</v>
      </c>
      <c r="I94" s="109" t="s">
        <v>221</v>
      </c>
    </row>
    <row r="96" spans="1:9">
      <c r="A96" s="2" t="s">
        <v>22</v>
      </c>
      <c r="B96" s="29"/>
      <c r="C96" s="29"/>
      <c r="D96" s="29"/>
      <c r="E96" s="29"/>
      <c r="F96" s="29"/>
      <c r="G96" s="29"/>
      <c r="H96" s="29"/>
      <c r="I96" s="29"/>
    </row>
    <row r="97" spans="1:10">
      <c r="A97" s="1" t="s">
        <v>84</v>
      </c>
      <c r="E97" s="54"/>
    </row>
    <row r="98" spans="1:10">
      <c r="A98" s="1" t="s">
        <v>85</v>
      </c>
      <c r="B98" s="8">
        <v>847</v>
      </c>
      <c r="C98" s="8">
        <v>1990</v>
      </c>
      <c r="D98" s="8">
        <v>3389</v>
      </c>
      <c r="E98" s="8">
        <v>7280</v>
      </c>
      <c r="F98" s="8">
        <f>F87</f>
        <v>21993.616197315823</v>
      </c>
      <c r="G98" s="8">
        <f>G87</f>
        <v>83243.097926191287</v>
      </c>
      <c r="H98" s="8">
        <f>H87</f>
        <v>186586.14556176611</v>
      </c>
      <c r="I98" s="8">
        <f>I87</f>
        <v>325124.9142300915</v>
      </c>
    </row>
    <row r="99" spans="1:10">
      <c r="A99" s="1" t="s">
        <v>26</v>
      </c>
      <c r="B99" s="54">
        <v>10714</v>
      </c>
      <c r="C99" s="54">
        <v>19218</v>
      </c>
      <c r="D99" s="54">
        <v>9907</v>
      </c>
      <c r="E99" s="54">
        <v>18704</v>
      </c>
      <c r="F99" s="54">
        <f>20000</f>
        <v>20000</v>
      </c>
      <c r="G99" s="54">
        <f>20000</f>
        <v>20000</v>
      </c>
      <c r="H99" s="54">
        <f>20000</f>
        <v>20000</v>
      </c>
      <c r="I99" s="54">
        <f>20000</f>
        <v>20000</v>
      </c>
    </row>
    <row r="100" spans="1:10">
      <c r="A100" s="1" t="s">
        <v>86</v>
      </c>
      <c r="B100" s="54">
        <v>2429</v>
      </c>
      <c r="C100" s="54">
        <v>4650</v>
      </c>
      <c r="D100" s="54">
        <v>3827</v>
      </c>
      <c r="E100" s="54">
        <v>9999</v>
      </c>
      <c r="F100" s="54">
        <f>F7*15%</f>
        <v>19791</v>
      </c>
      <c r="G100" s="54">
        <f>G7*15%</f>
        <v>27707.399999999998</v>
      </c>
      <c r="H100" s="54">
        <f>H7*15%</f>
        <v>36019.620000000003</v>
      </c>
      <c r="I100" s="54">
        <f>I7*15%</f>
        <v>43223.544000000002</v>
      </c>
    </row>
    <row r="101" spans="1:10">
      <c r="A101" s="1" t="s">
        <v>20</v>
      </c>
      <c r="B101" s="54">
        <v>1826</v>
      </c>
      <c r="C101" s="54">
        <v>2605</v>
      </c>
      <c r="D101" s="54">
        <v>5159</v>
      </c>
      <c r="E101" s="54">
        <v>5282</v>
      </c>
      <c r="F101" s="54">
        <f>F7*10%</f>
        <v>13194</v>
      </c>
      <c r="G101" s="54">
        <f>G7*10%</f>
        <v>18471.600000000002</v>
      </c>
      <c r="H101" s="54">
        <f>H7*10%</f>
        <v>24013.08</v>
      </c>
      <c r="I101" s="54">
        <f>I7*10%</f>
        <v>28815.696000000004</v>
      </c>
    </row>
    <row r="102" spans="1:10">
      <c r="A102" s="1" t="s">
        <v>87</v>
      </c>
      <c r="B102" s="54">
        <v>239</v>
      </c>
      <c r="C102" s="54">
        <v>366</v>
      </c>
      <c r="D102" s="54">
        <v>791</v>
      </c>
      <c r="E102" s="54">
        <v>3080</v>
      </c>
      <c r="F102" s="54">
        <f>5%*F7</f>
        <v>6597</v>
      </c>
      <c r="G102" s="54">
        <f>5%*G7</f>
        <v>9235.8000000000011</v>
      </c>
      <c r="H102" s="54">
        <f>5%*H7</f>
        <v>12006.54</v>
      </c>
      <c r="I102" s="54">
        <f>5%*I7</f>
        <v>14407.848000000002</v>
      </c>
    </row>
    <row r="103" spans="1:10">
      <c r="A103" s="6" t="s">
        <v>88</v>
      </c>
      <c r="B103" s="89">
        <f t="shared" ref="B103:C103" si="166">SUM(B98:B102)</f>
        <v>16055</v>
      </c>
      <c r="C103" s="89">
        <f t="shared" si="166"/>
        <v>28829</v>
      </c>
      <c r="D103" s="89">
        <f>SUM(D98:D102)</f>
        <v>23073</v>
      </c>
      <c r="E103" s="89">
        <f>SUM(E98:E102)</f>
        <v>44345</v>
      </c>
      <c r="F103" s="89">
        <f>SUM(F98:F102)</f>
        <v>81575.616197315831</v>
      </c>
      <c r="G103" s="89">
        <f>SUM(G98:G102)</f>
        <v>158657.89792619128</v>
      </c>
      <c r="H103" s="89">
        <f t="shared" ref="H103:I103" si="167">SUM(H98:H102)</f>
        <v>278625.3855617661</v>
      </c>
      <c r="I103" s="89">
        <f t="shared" si="167"/>
        <v>431572.00223009149</v>
      </c>
    </row>
    <row r="104" spans="1:10">
      <c r="A104" s="1" t="s">
        <v>89</v>
      </c>
      <c r="B104" s="54">
        <v>2149</v>
      </c>
      <c r="C104" s="54">
        <v>2778</v>
      </c>
      <c r="D104" s="54">
        <v>3807</v>
      </c>
      <c r="E104" s="54">
        <v>3914</v>
      </c>
      <c r="F104" s="54">
        <f>E104-F72</f>
        <v>6914</v>
      </c>
      <c r="G104" s="54">
        <f>F104-G72</f>
        <v>11914</v>
      </c>
      <c r="H104" s="54">
        <f>G104-H72</f>
        <v>16914</v>
      </c>
      <c r="I104" s="54">
        <f>H104-I72</f>
        <v>21914</v>
      </c>
    </row>
    <row r="105" spans="1:10">
      <c r="A105" s="1" t="s">
        <v>90</v>
      </c>
      <c r="B105" s="54">
        <v>707</v>
      </c>
      <c r="C105" s="54">
        <v>829</v>
      </c>
      <c r="D105" s="54">
        <v>1038</v>
      </c>
      <c r="E105" s="54">
        <v>1346</v>
      </c>
      <c r="F105" s="54">
        <f>1%*F7</f>
        <v>1319.4</v>
      </c>
      <c r="G105" s="54">
        <f>1%*G7</f>
        <v>1847.16</v>
      </c>
      <c r="H105" s="54">
        <f>1%*H7</f>
        <v>2401.3080000000004</v>
      </c>
      <c r="I105" s="54">
        <f>1%*I7</f>
        <v>2881.5696000000003</v>
      </c>
    </row>
    <row r="106" spans="1:10">
      <c r="A106" s="1" t="s">
        <v>21</v>
      </c>
      <c r="B106" s="54">
        <v>4193</v>
      </c>
      <c r="C106" s="54">
        <v>4349</v>
      </c>
      <c r="D106" s="54">
        <v>4372</v>
      </c>
      <c r="E106" s="54">
        <v>4430</v>
      </c>
      <c r="F106" s="54">
        <f>4500</f>
        <v>4500</v>
      </c>
      <c r="G106" s="54">
        <f>4500</f>
        <v>4500</v>
      </c>
      <c r="H106" s="54">
        <f>4500</f>
        <v>4500</v>
      </c>
      <c r="I106" s="54">
        <f>4500</f>
        <v>4500</v>
      </c>
    </row>
    <row r="107" spans="1:10">
      <c r="A107" s="1" t="s">
        <v>91</v>
      </c>
      <c r="B107" s="54">
        <v>2737</v>
      </c>
      <c r="C107" s="54">
        <v>2339</v>
      </c>
      <c r="D107" s="54">
        <v>1676</v>
      </c>
      <c r="E107" s="54">
        <v>1112</v>
      </c>
      <c r="F107" s="54">
        <f>1200</f>
        <v>1200</v>
      </c>
      <c r="G107" s="54">
        <f>1500</f>
        <v>1500</v>
      </c>
      <c r="H107" s="54">
        <v>2000</v>
      </c>
      <c r="I107" s="54">
        <v>2000</v>
      </c>
    </row>
    <row r="108" spans="1:10">
      <c r="A108" s="1" t="s">
        <v>92</v>
      </c>
      <c r="B108" s="54">
        <v>806</v>
      </c>
      <c r="C108" s="54">
        <v>1222</v>
      </c>
      <c r="D108" s="54">
        <v>3396</v>
      </c>
      <c r="E108" s="54">
        <v>6081</v>
      </c>
      <c r="F108" s="54">
        <f>7000</f>
        <v>7000</v>
      </c>
      <c r="G108" s="54">
        <f>7000</f>
        <v>7000</v>
      </c>
      <c r="H108" s="54">
        <f>7000</f>
        <v>7000</v>
      </c>
      <c r="I108" s="54">
        <f>7000</f>
        <v>7000</v>
      </c>
      <c r="J108" s="117"/>
    </row>
    <row r="109" spans="1:10">
      <c r="A109" s="1" t="s">
        <v>93</v>
      </c>
      <c r="B109" s="54">
        <v>2144</v>
      </c>
      <c r="C109" s="54">
        <v>3841</v>
      </c>
      <c r="D109" s="54">
        <v>3820</v>
      </c>
      <c r="E109" s="54">
        <v>4500</v>
      </c>
      <c r="F109" s="54">
        <f>5000</f>
        <v>5000</v>
      </c>
      <c r="G109" s="54">
        <f>5000</f>
        <v>5000</v>
      </c>
      <c r="H109" s="54">
        <f>5000</f>
        <v>5000</v>
      </c>
      <c r="I109" s="54">
        <f>5000</f>
        <v>5000</v>
      </c>
    </row>
    <row r="110" spans="1:10" ht="17" thickBot="1">
      <c r="A110" s="33" t="s">
        <v>104</v>
      </c>
      <c r="B110" s="34">
        <f t="shared" ref="B110:C110" si="168">SUM(B103:B109)</f>
        <v>28791</v>
      </c>
      <c r="C110" s="34">
        <f t="shared" si="168"/>
        <v>44187</v>
      </c>
      <c r="D110" s="34">
        <f>SUM(D103:D109)</f>
        <v>41182</v>
      </c>
      <c r="E110" s="34">
        <f>SUM(E103:E109)</f>
        <v>65728</v>
      </c>
      <c r="F110" s="34">
        <f t="shared" ref="F110:I110" si="169">SUM(F103:F109)</f>
        <v>107509.01619731582</v>
      </c>
      <c r="G110" s="34">
        <f t="shared" si="169"/>
        <v>190419.05792619128</v>
      </c>
      <c r="H110" s="34">
        <f t="shared" si="169"/>
        <v>316440.69356176612</v>
      </c>
      <c r="I110" s="34">
        <f t="shared" si="169"/>
        <v>474867.57183009147</v>
      </c>
    </row>
    <row r="111" spans="1:10" ht="17" thickTop="1"/>
    <row r="112" spans="1:10">
      <c r="A112" s="2" t="s">
        <v>23</v>
      </c>
      <c r="B112" s="29"/>
      <c r="C112" s="29"/>
      <c r="D112" s="29"/>
      <c r="E112" s="29"/>
    </row>
    <row r="113" spans="1:9">
      <c r="A113" s="1" t="s">
        <v>94</v>
      </c>
      <c r="B113" s="29"/>
      <c r="C113" s="29"/>
      <c r="D113" s="29"/>
      <c r="E113" s="29"/>
      <c r="G113" s="54"/>
      <c r="H113" s="54"/>
      <c r="I113" s="54"/>
    </row>
    <row r="114" spans="1:9">
      <c r="A114" s="1" t="s">
        <v>95</v>
      </c>
      <c r="B114" s="8">
        <v>1201</v>
      </c>
      <c r="C114" s="8">
        <v>1783</v>
      </c>
      <c r="D114" s="8">
        <v>1193</v>
      </c>
      <c r="E114" s="8">
        <v>2699</v>
      </c>
      <c r="F114" s="54">
        <f>4%*F7</f>
        <v>5277.6</v>
      </c>
      <c r="G114" s="54">
        <f>4%*G7</f>
        <v>7388.64</v>
      </c>
      <c r="H114" s="54">
        <f>4%*H7</f>
        <v>9605.2320000000018</v>
      </c>
      <c r="I114" s="54">
        <f>4%*I7</f>
        <v>11526.278400000001</v>
      </c>
    </row>
    <row r="115" spans="1:9">
      <c r="A115" s="1" t="s">
        <v>96</v>
      </c>
      <c r="B115" s="54">
        <v>1725</v>
      </c>
      <c r="C115" s="54">
        <v>2552</v>
      </c>
      <c r="D115" s="54">
        <v>4120</v>
      </c>
      <c r="E115" s="54">
        <v>6682</v>
      </c>
      <c r="F115" s="54">
        <f>10%*F7</f>
        <v>13194</v>
      </c>
      <c r="G115" s="54">
        <f>10%*G7</f>
        <v>18471.600000000002</v>
      </c>
      <c r="H115" s="54">
        <f>10%*H7</f>
        <v>24013.08</v>
      </c>
      <c r="I115" s="54">
        <f>10%*I7</f>
        <v>28815.696000000004</v>
      </c>
    </row>
    <row r="116" spans="1:9">
      <c r="A116" s="5" t="s">
        <v>97</v>
      </c>
      <c r="B116" s="22">
        <v>999</v>
      </c>
      <c r="C116" s="25">
        <v>0</v>
      </c>
      <c r="D116" s="90">
        <v>1250</v>
      </c>
      <c r="E116" s="90">
        <v>1250</v>
      </c>
      <c r="F116" s="25">
        <v>0</v>
      </c>
      <c r="G116" s="25">
        <v>0</v>
      </c>
      <c r="H116" s="25">
        <v>0</v>
      </c>
      <c r="I116" s="25">
        <v>0</v>
      </c>
    </row>
    <row r="117" spans="1:9">
      <c r="A117" s="1" t="s">
        <v>98</v>
      </c>
      <c r="B117" s="54">
        <f t="shared" ref="B117:C117" si="170">SUM(B114:B116)</f>
        <v>3925</v>
      </c>
      <c r="C117" s="54">
        <f t="shared" si="170"/>
        <v>4335</v>
      </c>
      <c r="D117" s="54">
        <f>SUM(D114:D116)</f>
        <v>6563</v>
      </c>
      <c r="E117" s="54">
        <f>SUM(E114:E116)</f>
        <v>10631</v>
      </c>
      <c r="F117" s="89">
        <f t="shared" ref="F117:I117" si="171">SUM(F114:F116)</f>
        <v>18471.599999999999</v>
      </c>
      <c r="G117" s="89">
        <f t="shared" si="171"/>
        <v>25860.240000000002</v>
      </c>
      <c r="H117" s="89">
        <f t="shared" si="171"/>
        <v>33618.312000000005</v>
      </c>
      <c r="I117" s="89">
        <f t="shared" si="171"/>
        <v>40341.974400000006</v>
      </c>
    </row>
    <row r="118" spans="1:9">
      <c r="A118" s="1" t="s">
        <v>48</v>
      </c>
      <c r="B118" s="54">
        <v>5964</v>
      </c>
      <c r="C118" s="54">
        <v>10946</v>
      </c>
      <c r="D118" s="54">
        <v>9703</v>
      </c>
      <c r="E118" s="54">
        <v>8459</v>
      </c>
      <c r="F118" s="24">
        <v>0</v>
      </c>
      <c r="G118" s="24">
        <v>0</v>
      </c>
      <c r="H118" s="24">
        <v>0</v>
      </c>
      <c r="I118" s="24">
        <v>0</v>
      </c>
    </row>
    <row r="119" spans="1:9">
      <c r="A119" s="1" t="s">
        <v>99</v>
      </c>
      <c r="B119" s="54">
        <v>634</v>
      </c>
      <c r="C119" s="54">
        <v>741</v>
      </c>
      <c r="D119" s="54">
        <v>902</v>
      </c>
      <c r="E119" s="54">
        <v>1119</v>
      </c>
      <c r="F119" s="54">
        <f>2%*F7</f>
        <v>2638.8</v>
      </c>
      <c r="G119" s="54">
        <f>2%*G7</f>
        <v>3694.32</v>
      </c>
      <c r="H119" s="54">
        <f>2%*H7</f>
        <v>4802.6160000000009</v>
      </c>
      <c r="I119" s="54">
        <f>2%*I7</f>
        <v>5763.1392000000005</v>
      </c>
    </row>
    <row r="120" spans="1:9">
      <c r="A120" s="1" t="s">
        <v>100</v>
      </c>
      <c r="B120" s="54">
        <v>1375</v>
      </c>
      <c r="C120" s="54">
        <v>1553</v>
      </c>
      <c r="D120" s="54">
        <v>1913</v>
      </c>
      <c r="E120" s="54">
        <v>2541</v>
      </c>
      <c r="F120" s="54">
        <f>2%*F7</f>
        <v>2638.8</v>
      </c>
      <c r="G120" s="54">
        <f>2%*G7</f>
        <v>3694.32</v>
      </c>
      <c r="H120" s="54">
        <f>2%*H7</f>
        <v>4802.6160000000009</v>
      </c>
      <c r="I120" s="54">
        <f>2%*I7</f>
        <v>5763.1392000000005</v>
      </c>
    </row>
    <row r="121" spans="1:9">
      <c r="A121" s="6" t="s">
        <v>101</v>
      </c>
      <c r="B121" s="89">
        <f t="shared" ref="B121" si="172">SUM(B117:B120)</f>
        <v>11898</v>
      </c>
      <c r="C121" s="89">
        <v>17575</v>
      </c>
      <c r="D121" s="89">
        <f>SUM(D117:D120)</f>
        <v>19081</v>
      </c>
      <c r="E121" s="89">
        <f>SUM(E117:E120)</f>
        <v>22750</v>
      </c>
      <c r="F121" s="89">
        <f t="shared" ref="F121:I121" si="173">SUM(F117:F120)</f>
        <v>23749.199999999997</v>
      </c>
      <c r="G121" s="89">
        <f t="shared" si="173"/>
        <v>33248.880000000005</v>
      </c>
      <c r="H121" s="89">
        <f t="shared" si="173"/>
        <v>43223.544000000009</v>
      </c>
      <c r="I121" s="89">
        <f t="shared" si="173"/>
        <v>51868.252800000002</v>
      </c>
    </row>
    <row r="122" spans="1:9">
      <c r="A122" s="1" t="s">
        <v>102</v>
      </c>
      <c r="B122" s="54"/>
      <c r="C122" s="54"/>
      <c r="D122" s="54"/>
      <c r="E122" s="54"/>
    </row>
    <row r="123" spans="1:9">
      <c r="A123" s="21" t="s">
        <v>103</v>
      </c>
      <c r="B123" s="89">
        <v>16893</v>
      </c>
      <c r="C123" s="89">
        <v>26612</v>
      </c>
      <c r="D123" s="89">
        <v>22101</v>
      </c>
      <c r="E123" s="89">
        <v>42978</v>
      </c>
      <c r="F123" s="8"/>
      <c r="G123" s="8"/>
      <c r="H123" s="8"/>
      <c r="I123" s="8"/>
    </row>
    <row r="124" spans="1:9">
      <c r="A124" s="6"/>
      <c r="B124" s="7"/>
      <c r="C124" s="7"/>
      <c r="D124" s="7"/>
      <c r="E124" s="7"/>
    </row>
    <row r="125" spans="1:9" ht="17" thickBot="1">
      <c r="A125" s="33" t="s">
        <v>105</v>
      </c>
      <c r="B125" s="34">
        <f t="shared" ref="B125:C125" si="174">SUM(B121,B123)</f>
        <v>28791</v>
      </c>
      <c r="C125" s="34">
        <f t="shared" si="174"/>
        <v>44187</v>
      </c>
      <c r="D125" s="34">
        <f>SUM(D121,D123)</f>
        <v>41182</v>
      </c>
      <c r="E125" s="34">
        <f>SUM(E123, E121)</f>
        <v>65728</v>
      </c>
      <c r="F125" s="117"/>
      <c r="G125" s="117"/>
      <c r="H125" s="117"/>
      <c r="I125" s="117"/>
    </row>
    <row r="126" spans="1:9" ht="17" thickTop="1"/>
  </sheetData>
  <mergeCells count="5">
    <mergeCell ref="AC4:AG4"/>
    <mergeCell ref="W4:AA4"/>
    <mergeCell ref="K4:O4"/>
    <mergeCell ref="Q4:U4"/>
    <mergeCell ref="AI4:AM4"/>
  </mergeCells>
  <pageMargins left="0.7" right="0.7" top="0.75" bottom="0.75" header="0.3" footer="0.3"/>
  <pageSetup scale="17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71CF-AFAA-5E46-AD51-46CAFF25AF13}">
  <dimension ref="A1:G35"/>
  <sheetViews>
    <sheetView zoomScale="125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"/>
  <cols>
    <col min="1" max="1" width="52.33203125" style="1" bestFit="1" customWidth="1"/>
    <col min="2" max="7" width="16.83203125" style="1" customWidth="1"/>
    <col min="8" max="16384" width="10.83203125" style="1"/>
  </cols>
  <sheetData>
    <row r="1" spans="1:7">
      <c r="A1" s="2" t="s">
        <v>165</v>
      </c>
    </row>
    <row r="2" spans="1:7">
      <c r="A2" s="2" t="s">
        <v>175</v>
      </c>
    </row>
    <row r="4" spans="1:7">
      <c r="A4" s="3" t="s">
        <v>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29</v>
      </c>
    </row>
    <row r="6" spans="1:7">
      <c r="A6" s="51" t="s">
        <v>120</v>
      </c>
      <c r="B6" s="8">
        <f>'Income Statement Yearly'!B22</f>
        <v>4141</v>
      </c>
      <c r="C6" s="8">
        <f>'Income Statement Yearly'!C22</f>
        <v>2796</v>
      </c>
      <c r="D6" s="8">
        <f>'Forecasted Statements Combined'!B54</f>
        <v>4332</v>
      </c>
      <c r="E6" s="8">
        <f>'Forecasted Statements Combined'!C54</f>
        <v>9752</v>
      </c>
      <c r="F6" s="8">
        <f>'Forecasted Statements Combined'!D54</f>
        <v>4368</v>
      </c>
      <c r="G6" s="8">
        <f>'Forecasted Statements Combined'!E54</f>
        <v>29760</v>
      </c>
    </row>
    <row r="7" spans="1:7">
      <c r="A7" s="52" t="s">
        <v>166</v>
      </c>
      <c r="B7" s="54">
        <f>'Statement of Cash Flow'!B11</f>
        <v>262</v>
      </c>
      <c r="C7" s="54">
        <f>'Statement of Cash Flow'!C11</f>
        <v>381</v>
      </c>
      <c r="D7" s="54">
        <f>'Statement of Cash Flow'!D11</f>
        <v>1098</v>
      </c>
      <c r="E7" s="54">
        <f>'Statement of Cash Flow'!E11</f>
        <v>1174</v>
      </c>
      <c r="F7" s="54">
        <f>'Statement of Cash Flow'!F11</f>
        <v>1544</v>
      </c>
      <c r="G7" s="54">
        <f>'Statement of Cash Flow'!G11</f>
        <v>1508</v>
      </c>
    </row>
    <row r="8" spans="1:7">
      <c r="A8" s="52" t="s">
        <v>131</v>
      </c>
      <c r="B8" s="54">
        <f>'Statement of Cash Flow'!B12</f>
        <v>-315</v>
      </c>
      <c r="C8" s="54">
        <f>'Statement of Cash Flow'!C12</f>
        <v>18</v>
      </c>
      <c r="D8" s="54">
        <f>'Statement of Cash Flow'!D12</f>
        <v>-282</v>
      </c>
      <c r="E8" s="54">
        <f>'Statement of Cash Flow'!E12</f>
        <v>-406</v>
      </c>
      <c r="F8" s="54">
        <f>'Statement of Cash Flow'!F12</f>
        <v>-2164</v>
      </c>
      <c r="G8" s="54">
        <f>'Statement of Cash Flow'!G12</f>
        <v>-2489</v>
      </c>
    </row>
    <row r="9" spans="1:7" s="56" customFormat="1">
      <c r="A9" s="56" t="s">
        <v>130</v>
      </c>
      <c r="B9" s="87">
        <f>'Statement of Cash Flow'!B10</f>
        <v>557</v>
      </c>
      <c r="C9" s="87">
        <f>'Statement of Cash Flow'!C10</f>
        <v>844</v>
      </c>
      <c r="D9" s="87">
        <f>'Statement of Cash Flow'!D10</f>
        <v>1397</v>
      </c>
      <c r="E9" s="87">
        <f>'Statement of Cash Flow'!E10</f>
        <v>2004</v>
      </c>
      <c r="F9" s="87">
        <f>'Statement of Cash Flow'!F10</f>
        <v>2709</v>
      </c>
      <c r="G9" s="87">
        <f>'Statement of Cash Flow'!G10</f>
        <v>3549</v>
      </c>
    </row>
    <row r="10" spans="1:7">
      <c r="A10" s="52" t="s">
        <v>122</v>
      </c>
      <c r="B10" s="54">
        <f>SUM('Statement of Cash Flow'!B13,'Statement of Cash Flow'!B14,'Statement of Cash Flow'!B15,'Statement of Cash Flow'!B23)</f>
        <v>-43</v>
      </c>
      <c r="C10" s="54">
        <f>SUM('Statement of Cash Flow'!C13,'Statement of Cash Flow'!C14,'Statement of Cash Flow'!C15,'Statement of Cash Flow'!C23)</f>
        <v>33</v>
      </c>
      <c r="D10" s="54">
        <f>SUM('Statement of Cash Flow'!D13,'Statement of Cash Flow'!D14,'Statement of Cash Flow'!D15,'Statement of Cash Flow'!D23)</f>
        <v>143</v>
      </c>
      <c r="E10" s="54">
        <f>SUM('Statement of Cash Flow'!E13,'Statement of Cash Flow'!E14,'Statement of Cash Flow'!E15,'Statement of Cash Flow'!E23)</f>
        <v>139</v>
      </c>
      <c r="F10" s="54">
        <f>SUM('Statement of Cash Flow'!F13,'Statement of Cash Flow'!F14,'Statement of Cash Flow'!F15,'Statement of Cash Flow'!F23)</f>
        <v>1643</v>
      </c>
      <c r="G10" s="54">
        <f>SUM('Statement of Cash Flow'!G13,'Statement of Cash Flow'!G14,'Statement of Cash Flow'!G15,'Statement of Cash Flow'!G23)</f>
        <v>-2</v>
      </c>
    </row>
    <row r="11" spans="1:7">
      <c r="A11" s="52" t="s">
        <v>170</v>
      </c>
      <c r="B11" s="54">
        <f>SUM('Statement of Cash Flow'!B18:B22)</f>
        <v>-859</v>
      </c>
      <c r="C11" s="54">
        <f>SUM('Statement of Cash Flow'!C18:C22)</f>
        <v>689</v>
      </c>
      <c r="D11" s="54">
        <f>SUM('Statement of Cash Flow'!D18:D22)</f>
        <v>-866</v>
      </c>
      <c r="E11" s="54">
        <f>SUM('Statement of Cash Flow'!E18:E22)</f>
        <v>-3555</v>
      </c>
      <c r="F11" s="54">
        <f>SUM('Statement of Cash Flow'!F18:F22)</f>
        <v>-2459</v>
      </c>
      <c r="G11" s="54">
        <f>SUM('Statement of Cash Flow'!G18:G22)</f>
        <v>-4236</v>
      </c>
    </row>
    <row r="12" spans="1:7">
      <c r="A12" s="67" t="s">
        <v>178</v>
      </c>
      <c r="B12" s="69">
        <f t="shared" ref="B12:F12" si="0">SUM(B6:B11)</f>
        <v>3743</v>
      </c>
      <c r="C12" s="69">
        <f t="shared" si="0"/>
        <v>4761</v>
      </c>
      <c r="D12" s="69">
        <f t="shared" si="0"/>
        <v>5822</v>
      </c>
      <c r="E12" s="69">
        <f t="shared" si="0"/>
        <v>9108</v>
      </c>
      <c r="F12" s="69">
        <f t="shared" si="0"/>
        <v>5641</v>
      </c>
      <c r="G12" s="69">
        <f t="shared" ref="G12" si="1">SUM(G6:G11)</f>
        <v>28090</v>
      </c>
    </row>
    <row r="13" spans="1:7">
      <c r="A13" s="51"/>
    </row>
    <row r="14" spans="1:7">
      <c r="A14" s="52" t="s">
        <v>167</v>
      </c>
      <c r="B14" s="24">
        <f>SUM('Statement of Cash Flow'!B30)</f>
        <v>0</v>
      </c>
      <c r="C14" s="54">
        <f>SUM('Statement of Cash Flow'!C30)</f>
        <v>-4</v>
      </c>
      <c r="D14" s="54">
        <f>SUM('Statement of Cash Flow'!D30)</f>
        <v>-8524</v>
      </c>
      <c r="E14" s="54">
        <f>SUM('Statement of Cash Flow'!E30)</f>
        <v>-976</v>
      </c>
      <c r="F14" s="54">
        <f>SUM('Statement of Cash Flow'!F30)</f>
        <v>-1833</v>
      </c>
      <c r="G14" s="54">
        <f>SUM('Statement of Cash Flow'!G30)</f>
        <v>-1069</v>
      </c>
    </row>
    <row r="15" spans="1:7">
      <c r="A15" s="67" t="s">
        <v>179</v>
      </c>
      <c r="B15" s="69">
        <f>SUM(B12:B14)</f>
        <v>3743</v>
      </c>
      <c r="C15" s="69">
        <f t="shared" ref="C15:G15" si="2">SUM(C12:C14)</f>
        <v>4757</v>
      </c>
      <c r="D15" s="69">
        <f t="shared" si="2"/>
        <v>-2702</v>
      </c>
      <c r="E15" s="69">
        <f t="shared" si="2"/>
        <v>8132</v>
      </c>
      <c r="F15" s="69">
        <f t="shared" si="2"/>
        <v>3808</v>
      </c>
      <c r="G15" s="69">
        <f t="shared" si="2"/>
        <v>27021</v>
      </c>
    </row>
    <row r="16" spans="1:7">
      <c r="A16" s="51"/>
    </row>
    <row r="17" spans="1:7">
      <c r="A17" s="53" t="s">
        <v>168</v>
      </c>
      <c r="B17" s="68">
        <f>B15/'Income Statement Yearly'!B28</f>
        <v>1.5447791993396616</v>
      </c>
      <c r="C17" s="68">
        <f>C15/'Income Statement Yearly'!C28</f>
        <v>1.9416326530612245</v>
      </c>
      <c r="D17" s="68">
        <f>D15/'Income Statement Yearly'!D28</f>
        <v>-1.08995562726906</v>
      </c>
      <c r="E17" s="68">
        <f>E15/'Income Statement Yearly'!E28</f>
        <v>3.2450119712689545</v>
      </c>
      <c r="F17" s="68">
        <f>F15/'Income Statement Yearly'!F28</f>
        <v>1.5442011354420113</v>
      </c>
      <c r="G17" s="68">
        <f>G15/'Income Statement Yearly'!G28</f>
        <v>10.966314935064934</v>
      </c>
    </row>
    <row r="18" spans="1:7">
      <c r="A18" s="52" t="s">
        <v>169</v>
      </c>
      <c r="B18" s="54">
        <f>'Statement of Cash Flow'!B31</f>
        <v>-600</v>
      </c>
      <c r="C18" s="54">
        <f>'Statement of Cash Flow'!C31</f>
        <v>-489</v>
      </c>
      <c r="D18" s="54">
        <f>'Statement of Cash Flow'!D31</f>
        <v>-1128</v>
      </c>
      <c r="E18" s="54">
        <f>'Statement of Cash Flow'!E31</f>
        <v>-263</v>
      </c>
      <c r="F18" s="54">
        <f>'Statement of Cash Flow'!F31</f>
        <v>-49</v>
      </c>
      <c r="G18" s="54">
        <f>'Statement of Cash Flow'!G31</f>
        <v>-83</v>
      </c>
    </row>
    <row r="19" spans="1:7">
      <c r="A19" s="52" t="s">
        <v>177</v>
      </c>
      <c r="B19" s="54">
        <f>'Statement of Cash Flow'!B32</f>
        <v>-9</v>
      </c>
      <c r="C19" s="54">
        <f>'Statement of Cash Flow'!C32</f>
        <v>-10</v>
      </c>
      <c r="D19" s="54">
        <f>'Statement of Cash Flow'!D32</f>
        <v>-34</v>
      </c>
      <c r="E19" s="54">
        <f>'Statement of Cash Flow'!E32</f>
        <v>-24</v>
      </c>
      <c r="F19" s="54">
        <f>'Statement of Cash Flow'!F32</f>
        <v>-77</v>
      </c>
      <c r="G19" s="54">
        <f>'Statement of Cash Flow'!G32</f>
        <v>-985</v>
      </c>
    </row>
    <row r="20" spans="1:7">
      <c r="A20" s="52" t="s">
        <v>181</v>
      </c>
      <c r="B20" s="54">
        <f>SUM('Statement of Cash Flow'!B39,'Statement of Cash Flow'!B42)</f>
        <v>-16</v>
      </c>
      <c r="C20" s="54">
        <f>SUM('Statement of Cash Flow'!C39,'Statement of Cash Flow'!C42)</f>
        <v>0</v>
      </c>
      <c r="D20" s="54">
        <f>SUM('Statement of Cash Flow'!D39,'Statement of Cash Flow'!D42)</f>
        <v>4968</v>
      </c>
      <c r="E20" s="54">
        <f>SUM('Statement of Cash Flow'!E39,'Statement of Cash Flow'!E42)</f>
        <v>3977</v>
      </c>
      <c r="F20" s="24">
        <f>SUM('Statement of Cash Flow'!F39,'Statement of Cash Flow'!F42)</f>
        <v>0</v>
      </c>
      <c r="G20" s="54">
        <f>SUM('Statement of Cash Flow'!G39,'Statement of Cash Flow'!G42)</f>
        <v>-1250</v>
      </c>
    </row>
    <row r="21" spans="1:7">
      <c r="A21" s="52" t="s">
        <v>182</v>
      </c>
      <c r="B21" s="54">
        <f>'Statement of Cash Flow'!B40</f>
        <v>-371</v>
      </c>
      <c r="C21" s="54">
        <f>'Statement of Cash Flow'!C40</f>
        <v>-390</v>
      </c>
      <c r="D21" s="54">
        <f>'Statement of Cash Flow'!D40</f>
        <v>-395</v>
      </c>
      <c r="E21" s="54">
        <f>'Statement of Cash Flow'!E40</f>
        <v>-399</v>
      </c>
      <c r="F21" s="54">
        <f>'Statement of Cash Flow'!F40</f>
        <v>-398</v>
      </c>
      <c r="G21" s="54">
        <f>'Statement of Cash Flow'!G40</f>
        <v>-395</v>
      </c>
    </row>
    <row r="22" spans="1:7">
      <c r="A22" s="52" t="s">
        <v>183</v>
      </c>
      <c r="B22" s="54">
        <f>SUM('Statement of Cash Flow'!B36,'Statement of Cash Flow'!B37,'Statement of Cash Flow'!B38)</f>
        <v>-2474</v>
      </c>
      <c r="C22" s="54">
        <f>SUM('Statement of Cash Flow'!C36,'Statement of Cash Flow'!C37,'Statement of Cash Flow'!C38)</f>
        <v>-402</v>
      </c>
      <c r="D22" s="54">
        <f>SUM('Statement of Cash Flow'!D36,'Statement of Cash Flow'!D37,'Statement of Cash Flow'!D38)</f>
        <v>-748</v>
      </c>
      <c r="E22" s="54">
        <f>SUM('Statement of Cash Flow'!E36,'Statement of Cash Flow'!E37,'Statement of Cash Flow'!E38)</f>
        <v>-1623</v>
      </c>
      <c r="F22" s="54">
        <f>SUM('Statement of Cash Flow'!F36,'Statement of Cash Flow'!F37,'Statement of Cash Flow'!F38)</f>
        <v>-11159</v>
      </c>
      <c r="G22" s="54">
        <f>SUM('Statement of Cash Flow'!G36,'Statement of Cash Flow'!G37,'Statement of Cash Flow'!G38)</f>
        <v>-11913</v>
      </c>
    </row>
    <row r="23" spans="1:7">
      <c r="A23" s="52" t="s">
        <v>184</v>
      </c>
      <c r="B23" s="54">
        <f>SUM('Statement of Cash Flow'!B27,'Statement of Cash Flow'!B28,'Statement of Cash Flow'!B29)</f>
        <v>-3488</v>
      </c>
      <c r="C23" s="54">
        <f>SUM('Statement of Cash Flow'!C27,'Statement of Cash Flow'!C28,'Statement of Cash Flow'!C29)</f>
        <v>6648</v>
      </c>
      <c r="D23" s="54">
        <f>SUM('Statement of Cash Flow'!D27,'Statement of Cash Flow'!D28,'Statement of Cash Flow'!D29)</f>
        <v>-9989</v>
      </c>
      <c r="E23" s="54">
        <f>SUM('Statement of Cash Flow'!E27,'Statement of Cash Flow'!E28,'Statement of Cash Flow'!E29)</f>
        <v>-8567</v>
      </c>
      <c r="F23" s="54">
        <f>SUM('Statement of Cash Flow'!F27,'Statement of Cash Flow'!F28,'Statement of Cash Flow'!F29)</f>
        <v>9334</v>
      </c>
      <c r="G23" s="54">
        <f>SUM('Statement of Cash Flow'!G27,'Statement of Cash Flow'!G28,'Statement of Cash Flow'!G29)</f>
        <v>-8429</v>
      </c>
    </row>
    <row r="24" spans="1:7">
      <c r="A24" s="52" t="s">
        <v>122</v>
      </c>
      <c r="B24" s="54">
        <f>SUM('Statement of Cash Flow'!B41,'Statement of Cash Flow'!B43)</f>
        <v>-5</v>
      </c>
      <c r="C24" s="24">
        <f>SUM('Statement of Cash Flow'!C41,'Statement of Cash Flow'!C43)</f>
        <v>0</v>
      </c>
      <c r="D24" s="54">
        <f>SUM('Statement of Cash Flow'!D41,'Statement of Cash Flow'!D43)</f>
        <v>-21</v>
      </c>
      <c r="E24" s="54">
        <f>SUM('Statement of Cash Flow'!E41,'Statement of Cash Flow'!E43)</f>
        <v>-90</v>
      </c>
      <c r="F24" s="54">
        <f>SUM('Statement of Cash Flow'!F41,'Statement of Cash Flow'!F43)</f>
        <v>-60</v>
      </c>
      <c r="G24" s="54">
        <f>SUM('Statement of Cash Flow'!G41,'Statement of Cash Flow'!G43)</f>
        <v>-75</v>
      </c>
    </row>
    <row r="25" spans="1:7">
      <c r="A25" s="70" t="s">
        <v>180</v>
      </c>
      <c r="B25" s="7">
        <f t="shared" ref="B25:F25" si="3">SUM(B15,B18,B19,B20,B21,B22,B23,B24)</f>
        <v>-3220</v>
      </c>
      <c r="C25" s="7">
        <f t="shared" si="3"/>
        <v>10114</v>
      </c>
      <c r="D25" s="7">
        <f t="shared" si="3"/>
        <v>-10049</v>
      </c>
      <c r="E25" s="7">
        <f t="shared" si="3"/>
        <v>1143</v>
      </c>
      <c r="F25" s="7">
        <f t="shared" si="3"/>
        <v>1399</v>
      </c>
      <c r="G25" s="7">
        <f>SUM(G15,G18,G19,G20,G21,G22,G23,G24)</f>
        <v>3891</v>
      </c>
    </row>
    <row r="26" spans="1:7">
      <c r="A26" s="56"/>
    </row>
    <row r="27" spans="1:7">
      <c r="A27" s="56" t="s">
        <v>139</v>
      </c>
      <c r="B27" s="85">
        <f>'Statement of Cash Flow'!B47</f>
        <v>4002</v>
      </c>
      <c r="C27" s="85">
        <f>'Balance Sheet'!B8</f>
        <v>782</v>
      </c>
      <c r="D27" s="85">
        <f>'Balance Sheet'!C8</f>
        <v>10896</v>
      </c>
      <c r="E27" s="85">
        <f>'Balance Sheet'!D8</f>
        <v>847</v>
      </c>
      <c r="F27" s="85">
        <f>'Balance Sheet'!E8</f>
        <v>1990</v>
      </c>
      <c r="G27" s="85">
        <f>'Balance Sheet'!F8</f>
        <v>3389</v>
      </c>
    </row>
    <row r="28" spans="1:7">
      <c r="A28" s="70" t="s">
        <v>140</v>
      </c>
      <c r="B28" s="7">
        <f t="shared" ref="B28:F28" si="4">B25+B27</f>
        <v>782</v>
      </c>
      <c r="C28" s="7">
        <f t="shared" si="4"/>
        <v>10896</v>
      </c>
      <c r="D28" s="7">
        <f t="shared" si="4"/>
        <v>847</v>
      </c>
      <c r="E28" s="7">
        <f t="shared" si="4"/>
        <v>1990</v>
      </c>
      <c r="F28" s="7">
        <f t="shared" si="4"/>
        <v>3389</v>
      </c>
      <c r="G28" s="7">
        <f>G25+G27</f>
        <v>7280</v>
      </c>
    </row>
    <row r="31" spans="1:7">
      <c r="C31" s="20"/>
      <c r="D31" s="20"/>
      <c r="E31" s="20"/>
      <c r="F31" s="20"/>
      <c r="G31" s="20"/>
    </row>
    <row r="32" spans="1:7">
      <c r="A32" s="2" t="s">
        <v>186</v>
      </c>
    </row>
    <row r="33" spans="1:7">
      <c r="A33" s="56" t="s">
        <v>189</v>
      </c>
      <c r="B33" s="85">
        <f>'Statement of Cash Flow'!B24</f>
        <v>3743</v>
      </c>
      <c r="C33" s="85">
        <f>'Statement of Cash Flow'!C24</f>
        <v>4761</v>
      </c>
      <c r="D33" s="85">
        <f>'Statement of Cash Flow'!D24</f>
        <v>5822</v>
      </c>
      <c r="E33" s="85">
        <f>'Statement of Cash Flow'!E24</f>
        <v>9108</v>
      </c>
      <c r="F33" s="85">
        <f>'Statement of Cash Flow'!F24</f>
        <v>5641</v>
      </c>
      <c r="G33" s="85">
        <f>'Statement of Cash Flow'!G24</f>
        <v>28090</v>
      </c>
    </row>
    <row r="34" spans="1:7">
      <c r="A34" s="5" t="s">
        <v>188</v>
      </c>
      <c r="B34" s="85">
        <f>'Statement of Cash Flow'!B30</f>
        <v>0</v>
      </c>
      <c r="C34" s="85">
        <f>'Statement of Cash Flow'!C30</f>
        <v>-4</v>
      </c>
      <c r="D34" s="85">
        <f>'Statement of Cash Flow'!D30</f>
        <v>-8524</v>
      </c>
      <c r="E34" s="85">
        <f>'Statement of Cash Flow'!E30</f>
        <v>-976</v>
      </c>
      <c r="F34" s="85">
        <f>'Statement of Cash Flow'!F30</f>
        <v>-1833</v>
      </c>
      <c r="G34" s="85">
        <f>'Statement of Cash Flow'!G30</f>
        <v>-1069</v>
      </c>
    </row>
    <row r="35" spans="1:7">
      <c r="A35" s="2" t="s">
        <v>187</v>
      </c>
      <c r="B35" s="86">
        <f t="shared" ref="B35:G35" si="5">SUM(B33:B34)</f>
        <v>3743</v>
      </c>
      <c r="C35" s="86">
        <f t="shared" si="5"/>
        <v>4757</v>
      </c>
      <c r="D35" s="86">
        <f t="shared" si="5"/>
        <v>-2702</v>
      </c>
      <c r="E35" s="86">
        <f t="shared" si="5"/>
        <v>8132</v>
      </c>
      <c r="F35" s="86">
        <f t="shared" si="5"/>
        <v>3808</v>
      </c>
      <c r="G35" s="86">
        <f t="shared" si="5"/>
        <v>27021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CD53-99AD-EA4B-9047-79EE6D39EA96}">
  <dimension ref="A1:G53"/>
  <sheetViews>
    <sheetView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"/>
  <cols>
    <col min="1" max="1" width="82" style="1" bestFit="1" customWidth="1"/>
    <col min="2" max="7" width="16.83203125" style="1" customWidth="1"/>
    <col min="8" max="16384" width="10.83203125" style="1"/>
  </cols>
  <sheetData>
    <row r="1" spans="1:7">
      <c r="A1" s="2" t="s">
        <v>127</v>
      </c>
    </row>
    <row r="2" spans="1:7">
      <c r="A2" s="2" t="s">
        <v>28</v>
      </c>
    </row>
    <row r="4" spans="1:7">
      <c r="A4" s="3" t="s">
        <v>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29</v>
      </c>
    </row>
    <row r="5" spans="1:7">
      <c r="A5" s="10"/>
      <c r="B5" s="11"/>
      <c r="C5" s="11"/>
      <c r="D5" s="11"/>
      <c r="E5" s="11"/>
      <c r="F5" s="11"/>
      <c r="G5" s="11"/>
    </row>
    <row r="6" spans="1:7">
      <c r="A6" s="55" t="s">
        <v>128</v>
      </c>
    </row>
    <row r="7" spans="1:7">
      <c r="A7" s="56" t="s">
        <v>120</v>
      </c>
      <c r="B7" s="8">
        <f>'Income Statement Yearly'!B22</f>
        <v>4141</v>
      </c>
      <c r="C7" s="8">
        <f>'Income Statement Yearly'!C22</f>
        <v>2796</v>
      </c>
      <c r="D7" s="8">
        <f>'Forecasted Statements Combined'!B54</f>
        <v>4332</v>
      </c>
      <c r="E7" s="8">
        <f>'Forecasted Statements Combined'!C54</f>
        <v>9752</v>
      </c>
      <c r="F7" s="8">
        <f>'Forecasted Statements Combined'!D54</f>
        <v>4368</v>
      </c>
      <c r="G7" s="8">
        <f>'Forecasted Statements Combined'!E54</f>
        <v>29760</v>
      </c>
    </row>
    <row r="8" spans="1:7">
      <c r="A8" s="56"/>
    </row>
    <row r="9" spans="1:7">
      <c r="A9" s="56" t="s">
        <v>129</v>
      </c>
    </row>
    <row r="10" spans="1:7">
      <c r="A10" s="56" t="s">
        <v>144</v>
      </c>
      <c r="B10" s="24">
        <v>557</v>
      </c>
      <c r="C10" s="24">
        <v>844</v>
      </c>
      <c r="D10" s="24">
        <v>1397</v>
      </c>
      <c r="E10" s="24">
        <v>2004</v>
      </c>
      <c r="F10" s="24">
        <v>2709</v>
      </c>
      <c r="G10" s="24">
        <v>3549</v>
      </c>
    </row>
    <row r="11" spans="1:7">
      <c r="A11" s="56" t="s">
        <v>145</v>
      </c>
      <c r="B11" s="24">
        <v>262</v>
      </c>
      <c r="C11" s="1">
        <v>381</v>
      </c>
      <c r="D11" s="24">
        <v>1098</v>
      </c>
      <c r="E11" s="24">
        <v>1174</v>
      </c>
      <c r="F11" s="24">
        <v>1544</v>
      </c>
      <c r="G11" s="24">
        <v>1508</v>
      </c>
    </row>
    <row r="12" spans="1:7">
      <c r="A12" s="56" t="s">
        <v>146</v>
      </c>
      <c r="B12" s="54">
        <v>-315</v>
      </c>
      <c r="C12" s="1">
        <v>18</v>
      </c>
      <c r="D12" s="54">
        <v>-282</v>
      </c>
      <c r="E12" s="54">
        <v>-406</v>
      </c>
      <c r="F12" s="54">
        <v>-2164</v>
      </c>
      <c r="G12" s="54">
        <v>-2489</v>
      </c>
    </row>
    <row r="13" spans="1:7">
      <c r="A13" s="56" t="s">
        <v>147</v>
      </c>
      <c r="B13" s="24">
        <v>0</v>
      </c>
      <c r="C13" s="24">
        <v>0</v>
      </c>
      <c r="D13" s="24">
        <v>0</v>
      </c>
      <c r="E13" s="54">
        <v>-100</v>
      </c>
      <c r="F13" s="24">
        <v>45</v>
      </c>
      <c r="G13" s="54">
        <v>-238</v>
      </c>
    </row>
    <row r="14" spans="1:7">
      <c r="A14" s="56" t="s">
        <v>111</v>
      </c>
      <c r="B14" s="24">
        <v>0</v>
      </c>
      <c r="C14" s="24">
        <v>0</v>
      </c>
      <c r="D14" s="24">
        <v>0</v>
      </c>
      <c r="E14" s="24">
        <v>0</v>
      </c>
      <c r="F14" s="24">
        <v>1353</v>
      </c>
      <c r="G14" s="24">
        <v>0</v>
      </c>
    </row>
    <row r="15" spans="1:7">
      <c r="A15" s="56" t="s">
        <v>148</v>
      </c>
      <c r="B15" s="54">
        <v>-45</v>
      </c>
      <c r="C15" s="24">
        <v>5</v>
      </c>
      <c r="D15" s="54">
        <v>-20</v>
      </c>
      <c r="E15" s="24">
        <v>47</v>
      </c>
      <c r="F15" s="54">
        <v>-7</v>
      </c>
      <c r="G15" s="54">
        <v>-278</v>
      </c>
    </row>
    <row r="16" spans="1:7">
      <c r="A16" s="56"/>
    </row>
    <row r="17" spans="1:7">
      <c r="A17" s="56" t="s">
        <v>132</v>
      </c>
    </row>
    <row r="18" spans="1:7">
      <c r="A18" s="56" t="s">
        <v>149</v>
      </c>
      <c r="B18" s="54">
        <v>-149</v>
      </c>
      <c r="C18" s="54">
        <v>-233</v>
      </c>
      <c r="D18" s="54">
        <v>-550</v>
      </c>
      <c r="E18" s="54">
        <v>-2215</v>
      </c>
      <c r="F18" s="24">
        <v>822</v>
      </c>
      <c r="G18" s="54">
        <v>-6172</v>
      </c>
    </row>
    <row r="19" spans="1:7">
      <c r="A19" s="56" t="s">
        <v>20</v>
      </c>
      <c r="B19" s="54">
        <v>-776</v>
      </c>
      <c r="C19" s="24">
        <v>597</v>
      </c>
      <c r="D19" s="54">
        <v>-524</v>
      </c>
      <c r="E19" s="54">
        <v>-774</v>
      </c>
      <c r="F19" s="54">
        <v>-2554</v>
      </c>
      <c r="G19" s="54">
        <v>-98</v>
      </c>
    </row>
    <row r="20" spans="1:7">
      <c r="A20" s="56" t="s">
        <v>150</v>
      </c>
      <c r="B20" s="54">
        <v>-55</v>
      </c>
      <c r="C20" s="24">
        <v>77</v>
      </c>
      <c r="D20" s="54">
        <v>-394</v>
      </c>
      <c r="E20" s="54">
        <v>-1715</v>
      </c>
      <c r="F20" s="54">
        <v>-1517</v>
      </c>
      <c r="G20" s="54">
        <v>-1522</v>
      </c>
    </row>
    <row r="21" spans="1:7">
      <c r="A21" s="56" t="s">
        <v>95</v>
      </c>
      <c r="B21" s="54">
        <v>-135</v>
      </c>
      <c r="C21" s="24">
        <v>194</v>
      </c>
      <c r="D21" s="24">
        <v>363</v>
      </c>
      <c r="E21" s="24">
        <v>568</v>
      </c>
      <c r="F21" s="54">
        <v>-551</v>
      </c>
      <c r="G21" s="24">
        <v>1531</v>
      </c>
    </row>
    <row r="22" spans="1:7">
      <c r="A22" s="56" t="s">
        <v>96</v>
      </c>
      <c r="B22" s="24">
        <v>256</v>
      </c>
      <c r="C22" s="24">
        <v>54</v>
      </c>
      <c r="D22" s="24">
        <v>239</v>
      </c>
      <c r="E22" s="24">
        <v>581</v>
      </c>
      <c r="F22" s="24">
        <v>1341</v>
      </c>
      <c r="G22" s="24">
        <v>2025</v>
      </c>
    </row>
    <row r="23" spans="1:7">
      <c r="A23" s="56" t="s">
        <v>151</v>
      </c>
      <c r="B23" s="24">
        <v>2</v>
      </c>
      <c r="C23" s="24">
        <v>28</v>
      </c>
      <c r="D23" s="24">
        <v>163</v>
      </c>
      <c r="E23" s="24">
        <v>192</v>
      </c>
      <c r="F23" s="24">
        <v>252</v>
      </c>
      <c r="G23" s="24">
        <v>514</v>
      </c>
    </row>
    <row r="24" spans="1:7">
      <c r="A24" s="57" t="s">
        <v>133</v>
      </c>
      <c r="B24" s="27">
        <f t="shared" ref="B24:G24" si="0">SUM(B7:B23)</f>
        <v>3743</v>
      </c>
      <c r="C24" s="27">
        <f t="shared" si="0"/>
        <v>4761</v>
      </c>
      <c r="D24" s="27">
        <f t="shared" si="0"/>
        <v>5822</v>
      </c>
      <c r="E24" s="27">
        <f t="shared" si="0"/>
        <v>9108</v>
      </c>
      <c r="F24" s="27">
        <f t="shared" si="0"/>
        <v>5641</v>
      </c>
      <c r="G24" s="27">
        <f t="shared" si="0"/>
        <v>28090</v>
      </c>
    </row>
    <row r="25" spans="1:7">
      <c r="A25" s="56"/>
    </row>
    <row r="26" spans="1:7">
      <c r="A26" s="55" t="s">
        <v>134</v>
      </c>
    </row>
    <row r="27" spans="1:7">
      <c r="A27" s="56" t="s">
        <v>152</v>
      </c>
      <c r="B27" s="24">
        <v>7232</v>
      </c>
      <c r="C27" s="24">
        <v>4744</v>
      </c>
      <c r="D27" s="24">
        <v>8792</v>
      </c>
      <c r="E27" s="24">
        <v>15197</v>
      </c>
      <c r="F27" s="24">
        <v>19425</v>
      </c>
      <c r="G27" s="24">
        <v>9732</v>
      </c>
    </row>
    <row r="28" spans="1:7">
      <c r="A28" s="56" t="s">
        <v>153</v>
      </c>
      <c r="B28" s="24">
        <v>428</v>
      </c>
      <c r="C28" s="24">
        <v>3365</v>
      </c>
      <c r="D28" s="24">
        <v>527</v>
      </c>
      <c r="E28" s="24">
        <v>1023</v>
      </c>
      <c r="F28" s="24">
        <v>1806</v>
      </c>
      <c r="G28" s="24">
        <v>50</v>
      </c>
    </row>
    <row r="29" spans="1:7">
      <c r="A29" s="56" t="s">
        <v>154</v>
      </c>
      <c r="B29" s="54">
        <v>-11148</v>
      </c>
      <c r="C29" s="54">
        <v>-1461</v>
      </c>
      <c r="D29" s="54">
        <v>-19308</v>
      </c>
      <c r="E29" s="54">
        <v>-24787</v>
      </c>
      <c r="F29" s="54">
        <v>-11897</v>
      </c>
      <c r="G29" s="54">
        <v>-18211</v>
      </c>
    </row>
    <row r="30" spans="1:7">
      <c r="A30" s="56" t="s">
        <v>155</v>
      </c>
      <c r="B30" s="24">
        <v>0</v>
      </c>
      <c r="C30" s="54">
        <v>-4</v>
      </c>
      <c r="D30" s="54">
        <v>-8524</v>
      </c>
      <c r="E30" s="54">
        <v>-976</v>
      </c>
      <c r="F30" s="54">
        <v>-1833</v>
      </c>
      <c r="G30" s="54">
        <v>-1069</v>
      </c>
    </row>
    <row r="31" spans="1:7">
      <c r="A31" s="56" t="s">
        <v>156</v>
      </c>
      <c r="B31" s="54">
        <v>-600</v>
      </c>
      <c r="C31" s="54">
        <v>-489</v>
      </c>
      <c r="D31" s="54">
        <v>-1128</v>
      </c>
      <c r="E31" s="54">
        <v>-263</v>
      </c>
      <c r="F31" s="54">
        <v>-49</v>
      </c>
      <c r="G31" s="54">
        <v>-83</v>
      </c>
    </row>
    <row r="32" spans="1:7">
      <c r="A32" s="56" t="s">
        <v>157</v>
      </c>
      <c r="B32" s="54">
        <v>-9</v>
      </c>
      <c r="C32" s="54">
        <v>-10</v>
      </c>
      <c r="D32" s="54">
        <v>-34</v>
      </c>
      <c r="E32" s="54">
        <v>-24</v>
      </c>
      <c r="F32" s="54">
        <v>-77</v>
      </c>
      <c r="G32" s="54">
        <v>-985</v>
      </c>
    </row>
    <row r="33" spans="1:7">
      <c r="A33" s="57" t="s">
        <v>135</v>
      </c>
      <c r="B33" s="58">
        <f t="shared" ref="B33:E33" si="1">SUM(B27:B32)</f>
        <v>-4097</v>
      </c>
      <c r="C33" s="27">
        <f t="shared" si="1"/>
        <v>6145</v>
      </c>
      <c r="D33" s="58">
        <f t="shared" si="1"/>
        <v>-19675</v>
      </c>
      <c r="E33" s="58">
        <f t="shared" si="1"/>
        <v>-9830</v>
      </c>
      <c r="F33" s="27">
        <f>SUM(F27:F32)</f>
        <v>7375</v>
      </c>
      <c r="G33" s="58">
        <f>SUM(G27:G32)</f>
        <v>-10566</v>
      </c>
    </row>
    <row r="34" spans="1:7">
      <c r="A34" s="56"/>
    </row>
    <row r="35" spans="1:7">
      <c r="A35" s="55" t="s">
        <v>136</v>
      </c>
    </row>
    <row r="36" spans="1:7">
      <c r="A36" s="56" t="s">
        <v>158</v>
      </c>
      <c r="B36" s="24">
        <v>137</v>
      </c>
      <c r="C36" s="24">
        <v>149</v>
      </c>
      <c r="D36" s="24">
        <v>194</v>
      </c>
      <c r="E36" s="24">
        <v>281</v>
      </c>
      <c r="F36" s="24">
        <v>355</v>
      </c>
      <c r="G36" s="24">
        <v>403</v>
      </c>
    </row>
    <row r="37" spans="1:7">
      <c r="A37" s="56" t="s">
        <v>159</v>
      </c>
      <c r="B37" s="54">
        <v>-1579</v>
      </c>
      <c r="C37" s="24">
        <v>0</v>
      </c>
      <c r="D37" s="24">
        <v>0</v>
      </c>
      <c r="E37" s="24">
        <v>0</v>
      </c>
      <c r="F37" s="54">
        <v>-10039</v>
      </c>
      <c r="G37" s="54">
        <v>-9533</v>
      </c>
    </row>
    <row r="38" spans="1:7">
      <c r="A38" s="56" t="s">
        <v>160</v>
      </c>
      <c r="B38" s="54">
        <v>-1032</v>
      </c>
      <c r="C38" s="54">
        <v>-551</v>
      </c>
      <c r="D38" s="54">
        <v>-942</v>
      </c>
      <c r="E38" s="54">
        <v>-1904</v>
      </c>
      <c r="F38" s="54">
        <v>-1475</v>
      </c>
      <c r="G38" s="54">
        <v>-2783</v>
      </c>
    </row>
    <row r="39" spans="1:7">
      <c r="A39" s="56" t="s">
        <v>161</v>
      </c>
      <c r="B39" s="54">
        <v>-16</v>
      </c>
      <c r="C39" s="24">
        <v>0</v>
      </c>
      <c r="D39" s="24">
        <v>0</v>
      </c>
      <c r="E39" s="54">
        <v>-1000</v>
      </c>
      <c r="F39" s="24">
        <v>0</v>
      </c>
      <c r="G39" s="54">
        <v>-1250</v>
      </c>
    </row>
    <row r="40" spans="1:7">
      <c r="A40" s="56" t="s">
        <v>162</v>
      </c>
      <c r="B40" s="54">
        <v>-371</v>
      </c>
      <c r="C40" s="54">
        <v>-390</v>
      </c>
      <c r="D40" s="54">
        <v>-395</v>
      </c>
      <c r="E40" s="54">
        <v>-399</v>
      </c>
      <c r="F40" s="54">
        <v>-398</v>
      </c>
      <c r="G40" s="54">
        <v>-395</v>
      </c>
    </row>
    <row r="41" spans="1:7">
      <c r="A41" s="56" t="s">
        <v>163</v>
      </c>
      <c r="B41" s="24">
        <v>0</v>
      </c>
      <c r="C41" s="24">
        <v>0</v>
      </c>
      <c r="D41" s="54">
        <v>-17</v>
      </c>
      <c r="E41" s="54">
        <v>-83</v>
      </c>
      <c r="F41" s="54">
        <v>-58</v>
      </c>
      <c r="G41" s="54">
        <v>-74</v>
      </c>
    </row>
    <row r="42" spans="1:7">
      <c r="A42" s="56" t="s">
        <v>164</v>
      </c>
      <c r="B42" s="24">
        <v>0</v>
      </c>
      <c r="C42" s="24">
        <v>0</v>
      </c>
      <c r="D42" s="24">
        <v>4968</v>
      </c>
      <c r="E42" s="24">
        <v>4977</v>
      </c>
      <c r="F42" s="24">
        <v>0</v>
      </c>
      <c r="G42" s="24">
        <v>0</v>
      </c>
    </row>
    <row r="43" spans="1:7">
      <c r="A43" s="56" t="s">
        <v>148</v>
      </c>
      <c r="B43" s="54">
        <v>-5</v>
      </c>
      <c r="C43" s="24">
        <v>0</v>
      </c>
      <c r="D43" s="54">
        <v>-4</v>
      </c>
      <c r="E43" s="54">
        <v>-7</v>
      </c>
      <c r="F43" s="54">
        <v>-2</v>
      </c>
      <c r="G43" s="54">
        <v>-1</v>
      </c>
    </row>
    <row r="44" spans="1:7">
      <c r="A44" s="57" t="s">
        <v>137</v>
      </c>
      <c r="B44" s="58">
        <f t="shared" ref="B44:E44" si="2">SUM(B36:B43)</f>
        <v>-2866</v>
      </c>
      <c r="C44" s="58">
        <f t="shared" si="2"/>
        <v>-792</v>
      </c>
      <c r="D44" s="27">
        <f t="shared" si="2"/>
        <v>3804</v>
      </c>
      <c r="E44" s="27">
        <f t="shared" si="2"/>
        <v>1865</v>
      </c>
      <c r="F44" s="58">
        <f>SUM(F36:F43)</f>
        <v>-11617</v>
      </c>
      <c r="G44" s="58">
        <f>SUM(G36:G43)</f>
        <v>-13633</v>
      </c>
    </row>
    <row r="45" spans="1:7">
      <c r="A45" s="56"/>
    </row>
    <row r="46" spans="1:7">
      <c r="A46" s="56" t="s">
        <v>138</v>
      </c>
      <c r="B46" s="54">
        <f t="shared" ref="B46:F46" si="3">SUM(B24,B33,B44)</f>
        <v>-3220</v>
      </c>
      <c r="C46" s="24">
        <f t="shared" si="3"/>
        <v>10114</v>
      </c>
      <c r="D46" s="54">
        <f t="shared" si="3"/>
        <v>-10049</v>
      </c>
      <c r="E46" s="24">
        <f t="shared" si="3"/>
        <v>1143</v>
      </c>
      <c r="F46" s="24">
        <f t="shared" si="3"/>
        <v>1399</v>
      </c>
      <c r="G46" s="24">
        <f>SUM(G24,G33,G44)</f>
        <v>3891</v>
      </c>
    </row>
    <row r="47" spans="1:7">
      <c r="A47" s="56" t="s">
        <v>139</v>
      </c>
      <c r="B47" s="24">
        <v>4002</v>
      </c>
      <c r="C47" s="24">
        <f>'Balance Sheet'!B8</f>
        <v>782</v>
      </c>
      <c r="D47" s="24">
        <f>'Balance Sheet'!C8</f>
        <v>10896</v>
      </c>
      <c r="E47" s="24">
        <f>'Balance Sheet'!D8</f>
        <v>847</v>
      </c>
      <c r="F47" s="24">
        <f>'Balance Sheet'!E8</f>
        <v>1990</v>
      </c>
      <c r="G47" s="24">
        <f>'Balance Sheet'!F8</f>
        <v>3389</v>
      </c>
    </row>
    <row r="48" spans="1:7">
      <c r="A48" s="57" t="s">
        <v>140</v>
      </c>
      <c r="B48" s="59">
        <f>SUM(B46:B47)</f>
        <v>782</v>
      </c>
      <c r="C48" s="59">
        <f>IF(SUM(C46:C47)='Balance Sheet'!C8,SUM('Statement of Cash Flow'!C46:C47),"Wrong")</f>
        <v>10896</v>
      </c>
      <c r="D48" s="59">
        <f>IF(SUM(D46:D47)='Balance Sheet'!D8,SUM('Statement of Cash Flow'!D46:D47),"Wrong")</f>
        <v>847</v>
      </c>
      <c r="E48" s="59">
        <f>IF(SUM(E46:E47)='Balance Sheet'!E8,SUM('Statement of Cash Flow'!E46:E47),"Wrong")</f>
        <v>1990</v>
      </c>
      <c r="F48" s="59">
        <f>IF(SUM(F46:F47)='Balance Sheet'!F8,SUM('Statement of Cash Flow'!F46:F47),"Wrong")</f>
        <v>3389</v>
      </c>
      <c r="G48" s="59">
        <f>IF(SUM(G46:G47)='Balance Sheet'!G8,SUM('Statement of Cash Flow'!G46:G47),"Wrong")</f>
        <v>7280</v>
      </c>
    </row>
    <row r="49" spans="1:7">
      <c r="A49" s="56"/>
    </row>
    <row r="50" spans="1:7">
      <c r="A50" s="60" t="s">
        <v>141</v>
      </c>
    </row>
    <row r="51" spans="1:7">
      <c r="A51" s="61" t="s">
        <v>142</v>
      </c>
      <c r="B51" s="62">
        <v>61</v>
      </c>
      <c r="C51" s="62">
        <v>176</v>
      </c>
      <c r="D51" s="62">
        <v>249</v>
      </c>
      <c r="E51" s="62">
        <v>396</v>
      </c>
      <c r="F51" s="62">
        <v>1404</v>
      </c>
      <c r="G51" s="62">
        <v>6549</v>
      </c>
    </row>
    <row r="52" spans="1:7">
      <c r="A52" s="61" t="s">
        <v>143</v>
      </c>
      <c r="B52" s="62">
        <v>55</v>
      </c>
      <c r="C52" s="62">
        <v>54</v>
      </c>
      <c r="D52" s="62">
        <v>138</v>
      </c>
      <c r="E52" s="62">
        <v>246</v>
      </c>
      <c r="F52" s="62">
        <v>254</v>
      </c>
      <c r="G52" s="62">
        <v>252</v>
      </c>
    </row>
    <row r="53" spans="1:7">
      <c r="A53" s="5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AA6D-EB3E-6F47-8D80-7E5D813F16D3}">
  <sheetPr>
    <pageSetUpPr fitToPage="1"/>
  </sheetPr>
  <dimension ref="A1:G36"/>
  <sheetViews>
    <sheetView zoomScale="130" zoomScaleNormal="130" workbookViewId="0">
      <pane xSplit="1" ySplit="4" topLeftCell="B16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"/>
  <cols>
    <col min="1" max="1" width="45" style="1" bestFit="1" customWidth="1"/>
    <col min="2" max="7" width="16.83203125" style="1" customWidth="1"/>
    <col min="8" max="16384" width="10.83203125" style="1"/>
  </cols>
  <sheetData>
    <row r="1" spans="1:7">
      <c r="A1" s="2" t="s">
        <v>30</v>
      </c>
    </row>
    <row r="2" spans="1:7">
      <c r="A2" s="2" t="s">
        <v>28</v>
      </c>
    </row>
    <row r="4" spans="1:7">
      <c r="A4" s="3" t="s">
        <v>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29</v>
      </c>
    </row>
    <row r="6" spans="1:7">
      <c r="A6" s="2" t="s">
        <v>22</v>
      </c>
    </row>
    <row r="7" spans="1:7">
      <c r="A7" s="1" t="s">
        <v>84</v>
      </c>
    </row>
    <row r="8" spans="1:7">
      <c r="A8" s="1" t="s">
        <v>85</v>
      </c>
      <c r="B8" s="8">
        <v>782</v>
      </c>
      <c r="C8" s="8">
        <v>10896</v>
      </c>
      <c r="D8" s="8">
        <v>847</v>
      </c>
      <c r="E8" s="8">
        <v>1990</v>
      </c>
      <c r="F8" s="8">
        <v>3389</v>
      </c>
      <c r="G8" s="8">
        <v>7280</v>
      </c>
    </row>
    <row r="9" spans="1:7">
      <c r="A9" s="1" t="s">
        <v>26</v>
      </c>
      <c r="B9" s="54">
        <v>6640</v>
      </c>
      <c r="C9" s="54">
        <v>1</v>
      </c>
      <c r="D9" s="54">
        <v>10714</v>
      </c>
      <c r="E9" s="54">
        <v>19218</v>
      </c>
      <c r="F9" s="54">
        <v>9907</v>
      </c>
      <c r="G9" s="54">
        <v>18704</v>
      </c>
    </row>
    <row r="10" spans="1:7">
      <c r="A10" s="1" t="s">
        <v>86</v>
      </c>
      <c r="B10" s="54">
        <v>1424</v>
      </c>
      <c r="C10" s="54">
        <v>1657</v>
      </c>
      <c r="D10" s="54">
        <v>2429</v>
      </c>
      <c r="E10" s="54">
        <v>4650</v>
      </c>
      <c r="F10" s="54">
        <v>3827</v>
      </c>
      <c r="G10" s="54">
        <v>9999</v>
      </c>
    </row>
    <row r="11" spans="1:7">
      <c r="A11" s="1" t="s">
        <v>20</v>
      </c>
      <c r="B11" s="54">
        <v>1575</v>
      </c>
      <c r="C11" s="54">
        <v>979</v>
      </c>
      <c r="D11" s="54">
        <v>1826</v>
      </c>
      <c r="E11" s="54">
        <v>2605</v>
      </c>
      <c r="F11" s="54">
        <v>5159</v>
      </c>
      <c r="G11" s="54">
        <v>5282</v>
      </c>
    </row>
    <row r="12" spans="1:7">
      <c r="A12" s="1" t="s">
        <v>87</v>
      </c>
      <c r="B12" s="54">
        <v>136</v>
      </c>
      <c r="C12" s="54">
        <v>157</v>
      </c>
      <c r="D12" s="54">
        <v>239</v>
      </c>
      <c r="E12" s="54">
        <v>366</v>
      </c>
      <c r="F12" s="54">
        <v>791</v>
      </c>
      <c r="G12" s="54">
        <v>3080</v>
      </c>
    </row>
    <row r="13" spans="1:7">
      <c r="A13" s="6" t="s">
        <v>88</v>
      </c>
      <c r="B13" s="89">
        <f t="shared" ref="B13:E13" si="0">SUM(B8:B12)</f>
        <v>10557</v>
      </c>
      <c r="C13" s="89">
        <f t="shared" si="0"/>
        <v>13690</v>
      </c>
      <c r="D13" s="89">
        <f t="shared" si="0"/>
        <v>16055</v>
      </c>
      <c r="E13" s="89">
        <f t="shared" si="0"/>
        <v>28829</v>
      </c>
      <c r="F13" s="89">
        <f>SUM(F8:F12)</f>
        <v>23073</v>
      </c>
      <c r="G13" s="89">
        <f>SUM(G8:G12)</f>
        <v>44345</v>
      </c>
    </row>
    <row r="14" spans="1:7">
      <c r="A14" s="1" t="s">
        <v>89</v>
      </c>
      <c r="B14" s="54">
        <v>1404</v>
      </c>
      <c r="C14" s="54">
        <v>1674</v>
      </c>
      <c r="D14" s="54">
        <v>2149</v>
      </c>
      <c r="E14" s="54">
        <v>2778</v>
      </c>
      <c r="F14" s="54">
        <v>3807</v>
      </c>
      <c r="G14" s="54">
        <v>3914</v>
      </c>
    </row>
    <row r="15" spans="1:7">
      <c r="A15" s="1" t="s">
        <v>90</v>
      </c>
      <c r="B15" s="24">
        <v>0</v>
      </c>
      <c r="C15" s="54">
        <v>618</v>
      </c>
      <c r="D15" s="54">
        <v>707</v>
      </c>
      <c r="E15" s="54">
        <v>829</v>
      </c>
      <c r="F15" s="54">
        <v>1038</v>
      </c>
      <c r="G15" s="54">
        <v>1346</v>
      </c>
    </row>
    <row r="16" spans="1:7">
      <c r="A16" s="1" t="s">
        <v>21</v>
      </c>
      <c r="B16" s="54">
        <v>618</v>
      </c>
      <c r="C16" s="54">
        <v>618</v>
      </c>
      <c r="D16" s="54">
        <v>4193</v>
      </c>
      <c r="E16" s="54">
        <v>4349</v>
      </c>
      <c r="F16" s="54">
        <v>4372</v>
      </c>
      <c r="G16" s="54">
        <v>4430</v>
      </c>
    </row>
    <row r="17" spans="1:7">
      <c r="A17" s="1" t="s">
        <v>91</v>
      </c>
      <c r="B17" s="54">
        <v>45</v>
      </c>
      <c r="C17" s="54">
        <v>49</v>
      </c>
      <c r="D17" s="54">
        <v>2737</v>
      </c>
      <c r="E17" s="54">
        <v>2339</v>
      </c>
      <c r="F17" s="54">
        <v>1676</v>
      </c>
      <c r="G17" s="54">
        <v>1112</v>
      </c>
    </row>
    <row r="18" spans="1:7">
      <c r="A18" s="1" t="s">
        <v>92</v>
      </c>
      <c r="B18" s="54">
        <v>560</v>
      </c>
      <c r="C18" s="54">
        <v>548</v>
      </c>
      <c r="D18" s="54">
        <v>806</v>
      </c>
      <c r="E18" s="54">
        <v>1222</v>
      </c>
      <c r="F18" s="54">
        <v>3396</v>
      </c>
      <c r="G18" s="54">
        <v>6081</v>
      </c>
    </row>
    <row r="19" spans="1:7">
      <c r="A19" s="1" t="s">
        <v>93</v>
      </c>
      <c r="B19" s="54">
        <v>108</v>
      </c>
      <c r="C19" s="54">
        <v>118</v>
      </c>
      <c r="D19" s="54">
        <v>2144</v>
      </c>
      <c r="E19" s="54">
        <v>3841</v>
      </c>
      <c r="F19" s="54">
        <v>3820</v>
      </c>
      <c r="G19" s="54">
        <v>4500</v>
      </c>
    </row>
    <row r="20" spans="1:7" ht="17" thickBot="1">
      <c r="A20" s="33" t="s">
        <v>104</v>
      </c>
      <c r="B20" s="34">
        <f t="shared" ref="B20:E20" si="1">SUM(B13:B19)</f>
        <v>13292</v>
      </c>
      <c r="C20" s="34">
        <f t="shared" si="1"/>
        <v>17315</v>
      </c>
      <c r="D20" s="34">
        <f t="shared" si="1"/>
        <v>28791</v>
      </c>
      <c r="E20" s="34">
        <f t="shared" si="1"/>
        <v>44187</v>
      </c>
      <c r="F20" s="34">
        <f>SUM(F13:F19)</f>
        <v>41182</v>
      </c>
      <c r="G20" s="34">
        <f>SUM(G13:G19)</f>
        <v>65728</v>
      </c>
    </row>
    <row r="21" spans="1:7" ht="17" thickTop="1"/>
    <row r="22" spans="1:7">
      <c r="A22" s="2" t="s">
        <v>23</v>
      </c>
    </row>
    <row r="23" spans="1:7">
      <c r="A23" s="1" t="s">
        <v>94</v>
      </c>
    </row>
    <row r="24" spans="1:7">
      <c r="A24" s="1" t="s">
        <v>95</v>
      </c>
      <c r="B24" s="8">
        <v>511</v>
      </c>
      <c r="C24" s="8">
        <v>687</v>
      </c>
      <c r="D24" s="8">
        <v>1201</v>
      </c>
      <c r="E24" s="8">
        <v>1783</v>
      </c>
      <c r="F24" s="8">
        <v>1193</v>
      </c>
      <c r="G24" s="8">
        <v>2699</v>
      </c>
    </row>
    <row r="25" spans="1:7">
      <c r="A25" s="1" t="s">
        <v>96</v>
      </c>
      <c r="B25" s="54">
        <v>818</v>
      </c>
      <c r="C25" s="54">
        <v>1097</v>
      </c>
      <c r="D25" s="54">
        <v>1725</v>
      </c>
      <c r="E25" s="54">
        <v>2552</v>
      </c>
      <c r="F25" s="54">
        <v>4120</v>
      </c>
      <c r="G25" s="54">
        <v>6682</v>
      </c>
    </row>
    <row r="26" spans="1:7">
      <c r="A26" s="5" t="s">
        <v>97</v>
      </c>
      <c r="B26" s="25">
        <v>0</v>
      </c>
      <c r="C26" s="25">
        <v>0</v>
      </c>
      <c r="D26" s="22">
        <v>999</v>
      </c>
      <c r="E26" s="25">
        <v>0</v>
      </c>
      <c r="F26" s="90">
        <v>1250</v>
      </c>
      <c r="G26" s="90">
        <v>1250</v>
      </c>
    </row>
    <row r="27" spans="1:7">
      <c r="A27" s="1" t="s">
        <v>98</v>
      </c>
      <c r="B27" s="54">
        <f t="shared" ref="B27:E27" si="2">SUM(B24:B26)</f>
        <v>1329</v>
      </c>
      <c r="C27" s="54">
        <f t="shared" si="2"/>
        <v>1784</v>
      </c>
      <c r="D27" s="54">
        <f t="shared" si="2"/>
        <v>3925</v>
      </c>
      <c r="E27" s="54">
        <f t="shared" si="2"/>
        <v>4335</v>
      </c>
      <c r="F27" s="54">
        <f>SUM(F24:F26)</f>
        <v>6563</v>
      </c>
      <c r="G27" s="54">
        <f>SUM(G24:G26)</f>
        <v>10631</v>
      </c>
    </row>
    <row r="28" spans="1:7">
      <c r="A28" s="1" t="s">
        <v>48</v>
      </c>
      <c r="B28" s="54">
        <v>1988</v>
      </c>
      <c r="C28" s="54">
        <v>1991</v>
      </c>
      <c r="D28" s="54">
        <v>5964</v>
      </c>
      <c r="E28" s="54">
        <v>10946</v>
      </c>
      <c r="F28" s="54">
        <v>9703</v>
      </c>
      <c r="G28" s="54">
        <v>8459</v>
      </c>
    </row>
    <row r="29" spans="1:7">
      <c r="A29" s="1" t="s">
        <v>99</v>
      </c>
      <c r="B29" s="24">
        <v>0</v>
      </c>
      <c r="C29" s="54">
        <v>561</v>
      </c>
      <c r="D29" s="54">
        <v>634</v>
      </c>
      <c r="E29" s="54">
        <v>741</v>
      </c>
      <c r="F29" s="54">
        <v>902</v>
      </c>
      <c r="G29" s="54">
        <v>1119</v>
      </c>
    </row>
    <row r="30" spans="1:7">
      <c r="A30" s="1" t="s">
        <v>100</v>
      </c>
      <c r="B30" s="54">
        <v>633</v>
      </c>
      <c r="C30" s="54">
        <v>775</v>
      </c>
      <c r="D30" s="54">
        <v>1375</v>
      </c>
      <c r="E30" s="54">
        <v>1553</v>
      </c>
      <c r="F30" s="54">
        <v>1913</v>
      </c>
      <c r="G30" s="54">
        <v>2541</v>
      </c>
    </row>
    <row r="31" spans="1:7">
      <c r="A31" s="6" t="s">
        <v>101</v>
      </c>
      <c r="B31" s="89">
        <f t="shared" ref="B31:D31" si="3">SUM(B27:B30)</f>
        <v>3950</v>
      </c>
      <c r="C31" s="89">
        <f t="shared" si="3"/>
        <v>5111</v>
      </c>
      <c r="D31" s="89">
        <f t="shared" si="3"/>
        <v>11898</v>
      </c>
      <c r="E31" s="89">
        <v>17575</v>
      </c>
      <c r="F31" s="89">
        <f>SUM(F27:F30)</f>
        <v>19081</v>
      </c>
      <c r="G31" s="89">
        <f>SUM(G27:G30)</f>
        <v>22750</v>
      </c>
    </row>
    <row r="32" spans="1:7">
      <c r="A32" s="1" t="s">
        <v>102</v>
      </c>
      <c r="B32" s="54"/>
      <c r="C32" s="54"/>
      <c r="D32" s="54"/>
      <c r="E32" s="54"/>
      <c r="F32" s="54"/>
      <c r="G32" s="54"/>
    </row>
    <row r="33" spans="1:7">
      <c r="A33" s="21" t="s">
        <v>103</v>
      </c>
      <c r="B33" s="89">
        <v>9342</v>
      </c>
      <c r="C33" s="89">
        <v>12204</v>
      </c>
      <c r="D33" s="89">
        <v>16893</v>
      </c>
      <c r="E33" s="89">
        <v>26612</v>
      </c>
      <c r="F33" s="89">
        <v>22101</v>
      </c>
      <c r="G33" s="89">
        <v>42978</v>
      </c>
    </row>
    <row r="34" spans="1:7">
      <c r="A34" s="6"/>
      <c r="B34" s="7"/>
      <c r="C34" s="7"/>
      <c r="D34" s="7"/>
      <c r="E34" s="7"/>
      <c r="F34" s="7"/>
      <c r="G34" s="7"/>
    </row>
    <row r="35" spans="1:7" ht="17" thickBot="1">
      <c r="A35" s="33" t="s">
        <v>105</v>
      </c>
      <c r="B35" s="34">
        <f t="shared" ref="B35:E35" si="4">SUM(B31,B33)</f>
        <v>13292</v>
      </c>
      <c r="C35" s="34">
        <f t="shared" si="4"/>
        <v>17315</v>
      </c>
      <c r="D35" s="34">
        <f t="shared" si="4"/>
        <v>28791</v>
      </c>
      <c r="E35" s="34">
        <f t="shared" si="4"/>
        <v>44187</v>
      </c>
      <c r="F35" s="34">
        <f>SUM(F31,F33)</f>
        <v>41182</v>
      </c>
      <c r="G35" s="34">
        <f>SUM(G33, G31)</f>
        <v>65728</v>
      </c>
    </row>
    <row r="36" spans="1:7" ht="17" thickTop="1"/>
  </sheetData>
  <pageMargins left="0.7" right="0.7" top="0.75" bottom="0.75" header="0.3" footer="0.3"/>
  <pageSetup scale="78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20C5-9495-BE45-A636-A8091319B506}">
  <sheetPr>
    <pageSetUpPr fitToPage="1"/>
  </sheetPr>
  <dimension ref="A1:O29"/>
  <sheetViews>
    <sheetView tabSelected="1"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"/>
  <cols>
    <col min="1" max="1" width="44.6640625" style="1" customWidth="1"/>
    <col min="2" max="6" width="16.83203125" style="1" customWidth="1"/>
    <col min="7" max="7" width="15.6640625" style="1" bestFit="1" customWidth="1"/>
    <col min="8" max="9" width="5.83203125" style="1" customWidth="1"/>
    <col min="10" max="15" width="16.83203125" style="1" customWidth="1"/>
    <col min="16" max="16384" width="10.83203125" style="1"/>
  </cols>
  <sheetData>
    <row r="1" spans="1:15">
      <c r="A1" s="2" t="s">
        <v>27</v>
      </c>
      <c r="J1" s="2" t="s">
        <v>27</v>
      </c>
    </row>
    <row r="2" spans="1:15">
      <c r="A2" s="2" t="s">
        <v>175</v>
      </c>
      <c r="J2" s="2" t="s">
        <v>121</v>
      </c>
    </row>
    <row r="4" spans="1:15">
      <c r="A4" s="3" t="s">
        <v>0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29</v>
      </c>
      <c r="H4" s="116"/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29</v>
      </c>
    </row>
    <row r="6" spans="1:15">
      <c r="A6" s="1" t="s">
        <v>24</v>
      </c>
      <c r="B6" s="8">
        <v>11716</v>
      </c>
      <c r="C6" s="8">
        <v>10918</v>
      </c>
      <c r="D6" s="8">
        <v>16675</v>
      </c>
      <c r="E6" s="8">
        <v>26914</v>
      </c>
      <c r="F6" s="8">
        <v>26974</v>
      </c>
      <c r="G6" s="8">
        <v>60922</v>
      </c>
      <c r="H6" s="8"/>
      <c r="J6" s="29">
        <f>'Income Statement Yearly'!B6/'Income Statement Yearly'!B6</f>
        <v>1</v>
      </c>
      <c r="K6" s="29">
        <f>'Income Statement Yearly'!C6/'Income Statement Yearly'!C6</f>
        <v>1</v>
      </c>
      <c r="L6" s="29">
        <f>'Income Statement Yearly'!D6/'Income Statement Yearly'!D6</f>
        <v>1</v>
      </c>
      <c r="M6" s="29">
        <f>'Income Statement Yearly'!E6/'Income Statement Yearly'!E6</f>
        <v>1</v>
      </c>
      <c r="N6" s="29">
        <f>'Income Statement Yearly'!F6/'Income Statement Yearly'!F6</f>
        <v>1</v>
      </c>
      <c r="O6" s="29">
        <f>'Income Statement Yearly'!G6/'Income Statement Yearly'!G6</f>
        <v>1</v>
      </c>
    </row>
    <row r="7" spans="1:15">
      <c r="A7" s="98" t="s">
        <v>191</v>
      </c>
      <c r="B7" s="100"/>
      <c r="C7" s="101">
        <f>C6/B6-1</f>
        <v>-6.8111983612154314E-2</v>
      </c>
      <c r="D7" s="101">
        <f t="shared" ref="D7:G7" si="0">D6/C6-1</f>
        <v>0.52729437625938824</v>
      </c>
      <c r="E7" s="101">
        <f t="shared" si="0"/>
        <v>0.61403298350824587</v>
      </c>
      <c r="F7" s="101">
        <f t="shared" si="0"/>
        <v>2.2293230289069932E-3</v>
      </c>
      <c r="G7" s="101">
        <f t="shared" si="0"/>
        <v>1.2585452658115224</v>
      </c>
      <c r="H7" s="101"/>
      <c r="J7" s="29"/>
      <c r="K7" s="29"/>
      <c r="L7" s="29"/>
      <c r="M7" s="29"/>
      <c r="N7" s="29"/>
      <c r="O7" s="29"/>
    </row>
    <row r="8" spans="1:15">
      <c r="A8" s="1" t="s">
        <v>106</v>
      </c>
      <c r="B8" s="24">
        <v>4545</v>
      </c>
      <c r="C8" s="24">
        <v>4150</v>
      </c>
      <c r="D8" s="24">
        <v>6279</v>
      </c>
      <c r="E8" s="24">
        <v>9439</v>
      </c>
      <c r="F8" s="24">
        <v>11618</v>
      </c>
      <c r="G8" s="24">
        <v>16621</v>
      </c>
      <c r="H8" s="24"/>
      <c r="J8" s="91">
        <f>'Income Statement Yearly'!B8/'Income Statement Yearly'!B$6*100</f>
        <v>38.793103448275865</v>
      </c>
      <c r="K8" s="91">
        <f>'Income Statement Yearly'!C8/'Income Statement Yearly'!C$6*100</f>
        <v>38.010624656530503</v>
      </c>
      <c r="L8" s="91">
        <f>'Income Statement Yearly'!D8/'Income Statement Yearly'!D$6*100</f>
        <v>37.655172413793103</v>
      </c>
      <c r="M8" s="91">
        <f>'Income Statement Yearly'!E8/'Income Statement Yearly'!E$6*100</f>
        <v>35.070966783086874</v>
      </c>
      <c r="N8" s="91">
        <f>'Income Statement Yearly'!F8/'Income Statement Yearly'!F$6*100</f>
        <v>43.071105509008675</v>
      </c>
      <c r="O8" s="91">
        <f>'Income Statement Yearly'!G8/'Income Statement Yearly'!G$6*100</f>
        <v>27.282426709563047</v>
      </c>
    </row>
    <row r="9" spans="1:15">
      <c r="A9" s="6" t="s">
        <v>107</v>
      </c>
      <c r="B9" s="26">
        <v>7171</v>
      </c>
      <c r="C9" s="26">
        <f t="shared" ref="C9:E9" si="1">C6-C8</f>
        <v>6768</v>
      </c>
      <c r="D9" s="26">
        <f t="shared" si="1"/>
        <v>10396</v>
      </c>
      <c r="E9" s="26">
        <f t="shared" si="1"/>
        <v>17475</v>
      </c>
      <c r="F9" s="26">
        <f>F6-F8</f>
        <v>15356</v>
      </c>
      <c r="G9" s="26">
        <f>G6-G8</f>
        <v>44301</v>
      </c>
      <c r="H9" s="24"/>
      <c r="J9" s="92">
        <f>'Income Statement Yearly'!B9/'Income Statement Yearly'!B$6*100</f>
        <v>61.206896551724135</v>
      </c>
      <c r="K9" s="92">
        <f>'Income Statement Yearly'!C9/'Income Statement Yearly'!C$6*100</f>
        <v>61.989375343469497</v>
      </c>
      <c r="L9" s="92">
        <f>'Income Statement Yearly'!D9/'Income Statement Yearly'!D$6*100</f>
        <v>62.344827586206897</v>
      </c>
      <c r="M9" s="92">
        <f>'Income Statement Yearly'!E9/'Income Statement Yearly'!E$6*100</f>
        <v>64.92903321691314</v>
      </c>
      <c r="N9" s="92">
        <f>'Income Statement Yearly'!F9/'Income Statement Yearly'!F$6*100</f>
        <v>56.928894490991325</v>
      </c>
      <c r="O9" s="92">
        <f>'Income Statement Yearly'!G9/'Income Statement Yearly'!G$6*100</f>
        <v>72.71757329043696</v>
      </c>
    </row>
    <row r="10" spans="1:15">
      <c r="A10" s="1" t="s">
        <v>123</v>
      </c>
      <c r="B10" s="24"/>
      <c r="C10" s="24"/>
      <c r="D10" s="24"/>
      <c r="E10" s="24"/>
      <c r="F10" s="24"/>
      <c r="G10" s="24"/>
      <c r="H10" s="24"/>
      <c r="J10" s="91"/>
      <c r="K10" s="91"/>
      <c r="L10" s="91"/>
      <c r="M10" s="91"/>
      <c r="N10" s="91"/>
      <c r="O10" s="91"/>
    </row>
    <row r="11" spans="1:15">
      <c r="A11" s="1" t="s">
        <v>109</v>
      </c>
      <c r="B11" s="24">
        <v>2376</v>
      </c>
      <c r="C11" s="24">
        <v>2829</v>
      </c>
      <c r="D11" s="24">
        <v>3924</v>
      </c>
      <c r="E11" s="24">
        <v>5268</v>
      </c>
      <c r="F11" s="24">
        <v>7339</v>
      </c>
      <c r="G11" s="24">
        <v>8675</v>
      </c>
      <c r="H11" s="24"/>
      <c r="J11" s="91">
        <f>'Income Statement Yearly'!B11/'Income Statement Yearly'!B$6*100</f>
        <v>20.279959030385797</v>
      </c>
      <c r="K11" s="91">
        <f>'Income Statement Yearly'!C11/'Income Statement Yearly'!C$6*100</f>
        <v>25.911339073090311</v>
      </c>
      <c r="L11" s="91">
        <f>'Income Statement Yearly'!D11/'Income Statement Yearly'!D$6*100</f>
        <v>23.532233883058471</v>
      </c>
      <c r="M11" s="91">
        <f>'Income Statement Yearly'!E11/'Income Statement Yearly'!E$6*100</f>
        <v>19.573456193802482</v>
      </c>
      <c r="N11" s="91">
        <f>'Income Statement Yearly'!F11/'Income Statement Yearly'!F$6*100</f>
        <v>27.20768147104619</v>
      </c>
      <c r="O11" s="91">
        <f>'Income Statement Yearly'!G11/'Income Statement Yearly'!G$6*100</f>
        <v>14.239519385443684</v>
      </c>
    </row>
    <row r="12" spans="1:15">
      <c r="A12" s="1" t="s">
        <v>110</v>
      </c>
      <c r="B12" s="24">
        <v>991</v>
      </c>
      <c r="C12" s="24">
        <v>1093</v>
      </c>
      <c r="D12" s="24">
        <v>1940</v>
      </c>
      <c r="E12" s="24">
        <v>2166</v>
      </c>
      <c r="F12" s="24">
        <v>2440</v>
      </c>
      <c r="G12" s="24">
        <v>2654</v>
      </c>
      <c r="H12" s="24"/>
      <c r="J12" s="91">
        <f>'Income Statement Yearly'!B12/'Income Statement Yearly'!B$6*100</f>
        <v>8.4585182656196647</v>
      </c>
      <c r="K12" s="91">
        <f>'Income Statement Yearly'!C12/'Income Statement Yearly'!C$6*100</f>
        <v>10.01099102399707</v>
      </c>
      <c r="L12" s="91">
        <f>'Income Statement Yearly'!D12/'Income Statement Yearly'!D$6*100</f>
        <v>11.634182908545727</v>
      </c>
      <c r="M12" s="91">
        <f>'Income Statement Yearly'!E12/'Income Statement Yearly'!E$6*100</f>
        <v>8.0478561343538679</v>
      </c>
      <c r="N12" s="91">
        <f>'Income Statement Yearly'!F12/'Income Statement Yearly'!F$6*100</f>
        <v>9.0457477570994289</v>
      </c>
      <c r="O12" s="91">
        <f>'Income Statement Yearly'!G12/'Income Statement Yearly'!G$6*100</f>
        <v>4.3563901382095134</v>
      </c>
    </row>
    <row r="13" spans="1:15">
      <c r="A13" s="2" t="s">
        <v>111</v>
      </c>
      <c r="B13" s="24">
        <v>0</v>
      </c>
      <c r="C13" s="24">
        <v>0</v>
      </c>
      <c r="D13" s="44">
        <v>0</v>
      </c>
      <c r="E13" s="24">
        <v>0</v>
      </c>
      <c r="F13" s="38">
        <v>1353</v>
      </c>
      <c r="G13" s="24">
        <v>0</v>
      </c>
      <c r="H13" s="24"/>
      <c r="J13" s="91">
        <f>'Income Statement Yearly'!B13/'Income Statement Yearly'!B$6*100</f>
        <v>0</v>
      </c>
      <c r="K13" s="91">
        <f>'Income Statement Yearly'!C13/'Income Statement Yearly'!C$6*100</f>
        <v>0</v>
      </c>
      <c r="L13" s="91">
        <f>'Income Statement Yearly'!D13/'Income Statement Yearly'!D$6*100</f>
        <v>0</v>
      </c>
      <c r="M13" s="91">
        <f>'Income Statement Yearly'!E13/'Income Statement Yearly'!E$6*100</f>
        <v>0</v>
      </c>
      <c r="N13" s="91">
        <f>'Income Statement Yearly'!F13/'Income Statement Yearly'!F$6*100</f>
        <v>5.0159412767850515</v>
      </c>
      <c r="O13" s="91">
        <f>'Income Statement Yearly'!G13/'Income Statement Yearly'!G$6*100</f>
        <v>0</v>
      </c>
    </row>
    <row r="14" spans="1:15">
      <c r="A14" s="9" t="s">
        <v>112</v>
      </c>
      <c r="B14" s="27">
        <f t="shared" ref="B14:E14" si="2">SUM(B11:B13)</f>
        <v>3367</v>
      </c>
      <c r="C14" s="27">
        <f t="shared" si="2"/>
        <v>3922</v>
      </c>
      <c r="D14" s="27">
        <f t="shared" si="2"/>
        <v>5864</v>
      </c>
      <c r="E14" s="27">
        <f t="shared" si="2"/>
        <v>7434</v>
      </c>
      <c r="F14" s="27">
        <f>SUM(F11:F13)</f>
        <v>11132</v>
      </c>
      <c r="G14" s="27">
        <f>SUM(G11:G13)</f>
        <v>11329</v>
      </c>
      <c r="H14" s="24"/>
      <c r="J14" s="93">
        <f>'Income Statement Yearly'!B14/'Income Statement Yearly'!B$6*100</f>
        <v>28.73847729600546</v>
      </c>
      <c r="K14" s="93">
        <f>'Income Statement Yearly'!C14/'Income Statement Yearly'!C$6*100</f>
        <v>35.922330097087382</v>
      </c>
      <c r="L14" s="93">
        <f>'Income Statement Yearly'!D14/'Income Statement Yearly'!D$6*100</f>
        <v>35.166416791604199</v>
      </c>
      <c r="M14" s="93">
        <f>'Income Statement Yearly'!E14/'Income Statement Yearly'!E$6*100</f>
        <v>27.62131232815635</v>
      </c>
      <c r="N14" s="93">
        <f>'Income Statement Yearly'!F14/'Income Statement Yearly'!F$6*100</f>
        <v>41.269370504930677</v>
      </c>
      <c r="O14" s="93">
        <f>'Income Statement Yearly'!G14/'Income Statement Yearly'!G$6*100</f>
        <v>18.595909523653194</v>
      </c>
    </row>
    <row r="15" spans="1:15">
      <c r="A15" s="1" t="s">
        <v>124</v>
      </c>
      <c r="B15" s="24">
        <f t="shared" ref="B15:E15" si="3">B9-B14</f>
        <v>3804</v>
      </c>
      <c r="C15" s="24">
        <f t="shared" si="3"/>
        <v>2846</v>
      </c>
      <c r="D15" s="24">
        <f t="shared" si="3"/>
        <v>4532</v>
      </c>
      <c r="E15" s="24">
        <f t="shared" si="3"/>
        <v>10041</v>
      </c>
      <c r="F15" s="24">
        <f>F9-F14</f>
        <v>4224</v>
      </c>
      <c r="G15" s="24">
        <f>G9-G14</f>
        <v>32972</v>
      </c>
      <c r="H15" s="24"/>
      <c r="J15" s="91">
        <f>'Income Statement Yearly'!B15/'Income Statement Yearly'!B$6*100</f>
        <v>32.468419255718679</v>
      </c>
      <c r="K15" s="91">
        <f>'Income Statement Yearly'!C15/'Income Statement Yearly'!C$6*100</f>
        <v>26.067045246382119</v>
      </c>
      <c r="L15" s="91">
        <f>'Income Statement Yearly'!D15/'Income Statement Yearly'!D$6*100</f>
        <v>27.178410794602698</v>
      </c>
      <c r="M15" s="91">
        <f>'Income Statement Yearly'!E15/'Income Statement Yearly'!E$6*100</f>
        <v>37.307720888756776</v>
      </c>
      <c r="N15" s="91">
        <f>'Income Statement Yearly'!F15/'Income Statement Yearly'!F$6*100</f>
        <v>15.65952398606065</v>
      </c>
      <c r="O15" s="91">
        <f>'Income Statement Yearly'!G15/'Income Statement Yearly'!G$6*100</f>
        <v>54.121663766783755</v>
      </c>
    </row>
    <row r="16" spans="1:15">
      <c r="A16" s="1" t="s">
        <v>114</v>
      </c>
      <c r="B16" s="24">
        <v>136</v>
      </c>
      <c r="C16" s="24">
        <v>178</v>
      </c>
      <c r="D16" s="24">
        <v>57</v>
      </c>
      <c r="E16" s="24">
        <v>29</v>
      </c>
      <c r="F16" s="24">
        <v>267</v>
      </c>
      <c r="G16" s="24">
        <v>866</v>
      </c>
      <c r="H16" s="24"/>
      <c r="J16" s="91">
        <f>'Income Statement Yearly'!B16/'Income Statement Yearly'!B$6*100</f>
        <v>1.1608057357459884</v>
      </c>
      <c r="K16" s="91">
        <f>'Income Statement Yearly'!C16/'Income Statement Yearly'!C$6*100</f>
        <v>1.6303352262319109</v>
      </c>
      <c r="L16" s="91">
        <f>'Income Statement Yearly'!D16/'Income Statement Yearly'!D$6*100</f>
        <v>0.34182908545727136</v>
      </c>
      <c r="M16" s="91">
        <f>'Income Statement Yearly'!E16/'Income Statement Yearly'!E$6*100</f>
        <v>0.10775061306383296</v>
      </c>
      <c r="N16" s="91">
        <f>'Income Statement Yearly'!F16/'Income Statement Yearly'!F$6*100</f>
        <v>0.98984207014161785</v>
      </c>
      <c r="O16" s="91">
        <f>'Income Statement Yearly'!G16/'Income Statement Yearly'!G$6*100</f>
        <v>1.421489773809133</v>
      </c>
    </row>
    <row r="17" spans="1:15">
      <c r="A17" s="1" t="s">
        <v>115</v>
      </c>
      <c r="B17" s="49">
        <v>-58</v>
      </c>
      <c r="C17" s="49">
        <v>-52</v>
      </c>
      <c r="D17" s="49">
        <v>-184</v>
      </c>
      <c r="E17" s="49">
        <v>-236</v>
      </c>
      <c r="F17" s="49">
        <v>-262</v>
      </c>
      <c r="G17" s="49">
        <v>-257</v>
      </c>
      <c r="H17" s="49"/>
      <c r="J17" s="91">
        <f>'Income Statement Yearly'!B17/'Income Statement Yearly'!B$6*100</f>
        <v>-0.49504950495049505</v>
      </c>
      <c r="K17" s="91">
        <f>'Income Statement Yearly'!C17/'Income Statement Yearly'!C$6*100</f>
        <v>-0.47627770653965928</v>
      </c>
      <c r="L17" s="91">
        <f>'Income Statement Yearly'!D17/'Income Statement Yearly'!D$6*100</f>
        <v>-1.103448275862069</v>
      </c>
      <c r="M17" s="91">
        <f>'Income Statement Yearly'!E17/'Income Statement Yearly'!E$6*100</f>
        <v>-0.87686705803670961</v>
      </c>
      <c r="N17" s="91">
        <f>'Income Statement Yearly'!F17/'Income Statement Yearly'!F$6*100</f>
        <v>-0.9713057017869059</v>
      </c>
      <c r="O17" s="91">
        <f>'Income Statement Yearly'!G17/'Income Statement Yearly'!G$6*100</f>
        <v>-0.42185089130363412</v>
      </c>
    </row>
    <row r="18" spans="1:15">
      <c r="A18" s="1" t="s">
        <v>116</v>
      </c>
      <c r="B18" s="54">
        <v>14</v>
      </c>
      <c r="C18" s="54">
        <v>-2</v>
      </c>
      <c r="D18" s="54">
        <v>4</v>
      </c>
      <c r="E18" s="54">
        <v>107</v>
      </c>
      <c r="F18" s="54">
        <v>-48</v>
      </c>
      <c r="G18" s="54">
        <v>237</v>
      </c>
      <c r="H18" s="54"/>
      <c r="J18" s="91">
        <f>'Income Statement Yearly'!B18/'Income Statement Yearly'!B$6*100</f>
        <v>0.1194947080914988</v>
      </c>
      <c r="K18" s="91">
        <f>'Income Statement Yearly'!C18/'Income Statement Yearly'!C$6*100</f>
        <v>-1.8318373328448434E-2</v>
      </c>
      <c r="L18" s="91">
        <f>'Income Statement Yearly'!D18/'Income Statement Yearly'!D$6*100</f>
        <v>2.3988005997001498E-2</v>
      </c>
      <c r="M18" s="91">
        <f>'Income Statement Yearly'!E18/'Income Statement Yearly'!E$6*100</f>
        <v>0.39756260682172845</v>
      </c>
      <c r="N18" s="91">
        <f>'Income Statement Yearly'!F18/'Income Statement Yearly'!F$6*100</f>
        <v>-0.17794913620523467</v>
      </c>
      <c r="O18" s="91">
        <f>'Income Statement Yearly'!G18/'Income Statement Yearly'!G$6*100</f>
        <v>0.38902202816716458</v>
      </c>
    </row>
    <row r="19" spans="1:15">
      <c r="A19" s="9" t="s">
        <v>117</v>
      </c>
      <c r="B19" s="50">
        <f t="shared" ref="B19:E19" si="4">SUM(B16:B18)</f>
        <v>92</v>
      </c>
      <c r="C19" s="50">
        <f t="shared" si="4"/>
        <v>124</v>
      </c>
      <c r="D19" s="50">
        <f t="shared" si="4"/>
        <v>-123</v>
      </c>
      <c r="E19" s="50">
        <f t="shared" si="4"/>
        <v>-100</v>
      </c>
      <c r="F19" s="50">
        <f>SUM(F16:F18)</f>
        <v>-43</v>
      </c>
      <c r="G19" s="50">
        <f>SUM(G16:G18)</f>
        <v>846</v>
      </c>
      <c r="H19" s="49"/>
      <c r="J19" s="93">
        <f>'Income Statement Yearly'!B19/'Income Statement Yearly'!B$6*100</f>
        <v>0.78525093888699216</v>
      </c>
      <c r="K19" s="93">
        <f>'Income Statement Yearly'!C19/'Income Statement Yearly'!C$6*100</f>
        <v>1.1357391463638029</v>
      </c>
      <c r="L19" s="93">
        <f>'Income Statement Yearly'!D19/'Income Statement Yearly'!D$6*100</f>
        <v>-0.73763118440779607</v>
      </c>
      <c r="M19" s="93">
        <f>'Income Statement Yearly'!E19/'Income Statement Yearly'!E$6*100</f>
        <v>-0.37155383815114806</v>
      </c>
      <c r="N19" s="93">
        <f>'Income Statement Yearly'!F19/'Income Statement Yearly'!F$6*100</f>
        <v>-0.15941276785052275</v>
      </c>
      <c r="O19" s="93">
        <f>'Income Statement Yearly'!G19/'Income Statement Yearly'!G$6*100</f>
        <v>1.3886609106726633</v>
      </c>
    </row>
    <row r="20" spans="1:15">
      <c r="A20" s="1" t="s">
        <v>118</v>
      </c>
      <c r="B20" s="24">
        <f t="shared" ref="B20:E20" si="5">B15+B19</f>
        <v>3896</v>
      </c>
      <c r="C20" s="24">
        <f t="shared" si="5"/>
        <v>2970</v>
      </c>
      <c r="D20" s="24">
        <f t="shared" si="5"/>
        <v>4409</v>
      </c>
      <c r="E20" s="24">
        <f t="shared" si="5"/>
        <v>9941</v>
      </c>
      <c r="F20" s="24">
        <f>F15+F19</f>
        <v>4181</v>
      </c>
      <c r="G20" s="24">
        <f>G15+G19</f>
        <v>33818</v>
      </c>
      <c r="H20" s="24"/>
      <c r="J20" s="91">
        <f>'Income Statement Yearly'!B20/'Income Statement Yearly'!B$6*100</f>
        <v>33.253670194605668</v>
      </c>
      <c r="K20" s="91">
        <f>'Income Statement Yearly'!C20/'Income Statement Yearly'!C$6*100</f>
        <v>27.202784392745926</v>
      </c>
      <c r="L20" s="91">
        <f>'Income Statement Yearly'!D20/'Income Statement Yearly'!D$6*100</f>
        <v>26.440779610194902</v>
      </c>
      <c r="M20" s="91">
        <f>'Income Statement Yearly'!E20/'Income Statement Yearly'!E$6*100</f>
        <v>36.936167050605633</v>
      </c>
      <c r="N20" s="91">
        <f>'Income Statement Yearly'!F20/'Income Statement Yearly'!F$6*100</f>
        <v>15.500111218210128</v>
      </c>
      <c r="O20" s="91">
        <f>'Income Statement Yearly'!G20/'Income Statement Yearly'!G$6*100</f>
        <v>55.510324677456424</v>
      </c>
    </row>
    <row r="21" spans="1:15">
      <c r="A21" s="1" t="s">
        <v>119</v>
      </c>
      <c r="B21" s="49">
        <v>-245</v>
      </c>
      <c r="C21" s="49">
        <v>174</v>
      </c>
      <c r="D21" s="49">
        <v>77</v>
      </c>
      <c r="E21" s="49">
        <v>189</v>
      </c>
      <c r="F21" s="49">
        <v>-187</v>
      </c>
      <c r="G21" s="49">
        <v>4058</v>
      </c>
      <c r="H21" s="49"/>
      <c r="J21" s="91">
        <f>'Income Statement Yearly'!B21/'Income Statement Yearly'!B$6*100</f>
        <v>-2.0911573916012292</v>
      </c>
      <c r="K21" s="91">
        <f>'Income Statement Yearly'!C21/'Income Statement Yearly'!C$6*100</f>
        <v>1.5936984795750138</v>
      </c>
      <c r="L21" s="91">
        <f>'Income Statement Yearly'!D21/'Income Statement Yearly'!D$6*100</f>
        <v>0.46176911544227889</v>
      </c>
      <c r="M21" s="91">
        <f>'Income Statement Yearly'!E21/'Income Statement Yearly'!E$6*100</f>
        <v>0.70223675410566988</v>
      </c>
      <c r="N21" s="91">
        <f>'Income Statement Yearly'!F21/'Income Statement Yearly'!F$6*100</f>
        <v>-0.69326017646622673</v>
      </c>
      <c r="O21" s="91">
        <f>'Income Statement Yearly'!G21/'Income Statement Yearly'!G$6*100</f>
        <v>6.6609763303896781</v>
      </c>
    </row>
    <row r="22" spans="1:15" ht="17" thickBot="1">
      <c r="A22" s="33" t="s">
        <v>120</v>
      </c>
      <c r="B22" s="34">
        <f t="shared" ref="B22:E22" si="6">B20-B21</f>
        <v>4141</v>
      </c>
      <c r="C22" s="34">
        <f t="shared" si="6"/>
        <v>2796</v>
      </c>
      <c r="D22" s="34">
        <f t="shared" si="6"/>
        <v>4332</v>
      </c>
      <c r="E22" s="34">
        <f t="shared" si="6"/>
        <v>9752</v>
      </c>
      <c r="F22" s="34">
        <f>F20-F21</f>
        <v>4368</v>
      </c>
      <c r="G22" s="34">
        <f>G20-G21</f>
        <v>29760</v>
      </c>
      <c r="H22" s="117"/>
      <c r="J22" s="94">
        <f>'Income Statement Yearly'!B22/'Income Statement Yearly'!B$6*100</f>
        <v>35.344827586206897</v>
      </c>
      <c r="K22" s="94">
        <f>'Income Statement Yearly'!C22/'Income Statement Yearly'!C$6*100</f>
        <v>25.609085913170908</v>
      </c>
      <c r="L22" s="94">
        <f>'Income Statement Yearly'!D22/'Income Statement Yearly'!D$6*100</f>
        <v>25.979010494752625</v>
      </c>
      <c r="M22" s="94">
        <f>'Income Statement Yearly'!E22/'Income Statement Yearly'!E$6*100</f>
        <v>36.233930296499963</v>
      </c>
      <c r="N22" s="94">
        <f>'Income Statement Yearly'!F22/'Income Statement Yearly'!F$6*100</f>
        <v>16.193371394676355</v>
      </c>
      <c r="O22" s="94">
        <f>'Income Statement Yearly'!G22/'Income Statement Yearly'!G$6*100</f>
        <v>48.849348347066737</v>
      </c>
    </row>
    <row r="23" spans="1:15" ht="17" thickTop="1">
      <c r="A23" s="98" t="s">
        <v>191</v>
      </c>
      <c r="B23" s="100"/>
      <c r="C23" s="101">
        <f>C22/B22-1</f>
        <v>-0.3248007727602028</v>
      </c>
      <c r="D23" s="101">
        <f t="shared" ref="D23" si="7">D22/C22-1</f>
        <v>0.54935622317596566</v>
      </c>
      <c r="E23" s="101">
        <f t="shared" ref="E23" si="8">E22/D22-1</f>
        <v>1.2511542012927053</v>
      </c>
      <c r="F23" s="101">
        <f t="shared" ref="F23" si="9">F22/E22-1</f>
        <v>-0.55209187858900743</v>
      </c>
      <c r="G23" s="101">
        <f t="shared" ref="G23" si="10">G22/F22-1</f>
        <v>5.813186813186813</v>
      </c>
      <c r="H23" s="101"/>
      <c r="J23" s="99"/>
      <c r="K23" s="99"/>
      <c r="L23" s="99"/>
      <c r="M23" s="99"/>
      <c r="N23" s="99"/>
      <c r="O23" s="99"/>
    </row>
    <row r="24" spans="1:15">
      <c r="J24" s="72"/>
      <c r="K24" s="72"/>
      <c r="L24" s="72"/>
      <c r="M24" s="72"/>
      <c r="N24" s="72"/>
      <c r="O24" s="72"/>
    </row>
    <row r="25" spans="1:15">
      <c r="A25" s="63" t="s">
        <v>217</v>
      </c>
      <c r="B25" s="59">
        <f>B15+'Statement of Cash Flow'!B11</f>
        <v>4066</v>
      </c>
      <c r="C25" s="59">
        <f>C15+'Statement of Cash Flow'!C11</f>
        <v>3227</v>
      </c>
      <c r="D25" s="59">
        <f>D15+'Statement of Cash Flow'!D11</f>
        <v>5630</v>
      </c>
      <c r="E25" s="59">
        <f>E15+'Statement of Cash Flow'!E11</f>
        <v>11215</v>
      </c>
      <c r="F25" s="59">
        <f>F15+'Statement of Cash Flow'!F11</f>
        <v>5768</v>
      </c>
      <c r="G25" s="59">
        <f>G15+'Statement of Cash Flow'!G11</f>
        <v>34480</v>
      </c>
      <c r="H25" s="8"/>
      <c r="J25" s="71">
        <f>'Income Statement Yearly'!B25/'Income Statement Yearly'!B6</f>
        <v>0.34704677364288156</v>
      </c>
      <c r="K25" s="71">
        <f>'Income Statement Yearly'!C25/'Income Statement Yearly'!C6</f>
        <v>0.29556695365451546</v>
      </c>
      <c r="L25" s="71">
        <f>'Income Statement Yearly'!D25/'Income Statement Yearly'!D6</f>
        <v>0.3376311844077961</v>
      </c>
      <c r="M25" s="71">
        <f>'Income Statement Yearly'!E25/'Income Statement Yearly'!E6</f>
        <v>0.41669762948651262</v>
      </c>
      <c r="N25" s="71">
        <f>'Income Statement Yearly'!F25/'Income Statement Yearly'!F6</f>
        <v>0.21383554533995699</v>
      </c>
      <c r="O25" s="71">
        <f>'Income Statement Yearly'!G25/'Income Statement Yearly'!G6</f>
        <v>0.56596960047273559</v>
      </c>
    </row>
    <row r="26" spans="1:15">
      <c r="G26" s="20">
        <f>'Cost of Capital'!E14/'Income Statement Yearly'!G25</f>
        <v>61.213965487238973</v>
      </c>
    </row>
    <row r="27" spans="1:15">
      <c r="A27" s="1" t="s">
        <v>172</v>
      </c>
      <c r="B27" s="64">
        <f t="shared" ref="B27:G27" si="11">B22/B28</f>
        <v>1.7090383821708626</v>
      </c>
      <c r="C27" s="64">
        <f t="shared" si="11"/>
        <v>1.1412244897959183</v>
      </c>
      <c r="D27" s="64">
        <f t="shared" si="11"/>
        <v>1.7474788221056878</v>
      </c>
      <c r="E27" s="64">
        <f t="shared" si="11"/>
        <v>3.89146049481245</v>
      </c>
      <c r="F27" s="64">
        <f t="shared" si="11"/>
        <v>1.7712895377128954</v>
      </c>
      <c r="G27" s="64">
        <f t="shared" si="11"/>
        <v>12.077922077922079</v>
      </c>
      <c r="H27" s="64"/>
    </row>
    <row r="28" spans="1:15">
      <c r="A28" s="1" t="s">
        <v>173</v>
      </c>
      <c r="B28" s="54">
        <v>2423</v>
      </c>
      <c r="C28" s="54">
        <v>2450</v>
      </c>
      <c r="D28" s="54">
        <v>2479</v>
      </c>
      <c r="E28" s="54">
        <v>2506</v>
      </c>
      <c r="F28" s="54">
        <v>2466</v>
      </c>
      <c r="G28" s="54">
        <v>2464</v>
      </c>
      <c r="H28" s="54"/>
    </row>
    <row r="29" spans="1:15">
      <c r="A29" s="1" t="s">
        <v>174</v>
      </c>
      <c r="B29" s="28">
        <v>39.799999999999997</v>
      </c>
      <c r="C29" s="28">
        <v>73.52</v>
      </c>
      <c r="D29" s="28">
        <v>133.07</v>
      </c>
      <c r="E29" s="28">
        <v>245.07</v>
      </c>
      <c r="F29" s="28">
        <v>236.64</v>
      </c>
      <c r="G29" s="28">
        <v>785.38</v>
      </c>
      <c r="H29" s="28"/>
    </row>
  </sheetData>
  <pageMargins left="0.7" right="0.7" top="0.75" bottom="0.75" header="0.3" footer="0.3"/>
  <pageSetup scale="9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6B97-EB4B-004B-88D9-0D2B04FE8EB3}">
  <dimension ref="A1:Y41"/>
  <sheetViews>
    <sheetView zoomScale="140" zoomScaleNormal="140" workbookViewId="0">
      <pane xSplit="1" ySplit="5" topLeftCell="O25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6"/>
  <cols>
    <col min="1" max="1" width="44.83203125" style="1" bestFit="1" customWidth="1"/>
    <col min="2" max="6" width="10.83203125" style="1" customWidth="1"/>
    <col min="7" max="7" width="5.83203125" style="1" customWidth="1"/>
    <col min="8" max="12" width="10.83203125" style="1" customWidth="1"/>
    <col min="13" max="13" width="5.83203125" style="1" customWidth="1"/>
    <col min="14" max="18" width="10.83203125" style="1" customWidth="1"/>
    <col min="19" max="19" width="5.83203125" style="1" customWidth="1"/>
    <col min="20" max="24" width="10.83203125" style="1" customWidth="1"/>
    <col min="25" max="16384" width="10.83203125" style="1"/>
  </cols>
  <sheetData>
    <row r="1" spans="1:24">
      <c r="A1" s="2" t="s">
        <v>27</v>
      </c>
    </row>
    <row r="2" spans="1:24">
      <c r="A2" s="2" t="s">
        <v>121</v>
      </c>
    </row>
    <row r="4" spans="1:24">
      <c r="A4" s="3" t="s">
        <v>0</v>
      </c>
      <c r="B4" s="136" t="s">
        <v>80</v>
      </c>
      <c r="C4" s="136"/>
      <c r="D4" s="136"/>
      <c r="E4" s="136"/>
      <c r="F4" s="136"/>
      <c r="G4" s="4"/>
      <c r="H4" s="136" t="s">
        <v>83</v>
      </c>
      <c r="I4" s="136"/>
      <c r="J4" s="136"/>
      <c r="K4" s="136"/>
      <c r="L4" s="136"/>
      <c r="M4" s="9"/>
      <c r="N4" s="136" t="s">
        <v>64</v>
      </c>
      <c r="O4" s="136"/>
      <c r="P4" s="136"/>
      <c r="Q4" s="136"/>
      <c r="R4" s="136"/>
      <c r="S4" s="4"/>
      <c r="T4" s="136" t="s">
        <v>62</v>
      </c>
      <c r="U4" s="136"/>
      <c r="V4" s="136"/>
      <c r="W4" s="136"/>
      <c r="X4" s="136"/>
    </row>
    <row r="5" spans="1:24">
      <c r="A5" s="3" t="s">
        <v>61</v>
      </c>
      <c r="B5" s="43" t="s">
        <v>76</v>
      </c>
      <c r="C5" s="43" t="s">
        <v>75</v>
      </c>
      <c r="D5" s="43" t="s">
        <v>63</v>
      </c>
      <c r="E5" s="43" t="s">
        <v>77</v>
      </c>
      <c r="F5" s="43" t="s">
        <v>81</v>
      </c>
      <c r="G5" s="43"/>
      <c r="H5" s="43" t="s">
        <v>76</v>
      </c>
      <c r="I5" s="43" t="s">
        <v>75</v>
      </c>
      <c r="J5" s="43" t="s">
        <v>63</v>
      </c>
      <c r="K5" s="43" t="s">
        <v>77</v>
      </c>
      <c r="L5" s="43" t="s">
        <v>82</v>
      </c>
      <c r="M5" s="9"/>
      <c r="N5" s="43" t="s">
        <v>76</v>
      </c>
      <c r="O5" s="43" t="s">
        <v>75</v>
      </c>
      <c r="P5" s="43" t="s">
        <v>63</v>
      </c>
      <c r="Q5" s="43" t="s">
        <v>77</v>
      </c>
      <c r="R5" s="43" t="s">
        <v>79</v>
      </c>
      <c r="S5" s="43"/>
      <c r="T5" s="43" t="s">
        <v>76</v>
      </c>
      <c r="U5" s="43" t="s">
        <v>75</v>
      </c>
      <c r="V5" s="43" t="s">
        <v>63</v>
      </c>
      <c r="W5" s="43" t="s">
        <v>77</v>
      </c>
      <c r="X5" s="43" t="s">
        <v>78</v>
      </c>
    </row>
    <row r="7" spans="1:24">
      <c r="A7" s="1" t="s">
        <v>74</v>
      </c>
      <c r="B7" s="29">
        <f>'Forecasted Statements Combined'!K7/'Forecasted Statements Combined'!K$7</f>
        <v>1</v>
      </c>
      <c r="C7" s="29">
        <f>'Forecasted Statements Combined'!L7/'Forecasted Statements Combined'!L$7</f>
        <v>1</v>
      </c>
      <c r="D7" s="29">
        <f>'Forecasted Statements Combined'!M7/'Forecasted Statements Combined'!M$7</f>
        <v>1</v>
      </c>
      <c r="E7" s="29">
        <f>'Forecasted Statements Combined'!N7/'Forecasted Statements Combined'!N$7</f>
        <v>1</v>
      </c>
      <c r="F7" s="29">
        <f>'Forecasted Statements Combined'!O7/'Forecasted Statements Combined'!O$7</f>
        <v>1</v>
      </c>
      <c r="G7" s="29"/>
      <c r="H7" s="29">
        <f>'Forecasted Statements Combined'!Q7/'Forecasted Statements Combined'!Q$7</f>
        <v>1</v>
      </c>
      <c r="I7" s="29">
        <f>'Forecasted Statements Combined'!R7/'Forecasted Statements Combined'!R$7</f>
        <v>1</v>
      </c>
      <c r="J7" s="29">
        <f>'Forecasted Statements Combined'!S7/'Forecasted Statements Combined'!S$7</f>
        <v>1</v>
      </c>
      <c r="K7" s="29">
        <f>'Forecasted Statements Combined'!T7/'Forecasted Statements Combined'!T$7</f>
        <v>1</v>
      </c>
      <c r="L7" s="29">
        <f>'Forecasted Statements Combined'!U7/'Forecasted Statements Combined'!U$7</f>
        <v>1</v>
      </c>
      <c r="M7" s="29"/>
      <c r="N7" s="29">
        <f>'Forecasted Statements Combined'!W7/'Forecasted Statements Combined'!W$7</f>
        <v>1</v>
      </c>
      <c r="O7" s="29">
        <f>'Forecasted Statements Combined'!X7/'Forecasted Statements Combined'!X$7</f>
        <v>1</v>
      </c>
      <c r="P7" s="29">
        <f>'Forecasted Statements Combined'!Y7/'Forecasted Statements Combined'!Y$7</f>
        <v>1</v>
      </c>
      <c r="Q7" s="29">
        <f>'Forecasted Statements Combined'!Z7/'Forecasted Statements Combined'!Z$7</f>
        <v>1</v>
      </c>
      <c r="R7" s="29">
        <f>'Forecasted Statements Combined'!AA7/'Forecasted Statements Combined'!AA$7</f>
        <v>1</v>
      </c>
      <c r="S7" s="29"/>
      <c r="T7" s="29">
        <f>'Forecasted Statements Combined'!AC7/'Forecasted Statements Combined'!AC$7</f>
        <v>1</v>
      </c>
      <c r="U7" s="29">
        <f>'Forecasted Statements Combined'!AD7/'Forecasted Statements Combined'!AD$7</f>
        <v>1</v>
      </c>
      <c r="V7" s="29">
        <f>'Forecasted Statements Combined'!AE7/'Forecasted Statements Combined'!AE$7</f>
        <v>1</v>
      </c>
      <c r="W7" s="29">
        <f>'Forecasted Statements Combined'!AF7/'Forecasted Statements Combined'!AF$7</f>
        <v>1</v>
      </c>
      <c r="X7" s="29">
        <f>'Forecasted Statements Combined'!AG7/'Forecasted Statements Combined'!AG$7</f>
        <v>1</v>
      </c>
    </row>
    <row r="8" spans="1:24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A9" s="1" t="s">
        <v>125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>
      <c r="A10" s="1" t="s">
        <v>65</v>
      </c>
      <c r="B10" s="45">
        <f>'Forecasted Statements Combined'!K11/'Forecasted Statements Combined'!K$7*100</f>
        <v>37.045454545454547</v>
      </c>
      <c r="C10" s="45">
        <f>'Forecasted Statements Combined'!L11/'Forecasted Statements Combined'!L$7*100</f>
        <v>45.318158303155712</v>
      </c>
      <c r="D10" s="45">
        <f>'Forecasted Statements Combined'!M11/'Forecasted Statements Combined'!M$7*100</f>
        <v>40.203131612357176</v>
      </c>
      <c r="E10" s="45">
        <f>'Forecasted Statements Combined'!N11/'Forecasted Statements Combined'!N$7*100</f>
        <v>38.037177693383974</v>
      </c>
      <c r="F10" s="45">
        <f>'Forecasted Statements Combined'!O11/'Forecasted Statements Combined'!O$7*100</f>
        <v>40.155922038980506</v>
      </c>
      <c r="G10" s="45"/>
      <c r="H10" s="45">
        <f>'Forecasted Statements Combined'!Q11/'Forecasted Statements Combined'!Q$7*100</f>
        <v>36.177353824412648</v>
      </c>
      <c r="I10" s="45">
        <f>'Forecasted Statements Combined'!R11/'Forecasted Statements Combined'!R$7*100</f>
        <v>36.360842169970802</v>
      </c>
      <c r="J10" s="45">
        <f>'Forecasted Statements Combined'!S11/'Forecasted Statements Combined'!S$7*100</f>
        <v>41.334647332113192</v>
      </c>
      <c r="K10" s="45">
        <f>'Forecasted Statements Combined'!T11/'Forecasted Statements Combined'!T$7*100</f>
        <v>42.692659950281303</v>
      </c>
      <c r="L10" s="45">
        <f>'Forecasted Statements Combined'!U11/'Forecasted Statements Combined'!U$7*100</f>
        <v>39.433008842981351</v>
      </c>
      <c r="M10" s="45"/>
      <c r="N10" s="45">
        <f>'Forecasted Statements Combined'!W11/'Forecasted Statements Combined'!W$7*100</f>
        <v>45.246138996138995</v>
      </c>
      <c r="O10" s="45">
        <f>'Forecasted Statements Combined'!X11/'Forecasted Statements Combined'!X$7*100</f>
        <v>56.772076372315041</v>
      </c>
      <c r="P10" s="45">
        <f>'Forecasted Statements Combined'!Y11/'Forecasted Statements Combined'!Y$7*100</f>
        <v>64.626538526386781</v>
      </c>
      <c r="Q10" s="45">
        <f>'Forecasted Statements Combined'!Z11/'Forecasted Statements Combined'!Z$7*100</f>
        <v>59.758717567344242</v>
      </c>
      <c r="R10" s="45">
        <f>'Forecasted Statements Combined'!AA11/'Forecasted Statements Combined'!AA$7*100</f>
        <v>55.627641432490549</v>
      </c>
      <c r="S10" s="45"/>
      <c r="T10" s="45">
        <f>'Forecasted Statements Combined'!AC11/'Forecasted Statements Combined'!AC$7*100</f>
        <v>59.566184649610676</v>
      </c>
      <c r="U10" s="45">
        <f>'Forecasted Statements Combined'!AD11/'Forecasted Statements Combined'!AD$7*100</f>
        <v>76.427037832235129</v>
      </c>
      <c r="V10" s="45">
        <f>'Forecasted Statements Combined'!AE11/'Forecasted Statements Combined'!AE$7*100</f>
        <v>80.099337748344368</v>
      </c>
      <c r="W10" s="45">
        <f>'Forecasted Statements Combined'!AF11/'Forecasted Statements Combined'!AF$7*100</f>
        <v>83.264715197032075</v>
      </c>
      <c r="X10" s="45">
        <f>'Forecasted Statements Combined'!AG11/'Forecasted Statements Combined'!AG$7*100</f>
        <v>78.009586028035855</v>
      </c>
    </row>
    <row r="11" spans="1:24">
      <c r="A11" s="1" t="s">
        <v>66</v>
      </c>
      <c r="B11" s="45">
        <f>'Forecasted Statements Combined'!K14/'Forecasted Statements Combined'!K$7*100</f>
        <v>43.474025974025977</v>
      </c>
      <c r="C11" s="45">
        <f>'Forecasted Statements Combined'!L14/'Forecasted Statements Combined'!L$7*100</f>
        <v>42.783238489394726</v>
      </c>
      <c r="D11" s="45">
        <f>'Forecasted Statements Combined'!M14/'Forecasted Statements Combined'!M$7*100</f>
        <v>48.053322048243757</v>
      </c>
      <c r="E11" s="45">
        <f>'Forecasted Statements Combined'!N14/'Forecasted Statements Combined'!N$7*100</f>
        <v>49.870077953228062</v>
      </c>
      <c r="F11" s="45">
        <f>'Forecasted Statements Combined'!O14/'Forecasted Statements Combined'!O$7*100</f>
        <v>46.530734632683654</v>
      </c>
      <c r="G11" s="45"/>
      <c r="H11" s="45">
        <f>'Forecasted Statements Combined'!Q14/'Forecasted Statements Combined'!Q$7*100</f>
        <v>48.754636989931107</v>
      </c>
      <c r="I11" s="45">
        <f>'Forecasted Statements Combined'!R14/'Forecasted Statements Combined'!R$7*100</f>
        <v>47.041647456585217</v>
      </c>
      <c r="J11" s="45">
        <f>'Forecasted Statements Combined'!S14/'Forecasted Statements Combined'!S$7*100</f>
        <v>45.347036463466139</v>
      </c>
      <c r="K11" s="45">
        <f>'Forecasted Statements Combined'!T14/'Forecasted Statements Combined'!T$7*100</f>
        <v>44.74682716210912</v>
      </c>
      <c r="L11" s="45">
        <f>'Forecasted Statements Combined'!U14/'Forecasted Statements Combined'!U$7*100</f>
        <v>46.303039310396073</v>
      </c>
      <c r="M11" s="45"/>
      <c r="N11" s="45">
        <f>'Forecasted Statements Combined'!W14/'Forecasted Statements Combined'!W$7*100</f>
        <v>43.677606177606179</v>
      </c>
      <c r="O11" s="45">
        <f>'Forecasted Statements Combined'!X14/'Forecasted Statements Combined'!X$7*100</f>
        <v>30.45942720763723</v>
      </c>
      <c r="P11" s="45">
        <f>'Forecasted Statements Combined'!Y14/'Forecasted Statements Combined'!Y$7*100</f>
        <v>26.538526386781321</v>
      </c>
      <c r="Q11" s="45">
        <f>'Forecasted Statements Combined'!Z14/'Forecasted Statements Combined'!Z$7*100</f>
        <v>30.259461246075031</v>
      </c>
      <c r="R11" s="45">
        <f>'Forecasted Statements Combined'!AA14/'Forecasted Statements Combined'!AA$7*100</f>
        <v>33.613850374434641</v>
      </c>
      <c r="S11" s="45"/>
      <c r="T11" s="45">
        <f>'Forecasted Statements Combined'!AC14/'Forecasted Statements Combined'!AC$7*100</f>
        <v>31.145717463848722</v>
      </c>
      <c r="U11" s="45">
        <f>'Forecasted Statements Combined'!AD14/'Forecasted Statements Combined'!AD$7*100</f>
        <v>18.405271340786257</v>
      </c>
      <c r="V11" s="45">
        <f>'Forecasted Statements Combined'!AE14/'Forecasted Statements Combined'!AE$7*100</f>
        <v>15.761589403973511</v>
      </c>
      <c r="W11" s="45">
        <f>'Forecasted Statements Combined'!AF14/'Forecasted Statements Combined'!AF$7*100</f>
        <v>12.96204135185269</v>
      </c>
      <c r="X11" s="45">
        <f>'Forecasted Statements Combined'!AG14/'Forecasted Statements Combined'!AG$7*100</f>
        <v>17.148156659334887</v>
      </c>
    </row>
    <row r="12" spans="1:24">
      <c r="A12" s="1" t="s">
        <v>67</v>
      </c>
      <c r="B12" s="45">
        <f>'Forecasted Statements Combined'!K17/'Forecasted Statements Combined'!K$7*100</f>
        <v>9.9675324675324681</v>
      </c>
      <c r="C12" s="45">
        <f>'Forecasted Statements Combined'!L17/'Forecasted Statements Combined'!L$7*100</f>
        <v>5.2509053285049143</v>
      </c>
      <c r="D12" s="45">
        <f>'Forecasted Statements Combined'!M17/'Forecasted Statements Combined'!M$7*100</f>
        <v>4.9936521371138385</v>
      </c>
      <c r="E12" s="45">
        <f>'Forecasted Statements Combined'!N17/'Forecasted Statements Combined'!N$7*100</f>
        <v>6.1363182090745552</v>
      </c>
      <c r="F12" s="45">
        <f>'Forecasted Statements Combined'!O17/'Forecasted Statements Combined'!O$7*100</f>
        <v>6.3148425787106444</v>
      </c>
      <c r="G12" s="45"/>
      <c r="H12" s="45">
        <f>'Forecasted Statements Combined'!Q17/'Forecasted Statements Combined'!Q$7*100</f>
        <v>6.5712771595124533</v>
      </c>
      <c r="I12" s="45">
        <f>'Forecasted Statements Combined'!R17/'Forecasted Statements Combined'!R$7*100</f>
        <v>7.976025818349469</v>
      </c>
      <c r="J12" s="45">
        <f>'Forecasted Statements Combined'!S17/'Forecasted Statements Combined'!S$7*100</f>
        <v>8.1233281711952703</v>
      </c>
      <c r="K12" s="45">
        <f>'Forecasted Statements Combined'!T17/'Forecasted Statements Combined'!T$7*100</f>
        <v>8.4129268611801642</v>
      </c>
      <c r="L12" s="45">
        <f>'Forecasted Statements Combined'!U17/'Forecasted Statements Combined'!U$7*100</f>
        <v>7.8435015233707368</v>
      </c>
      <c r="M12" s="45"/>
      <c r="N12" s="45">
        <f>'Forecasted Statements Combined'!W17/'Forecasted Statements Combined'!W$7*100</f>
        <v>7.5048262548262548</v>
      </c>
      <c r="O12" s="45">
        <f>'Forecasted Statements Combined'!X17/'Forecasted Statements Combined'!X$7*100</f>
        <v>7.3985680190930783</v>
      </c>
      <c r="P12" s="45">
        <f>'Forecasted Statements Combined'!Y17/'Forecasted Statements Combined'!Y$7*100</f>
        <v>3.3721126285617942</v>
      </c>
      <c r="Q12" s="45">
        <f>'Forecasted Statements Combined'!Z17/'Forecasted Statements Combined'!Z$7*100</f>
        <v>3.7349198479590151</v>
      </c>
      <c r="R12" s="45">
        <f>'Forecasted Statements Combined'!AA17/'Forecasted Statements Combined'!AA$7*100</f>
        <v>5.7240305479350484</v>
      </c>
      <c r="S12" s="45"/>
      <c r="T12" s="45">
        <f>'Forecasted Statements Combined'!AC17/'Forecasted Statements Combined'!AC$7*100</f>
        <v>4.1017797552836486</v>
      </c>
      <c r="U12" s="45">
        <f>'Forecasted Statements Combined'!AD17/'Forecasted Statements Combined'!AD$7*100</f>
        <v>2.8059524690901014</v>
      </c>
      <c r="V12" s="45">
        <f>'Forecasted Statements Combined'!AE17/'Forecasted Statements Combined'!AE$7*100</f>
        <v>2.295805739514349</v>
      </c>
      <c r="W12" s="45">
        <f>'Forecasted Statements Combined'!AF17/'Forecasted Statements Combined'!AF$7*100</f>
        <v>2.0947382708229654</v>
      </c>
      <c r="X12" s="45">
        <f>'Forecasted Statements Combined'!AG17/'Forecasted Statements Combined'!AG$7*100</f>
        <v>2.5491612225468634</v>
      </c>
    </row>
    <row r="13" spans="1:24">
      <c r="A13" s="1" t="s">
        <v>68</v>
      </c>
      <c r="B13" s="45">
        <f>'Forecasted Statements Combined'!K20/'Forecasted Statements Combined'!K$7*100</f>
        <v>5.0324675324675328</v>
      </c>
      <c r="C13" s="45">
        <f>'Forecasted Statements Combined'!L20/'Forecasted Statements Combined'!L$7*100</f>
        <v>2.8711846870150026</v>
      </c>
      <c r="D13" s="45">
        <f>'Forecasted Statements Combined'!M20/'Forecasted Statements Combined'!M$7*100</f>
        <v>2.6449428692340247</v>
      </c>
      <c r="E13" s="45">
        <f>'Forecasted Statements Combined'!N20/'Forecasted Statements Combined'!N$7*100</f>
        <v>2.8982610433739753</v>
      </c>
      <c r="F13" s="45">
        <f>'Forecasted Statements Combined'!O20/'Forecasted Statements Combined'!O$7*100</f>
        <v>3.214392803598201</v>
      </c>
      <c r="G13" s="45"/>
      <c r="H13" s="45">
        <f>'Forecasted Statements Combined'!Q20/'Forecasted Statements Combined'!Q$7*100</f>
        <v>2.720367426249779</v>
      </c>
      <c r="I13" s="45">
        <f>'Forecasted Statements Combined'!R20/'Forecasted Statements Combined'!R$7*100</f>
        <v>2.3359459044106345</v>
      </c>
      <c r="J13" s="45">
        <f>'Forecasted Statements Combined'!S20/'Forecasted Statements Combined'!S$7*100</f>
        <v>1.900605378009292</v>
      </c>
      <c r="K13" s="45">
        <f>'Forecasted Statements Combined'!T20/'Forecasted Statements Combined'!T$7*100</f>
        <v>1.635483448907497</v>
      </c>
      <c r="L13" s="45">
        <f>'Forecasted Statements Combined'!U20/'Forecasted Statements Combined'!U$7*100</f>
        <v>2.1029947239354985</v>
      </c>
      <c r="M13" s="45"/>
      <c r="N13" s="45">
        <f>'Forecasted Statements Combined'!W20/'Forecasted Statements Combined'!W$7*100</f>
        <v>1.6650579150579152</v>
      </c>
      <c r="O13" s="45">
        <f>'Forecasted Statements Combined'!X20/'Forecasted Statements Combined'!X$7*100</f>
        <v>3.281622911694511</v>
      </c>
      <c r="P13" s="45">
        <f>'Forecasted Statements Combined'!Y20/'Forecasted Statements Combined'!Y$7*100</f>
        <v>4.232001348845051</v>
      </c>
      <c r="Q13" s="45">
        <f>'Forecasted Statements Combined'!Z20/'Forecasted Statements Combined'!Z$7*100</f>
        <v>4.8587010411502227</v>
      </c>
      <c r="R13" s="45">
        <f>'Forecasted Statements Combined'!AA20/'Forecasted Statements Combined'!AA$7*100</f>
        <v>3.3476681248609772</v>
      </c>
      <c r="S13" s="45"/>
      <c r="T13" s="45">
        <f>'Forecasted Statements Combined'!AC20/'Forecasted Statements Combined'!AC$7*100</f>
        <v>4.1156840934371521</v>
      </c>
      <c r="U13" s="45">
        <f>'Forecasted Statements Combined'!AD20/'Forecasted Statements Combined'!AD$7*100</f>
        <v>1.8731028355667434</v>
      </c>
      <c r="V13" s="45">
        <f>'Forecasted Statements Combined'!AE20/'Forecasted Statements Combined'!AE$7*100</f>
        <v>1.4403973509933774</v>
      </c>
      <c r="W13" s="45">
        <f>'Forecasted Statements Combined'!AF20/'Forecasted Statements Combined'!AF$7*100</f>
        <v>1.2713206352078903</v>
      </c>
      <c r="X13" s="45">
        <f>'Forecasted Statements Combined'!AG20/'Forecasted Statements Combined'!AG$7*100</f>
        <v>1.7908144840944158</v>
      </c>
    </row>
    <row r="14" spans="1:24">
      <c r="A14" s="1" t="s">
        <v>73</v>
      </c>
      <c r="B14" s="45">
        <f>'Forecasted Statements Combined'!K23/'Forecasted Statements Combined'!K$7*100</f>
        <v>4.4805194805194803</v>
      </c>
      <c r="C14" s="45">
        <f>'Forecasted Statements Combined'!L23/'Forecasted Statements Combined'!L$7*100</f>
        <v>3.7765131919296433</v>
      </c>
      <c r="D14" s="45">
        <f>'Forecasted Statements Combined'!M23/'Forecasted Statements Combined'!M$7*100</f>
        <v>4.104951333051206</v>
      </c>
      <c r="E14" s="45">
        <f>'Forecasted Statements Combined'!N23/'Forecasted Statements Combined'!N$7*100</f>
        <v>3.0581651009394362</v>
      </c>
      <c r="F14" s="45">
        <f>'Forecasted Statements Combined'!O23/'Forecasted Statements Combined'!O$7*100</f>
        <v>3.7841079460269862</v>
      </c>
      <c r="G14" s="45"/>
      <c r="H14" s="45">
        <f>'Forecasted Statements Combined'!Q23/'Forecasted Statements Combined'!Q$7*100</f>
        <v>5.776364599894011</v>
      </c>
      <c r="I14" s="45">
        <f>'Forecasted Statements Combined'!R23/'Forecasted Statements Combined'!R$7*100</f>
        <v>6.2855386506838791</v>
      </c>
      <c r="J14" s="45">
        <f>'Forecasted Statements Combined'!S23/'Forecasted Statements Combined'!S$7*100</f>
        <v>3.2943826552161055</v>
      </c>
      <c r="K14" s="45">
        <f>'Forecasted Statements Combined'!T23/'Forecasted Statements Combined'!T$7*100</f>
        <v>2.5121025775219152</v>
      </c>
      <c r="L14" s="45">
        <f>'Forecasted Statements Combined'!U23/'Forecasted Statements Combined'!U$7*100</f>
        <v>4.3174555993163413</v>
      </c>
      <c r="M14" s="45"/>
      <c r="N14" s="45">
        <f>'Forecasted Statements Combined'!W23/'Forecasted Statements Combined'!W$7*100</f>
        <v>1.9063706563706564</v>
      </c>
      <c r="O14" s="45">
        <f>'Forecasted Statements Combined'!X23/'Forecasted Statements Combined'!X$7*100</f>
        <v>2.0883054892601431</v>
      </c>
      <c r="P14" s="45">
        <f>'Forecasted Statements Combined'!Y23/'Forecasted Statements Combined'!Y$7*100</f>
        <v>1.2308211094250547</v>
      </c>
      <c r="Q14" s="45">
        <f>'Forecasted Statements Combined'!Z23/'Forecasted Statements Combined'!Z$7*100</f>
        <v>1.3882002974714922</v>
      </c>
      <c r="R14" s="45">
        <f>'Forecasted Statements Combined'!AA23/'Forecasted Statements Combined'!AA$7*100</f>
        <v>1.6868095202787869</v>
      </c>
      <c r="S14" s="45"/>
      <c r="T14" s="45">
        <f>'Forecasted Statements Combined'!AC23/'Forecasted Statements Combined'!AC$7*100</f>
        <v>1.0706340378197998</v>
      </c>
      <c r="U14" s="45">
        <f>'Forecasted Statements Combined'!AD23/'Forecasted Statements Combined'!AD$7*100</f>
        <v>0.48863552232175905</v>
      </c>
      <c r="V14" s="45">
        <f>'Forecasted Statements Combined'!AE23/'Forecasted Statements Combined'!AE$7*100</f>
        <v>0.40286975717439294</v>
      </c>
      <c r="W14" s="45">
        <f>'Forecasted Statements Combined'!AF23/'Forecasted Statements Combined'!AF$7*100</f>
        <v>0.40718454508437762</v>
      </c>
      <c r="X14" s="45">
        <f>'Forecasted Statements Combined'!AG23/'Forecasted Statements Combined'!AG$7*100</f>
        <v>0.50228160598798466</v>
      </c>
    </row>
    <row r="15" spans="1:24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>
      <c r="A16" s="1" t="s">
        <v>74</v>
      </c>
      <c r="B16" s="29">
        <f>'Forecasted Statements Combined'!K26/'Forecasted Statements Combined'!K$7</f>
        <v>1</v>
      </c>
      <c r="C16" s="29">
        <f>'Forecasted Statements Combined'!L26/'Forecasted Statements Combined'!L$7</f>
        <v>1</v>
      </c>
      <c r="D16" s="29">
        <f>'Forecasted Statements Combined'!M26/'Forecasted Statements Combined'!M$7</f>
        <v>1</v>
      </c>
      <c r="E16" s="29">
        <f>'Forecasted Statements Combined'!N26/'Forecasted Statements Combined'!N$7</f>
        <v>1</v>
      </c>
      <c r="F16" s="29">
        <f>'Forecasted Statements Combined'!O26/'Forecasted Statements Combined'!O$7</f>
        <v>1</v>
      </c>
      <c r="G16" s="29"/>
      <c r="H16" s="29">
        <f>'Forecasted Statements Combined'!Q26/'Forecasted Statements Combined'!Q$7</f>
        <v>1</v>
      </c>
      <c r="I16" s="29">
        <f>'Forecasted Statements Combined'!R26/'Forecasted Statements Combined'!R$7</f>
        <v>1</v>
      </c>
      <c r="J16" s="29">
        <f>'Forecasted Statements Combined'!S26/'Forecasted Statements Combined'!S$7</f>
        <v>1</v>
      </c>
      <c r="K16" s="29">
        <f>'Forecasted Statements Combined'!T26/'Forecasted Statements Combined'!T$7</f>
        <v>1</v>
      </c>
      <c r="L16" s="29">
        <f>'Forecasted Statements Combined'!U26/'Forecasted Statements Combined'!U$7</f>
        <v>1</v>
      </c>
      <c r="M16" s="29"/>
      <c r="N16" s="29">
        <f>'Forecasted Statements Combined'!W26/'Forecasted Statements Combined'!W$7</f>
        <v>1</v>
      </c>
      <c r="O16" s="29">
        <f>'Forecasted Statements Combined'!X26/'Forecasted Statements Combined'!X$7</f>
        <v>1</v>
      </c>
      <c r="P16" s="29">
        <f>'Forecasted Statements Combined'!Y26/'Forecasted Statements Combined'!Y$7</f>
        <v>1</v>
      </c>
      <c r="Q16" s="29">
        <f>'Forecasted Statements Combined'!Z26/'Forecasted Statements Combined'!Z$7</f>
        <v>1</v>
      </c>
      <c r="R16" s="29">
        <f>'Forecasted Statements Combined'!AA26/'Forecasted Statements Combined'!AA$7</f>
        <v>1</v>
      </c>
      <c r="S16" s="29"/>
      <c r="T16" s="29">
        <f>'Forecasted Statements Combined'!AC26/'Forecasted Statements Combined'!AC$7</f>
        <v>1</v>
      </c>
      <c r="U16" s="29">
        <f>'Forecasted Statements Combined'!AD26/'Forecasted Statements Combined'!AD$7</f>
        <v>1</v>
      </c>
      <c r="V16" s="29">
        <f>'Forecasted Statements Combined'!AE26/'Forecasted Statements Combined'!AE$7</f>
        <v>1</v>
      </c>
      <c r="W16" s="29">
        <f>'Forecasted Statements Combined'!AF26/'Forecasted Statements Combined'!AF$7</f>
        <v>1</v>
      </c>
      <c r="X16" s="29">
        <f>'Forecasted Statements Combined'!AG26/'Forecasted Statements Combined'!AG$7</f>
        <v>1</v>
      </c>
    </row>
    <row r="17" spans="1:25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5">
      <c r="A18" s="1" t="s">
        <v>126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5">
      <c r="A19" s="1" t="s">
        <v>69</v>
      </c>
      <c r="B19" s="45">
        <f>'Forecasted Statements Combined'!K29/'Forecasted Statements Combined'!K$7*100</f>
        <v>16.136363636363637</v>
      </c>
      <c r="C19" s="45">
        <f>'Forecasted Statements Combined'!L29/'Forecasted Statements Combined'!L$7*100</f>
        <v>24.418003103983445</v>
      </c>
      <c r="D19" s="45">
        <f>'Forecasted Statements Combined'!M29/'Forecasted Statements Combined'!M$7*100</f>
        <v>18.831993228946256</v>
      </c>
      <c r="E19" s="45">
        <f>'Forecasted Statements Combined'!N29/'Forecasted Statements Combined'!N$7*100</f>
        <v>17.649410353787729</v>
      </c>
      <c r="F19" s="45">
        <f>'Forecasted Statements Combined'!O29/'Forecasted Statements Combined'!O$7*100</f>
        <v>19.274362818590703</v>
      </c>
      <c r="G19" s="45"/>
      <c r="H19" s="45">
        <f>'Forecasted Statements Combined'!Q29/'Forecasted Statements Combined'!Q$7*100</f>
        <v>13.566507684154743</v>
      </c>
      <c r="I19" s="45">
        <f>'Forecasted Statements Combined'!R29/'Forecasted Statements Combined'!R$7*100</f>
        <v>15.306592899953896</v>
      </c>
      <c r="J19" s="45">
        <f>'Forecasted Statements Combined'!S29/'Forecasted Statements Combined'!S$7*100</f>
        <v>15.852456708433058</v>
      </c>
      <c r="K19" s="45">
        <f>'Forecasted Statements Combined'!T29/'Forecasted Statements Combined'!T$7*100</f>
        <v>19.089362815648308</v>
      </c>
      <c r="L19" s="45">
        <f>'Forecasted Statements Combined'!U29/'Forecasted Statements Combined'!U$7*100</f>
        <v>16.15887642119343</v>
      </c>
      <c r="M19" s="45"/>
      <c r="N19" s="45">
        <f>'Forecasted Statements Combined'!W29/'Forecasted Statements Combined'!W$7*100</f>
        <v>23.310810810810811</v>
      </c>
      <c r="O19" s="45">
        <f>'Forecasted Statements Combined'!X29/'Forecasted Statements Combined'!X$7*100</f>
        <v>29.653937947494036</v>
      </c>
      <c r="P19" s="45">
        <f>'Forecasted Statements Combined'!Y29/'Forecasted Statements Combined'!Y$7*100</f>
        <v>36.216489630753671</v>
      </c>
      <c r="Q19" s="45">
        <f>'Forecasted Statements Combined'!Z29/'Forecasted Statements Combined'!Z$7*100</f>
        <v>36.754255494959509</v>
      </c>
      <c r="R19" s="45">
        <f>'Forecasted Statements Combined'!AA29/'Forecasted Statements Combined'!AA$7*100</f>
        <v>30.74071327945429</v>
      </c>
      <c r="S19" s="45"/>
      <c r="T19" s="45">
        <f>'Forecasted Statements Combined'!AC29/'Forecasted Statements Combined'!AC$7*100</f>
        <v>33.161846496106783</v>
      </c>
      <c r="U19" s="45">
        <f>'Forecasted Statements Combined'!AD29/'Forecasted Statements Combined'!AD$7*100</f>
        <v>44.73976456652106</v>
      </c>
      <c r="V19" s="45">
        <f>'Forecasted Statements Combined'!AE29/'Forecasted Statements Combined'!AE$7*100</f>
        <v>34.779249448123622</v>
      </c>
      <c r="W19" s="45">
        <f>'Forecasted Statements Combined'!AF29/'Forecasted Statements Combined'!AF$7*100</f>
        <v>55.359001040582726</v>
      </c>
      <c r="X19" s="45">
        <f>'Forecasted Statements Combined'!AG29/'Forecasted Statements Combined'!AG$7*100</f>
        <v>44.263156166901943</v>
      </c>
      <c r="Y19" s="20"/>
    </row>
    <row r="20" spans="1:25">
      <c r="A20" s="1" t="s">
        <v>70</v>
      </c>
      <c r="B20" s="45">
        <f>'Forecasted Statements Combined'!K30/'Forecasted Statements Combined'!K$7*100</f>
        <v>26.396103896103895</v>
      </c>
      <c r="C20" s="45">
        <f>'Forecasted Statements Combined'!L30/'Forecasted Statements Combined'!L$7*100</f>
        <v>24.676668391101913</v>
      </c>
      <c r="D20" s="45">
        <f>'Forecasted Statements Combined'!M30/'Forecasted Statements Combined'!M$7*100</f>
        <v>27.422767668218366</v>
      </c>
      <c r="E20" s="45">
        <f>'Forecasted Statements Combined'!N30/'Forecasted Statements Combined'!N$7*100</f>
        <v>29.34239456326204</v>
      </c>
      <c r="F20" s="45">
        <f>'Forecasted Statements Combined'!O30/'Forecasted Statements Combined'!O$7*100</f>
        <v>27.172413793103452</v>
      </c>
      <c r="G20" s="45"/>
      <c r="H20" s="45">
        <f>'Forecasted Statements Combined'!Q30/'Forecasted Statements Combined'!Q$7*100</f>
        <v>31.513866807984453</v>
      </c>
      <c r="I20" s="45">
        <f>'Forecasted Statements Combined'!R30/'Forecasted Statements Combined'!R$7*100</f>
        <v>30.136775779929309</v>
      </c>
      <c r="J20" s="45">
        <f>'Forecasted Statements Combined'!S30/'Forecasted Statements Combined'!S$7*100</f>
        <v>30.789807123750528</v>
      </c>
      <c r="K20" s="45">
        <f>'Forecasted Statements Combined'!T30/'Forecasted Statements Combined'!T$7*100</f>
        <v>34.175062148371062</v>
      </c>
      <c r="L20" s="45">
        <f>'Forecasted Statements Combined'!U30/'Forecasted Statements Combined'!U$7*100</f>
        <v>31.745559931634094</v>
      </c>
      <c r="M20" s="45"/>
      <c r="N20" s="45">
        <f>'Forecasted Statements Combined'!W30/'Forecasted Statements Combined'!W$7*100</f>
        <v>33.506274131274132</v>
      </c>
      <c r="O20" s="45">
        <f>'Forecasted Statements Combined'!X30/'Forecasted Statements Combined'!X$7*100</f>
        <v>17.959427207637233</v>
      </c>
      <c r="P20" s="45">
        <f>'Forecasted Statements Combined'!Y30/'Forecasted Statements Combined'!Y$7*100</f>
        <v>19.440229303658743</v>
      </c>
      <c r="Q20" s="45">
        <f>'Forecasted Statements Combined'!Z30/'Forecasted Statements Combined'!Z$7*100</f>
        <v>30.606511320442902</v>
      </c>
      <c r="R20" s="45">
        <f>'Forecasted Statements Combined'!AA30/'Forecasted Statements Combined'!AA$7*100</f>
        <v>25.899013865203528</v>
      </c>
      <c r="S20" s="45"/>
      <c r="T20" s="45">
        <f>'Forecasted Statements Combined'!AC30/'Forecasted Statements Combined'!AC$7*100</f>
        <v>24.972191323692989</v>
      </c>
      <c r="U20" s="45">
        <f>'Forecasted Statements Combined'!AD30/'Forecasted Statements Combined'!AD$7*100</f>
        <v>21.018731028355667</v>
      </c>
      <c r="V20" s="45">
        <f>'Forecasted Statements Combined'!AE30/'Forecasted Statements Combined'!AE$7*100</f>
        <v>23.91280353200883</v>
      </c>
      <c r="W20" s="45">
        <f>'Forecasted Statements Combined'!AF30/'Forecasted Statements Combined'!AF$7*100</f>
        <v>20.074198072659822</v>
      </c>
      <c r="X20" s="45">
        <f>'Forecasted Statements Combined'!AG30/'Forecasted Statements Combined'!AG$7*100</f>
        <v>22.00354551721874</v>
      </c>
    </row>
    <row r="21" spans="1:25">
      <c r="A21" s="1" t="s">
        <v>71</v>
      </c>
      <c r="B21" s="45">
        <f>'Forecasted Statements Combined'!K31/'Forecasted Statements Combined'!K$7*100</f>
        <v>24.61038961038961</v>
      </c>
      <c r="C21" s="45">
        <f>'Forecasted Statements Combined'!L31/'Forecasted Statements Combined'!L$7*100</f>
        <v>22.115882048629075</v>
      </c>
      <c r="D21" s="45">
        <f>'Forecasted Statements Combined'!M31/'Forecasted Statements Combined'!M$7*100</f>
        <v>23.550571307659755</v>
      </c>
      <c r="E21" s="45">
        <f>'Forecasted Statements Combined'!N31/'Forecasted Statements Combined'!N$7*100</f>
        <v>23.186088346991802</v>
      </c>
      <c r="F21" s="45">
        <f>'Forecasted Statements Combined'!O31/'Forecasted Statements Combined'!O$7*100</f>
        <v>23.304347826086957</v>
      </c>
      <c r="G21" s="45"/>
      <c r="H21" s="45">
        <f>'Forecasted Statements Combined'!Q31/'Forecasted Statements Combined'!Q$7*100</f>
        <v>24.571630453983396</v>
      </c>
      <c r="I21" s="45">
        <f>'Forecasted Statements Combined'!R31/'Forecasted Statements Combined'!R$7*100</f>
        <v>26.433072076225606</v>
      </c>
      <c r="J21" s="45">
        <f>'Forecasted Statements Combined'!S31/'Forecasted Statements Combined'!S$7*100</f>
        <v>28.39645220329438</v>
      </c>
      <c r="K21" s="45">
        <f>'Forecasted Statements Combined'!T31/'Forecasted Statements Combined'!T$7*100</f>
        <v>25.945309433468534</v>
      </c>
      <c r="L21" s="45">
        <f>'Forecasted Statements Combined'!U31/'Forecasted Statements Combined'!U$7*100</f>
        <v>26.421193430928142</v>
      </c>
      <c r="M21" s="45"/>
      <c r="N21" s="45">
        <f>'Forecasted Statements Combined'!W31/'Forecasted Statements Combined'!W$7*100</f>
        <v>25.108590733590734</v>
      </c>
      <c r="O21" s="45">
        <f>'Forecasted Statements Combined'!X31/'Forecasted Statements Combined'!X$7*100</f>
        <v>23.896181384248212</v>
      </c>
      <c r="P21" s="45">
        <f>'Forecasted Statements Combined'!Y31/'Forecasted Statements Combined'!Y$7*100</f>
        <v>19.355926487944696</v>
      </c>
      <c r="Q21" s="45">
        <f>'Forecasted Statements Combined'!Z31/'Forecasted Statements Combined'!Z$7*100</f>
        <v>15.765989092711949</v>
      </c>
      <c r="R21" s="45">
        <f>'Forecasted Statements Combined'!AA31/'Forecasted Statements Combined'!AA$7*100</f>
        <v>21.446578186401723</v>
      </c>
      <c r="S21" s="45"/>
      <c r="T21" s="45">
        <f>'Forecasted Statements Combined'!AC31/'Forecasted Statements Combined'!AC$7*100</f>
        <v>22.107897664071192</v>
      </c>
      <c r="U21" s="45">
        <f>'Forecasted Statements Combined'!AD31/'Forecasted Statements Combined'!AD$7*100</f>
        <v>20.28577774487303</v>
      </c>
      <c r="V21" s="45">
        <f>'Forecasted Statements Combined'!AE31/'Forecasted Statements Combined'!AE$7*100</f>
        <v>22.240618101545255</v>
      </c>
      <c r="W21" s="45">
        <f>'Forecasted Statements Combined'!AF31/'Forecasted Statements Combined'!AF$7*100</f>
        <v>8.8042347192688766</v>
      </c>
      <c r="X21" s="45">
        <f>'Forecasted Statements Combined'!AG31/'Forecasted Statements Combined'!AG$7*100</f>
        <v>16.916713174222778</v>
      </c>
    </row>
    <row r="22" spans="1:25">
      <c r="A22" s="1" t="s">
        <v>72</v>
      </c>
      <c r="B22" s="45">
        <f>'Forecasted Statements Combined'!K32/'Forecasted Statements Combined'!K$7*100</f>
        <v>32.857142857142854</v>
      </c>
      <c r="C22" s="45">
        <f>'Forecasted Statements Combined'!L32/'Forecasted Statements Combined'!L$7*100</f>
        <v>28.789446456285567</v>
      </c>
      <c r="D22" s="45">
        <f>'Forecasted Statements Combined'!M32/'Forecasted Statements Combined'!M$7*100</f>
        <v>30.194667795175622</v>
      </c>
      <c r="E22" s="45">
        <f>'Forecasted Statements Combined'!N32/'Forecasted Statements Combined'!N$7*100</f>
        <v>29.822106735958425</v>
      </c>
      <c r="F22" s="45">
        <f>'Forecasted Statements Combined'!O32/'Forecasted Statements Combined'!O$7*100</f>
        <v>30.248875562218892</v>
      </c>
      <c r="G22" s="45"/>
      <c r="H22" s="45">
        <f>'Forecasted Statements Combined'!Q32/'Forecasted Statements Combined'!Q$7*100</f>
        <v>30.347995053877408</v>
      </c>
      <c r="I22" s="45">
        <f>'Forecasted Statements Combined'!R32/'Forecasted Statements Combined'!R$7*100</f>
        <v>28.123559243891194</v>
      </c>
      <c r="J22" s="45">
        <f>'Forecasted Statements Combined'!S32/'Forecasted Statements Combined'!S$7*100</f>
        <v>24.961283964522032</v>
      </c>
      <c r="K22" s="45">
        <f>'Forecasted Statements Combined'!T32/'Forecasted Statements Combined'!T$7*100</f>
        <v>20.790265602512104</v>
      </c>
      <c r="L22" s="45">
        <f>'Forecasted Statements Combined'!U32/'Forecasted Statements Combined'!U$7*100</f>
        <v>25.674370216244334</v>
      </c>
      <c r="M22" s="45"/>
      <c r="N22" s="45">
        <f>'Forecasted Statements Combined'!W32/'Forecasted Statements Combined'!W$7*100</f>
        <v>18.074324324324326</v>
      </c>
      <c r="O22" s="45">
        <f>'Forecasted Statements Combined'!X32/'Forecasted Statements Combined'!X$7*100</f>
        <v>28.490453460620525</v>
      </c>
      <c r="P22" s="45">
        <f>'Forecasted Statements Combined'!Y32/'Forecasted Statements Combined'!Y$7*100</f>
        <v>24.987354577642893</v>
      </c>
      <c r="Q22" s="45">
        <f>'Forecasted Statements Combined'!Z32/'Forecasted Statements Combined'!Z$7*100</f>
        <v>16.873244091885638</v>
      </c>
      <c r="R22" s="45">
        <f>'Forecasted Statements Combined'!AA32/'Forecasted Statements Combined'!AA$7*100</f>
        <v>21.913694668940462</v>
      </c>
      <c r="S22" s="45"/>
      <c r="T22" s="45">
        <f>'Forecasted Statements Combined'!AC32/'Forecasted Statements Combined'!AC$7*100</f>
        <v>19.758064516129032</v>
      </c>
      <c r="U22" s="45">
        <f>'Forecasted Statements Combined'!AD32/'Forecasted Statements Combined'!AD$7*100</f>
        <v>13.955726660250239</v>
      </c>
      <c r="V22" s="45">
        <f>'Forecasted Statements Combined'!AE32/'Forecasted Statements Combined'!AE$7*100</f>
        <v>19.067328918322296</v>
      </c>
      <c r="W22" s="45">
        <f>'Forecasted Statements Combined'!AF32/'Forecasted Statements Combined'!AF$7*100</f>
        <v>15.762566167488576</v>
      </c>
      <c r="X22" s="45">
        <f>'Forecasted Statements Combined'!AG32/'Forecasted Statements Combined'!AG$7*100</f>
        <v>16.816585141656546</v>
      </c>
    </row>
    <row r="23" spans="1: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5">
      <c r="A24" s="1" t="s">
        <v>74</v>
      </c>
      <c r="B24" s="29">
        <f>'Forecasted Statements Combined'!K34/'Forecasted Statements Combined'!K$7</f>
        <v>1</v>
      </c>
      <c r="C24" s="29">
        <f>'Forecasted Statements Combined'!L34/'Forecasted Statements Combined'!L$7</f>
        <v>1</v>
      </c>
      <c r="D24" s="29">
        <f>'Forecasted Statements Combined'!M34/'Forecasted Statements Combined'!M$7</f>
        <v>1</v>
      </c>
      <c r="E24" s="29">
        <f>'Forecasted Statements Combined'!N34/'Forecasted Statements Combined'!N$7</f>
        <v>1</v>
      </c>
      <c r="F24" s="29">
        <f>'Forecasted Statements Combined'!O34/'Forecasted Statements Combined'!O$7</f>
        <v>1</v>
      </c>
      <c r="G24" s="29"/>
      <c r="H24" s="29">
        <f>'Forecasted Statements Combined'!Q34/'Forecasted Statements Combined'!Q$7</f>
        <v>1</v>
      </c>
      <c r="I24" s="29">
        <f>'Forecasted Statements Combined'!R34/'Forecasted Statements Combined'!R$7</f>
        <v>1</v>
      </c>
      <c r="J24" s="29">
        <f>'Forecasted Statements Combined'!S34/'Forecasted Statements Combined'!S$7</f>
        <v>1</v>
      </c>
      <c r="K24" s="29">
        <f>'Forecasted Statements Combined'!T34/'Forecasted Statements Combined'!T$7</f>
        <v>1</v>
      </c>
      <c r="L24" s="29">
        <f>'Forecasted Statements Combined'!U34/'Forecasted Statements Combined'!U$7</f>
        <v>1</v>
      </c>
      <c r="M24" s="29"/>
      <c r="N24" s="29">
        <f>'Forecasted Statements Combined'!W34/'Forecasted Statements Combined'!W$7</f>
        <v>1</v>
      </c>
      <c r="O24" s="29">
        <f>'Forecasted Statements Combined'!X34/'Forecasted Statements Combined'!X$7</f>
        <v>1</v>
      </c>
      <c r="P24" s="29">
        <f>'Forecasted Statements Combined'!Y34/'Forecasted Statements Combined'!Y$7</f>
        <v>1</v>
      </c>
      <c r="Q24" s="29">
        <f>'Forecasted Statements Combined'!Z34/'Forecasted Statements Combined'!Z$7</f>
        <v>1</v>
      </c>
      <c r="R24" s="29">
        <f>'Forecasted Statements Combined'!AA34/'Forecasted Statements Combined'!AA$7</f>
        <v>1</v>
      </c>
      <c r="S24" s="29"/>
      <c r="T24" s="29">
        <f>'Forecasted Statements Combined'!AC34/'Forecasted Statements Combined'!AC$7</f>
        <v>1</v>
      </c>
      <c r="U24" s="29">
        <f>'Forecasted Statements Combined'!AD34/'Forecasted Statements Combined'!AD$7</f>
        <v>1</v>
      </c>
      <c r="V24" s="29">
        <f>'Forecasted Statements Combined'!AE34/'Forecasted Statements Combined'!AE$7</f>
        <v>1</v>
      </c>
      <c r="W24" s="29">
        <f>'Forecasted Statements Combined'!AF34/'Forecasted Statements Combined'!AF$7</f>
        <v>1</v>
      </c>
      <c r="X24" s="29">
        <f>'Forecasted Statements Combined'!AG34/'Forecasted Statements Combined'!AG$7</f>
        <v>1</v>
      </c>
    </row>
    <row r="25" spans="1: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5">
      <c r="A26" s="1" t="s">
        <v>106</v>
      </c>
      <c r="B26" s="46">
        <f>'Forecasted Statements Combined'!K36/'Forecasted Statements Combined'!K$7*100</f>
        <v>34.935064935064936</v>
      </c>
      <c r="C26" s="46">
        <f>'Forecasted Statements Combined'!L36/'Forecasted Statements Combined'!L$7*100</f>
        <v>41.153647180548369</v>
      </c>
      <c r="D26" s="46">
        <f>'Forecasted Statements Combined'!M36/'Forecasted Statements Combined'!M$7*100</f>
        <v>37.367752856538303</v>
      </c>
      <c r="E26" s="46">
        <f>'Forecasted Statements Combined'!N36/'Forecasted Statements Combined'!N$7*100</f>
        <v>36.897861283230057</v>
      </c>
      <c r="F26" s="46">
        <f>'Forecasted Statements Combined'!O36/'Forecasted Statements Combined'!O$7*100</f>
        <v>37.655172413793103</v>
      </c>
      <c r="G26" s="46"/>
      <c r="H26" s="46">
        <f>'Forecasted Statements Combined'!Q36/'Forecasted Statements Combined'!Q$7*100</f>
        <v>35.894718247659426</v>
      </c>
      <c r="I26" s="46">
        <f>'Forecasted Statements Combined'!R36/'Forecasted Statements Combined'!R$7*100</f>
        <v>35.223605348086679</v>
      </c>
      <c r="J26" s="46">
        <f>'Forecasted Statements Combined'!S36/'Forecasted Statements Combined'!S$7*100</f>
        <v>34.802196255103482</v>
      </c>
      <c r="K26" s="46">
        <f>'Forecasted Statements Combined'!T36/'Forecasted Statements Combined'!T$7*100</f>
        <v>34.580662043700116</v>
      </c>
      <c r="L26" s="46">
        <f>'Forecasted Statements Combined'!U36/'Forecasted Statements Combined'!U$7*100</f>
        <v>35.070966783086874</v>
      </c>
      <c r="M26" s="46"/>
      <c r="N26" s="46">
        <f>'Forecasted Statements Combined'!W36/'Forecasted Statements Combined'!W$7*100</f>
        <v>34.471525096525099</v>
      </c>
      <c r="O26" s="46">
        <f>'Forecasted Statements Combined'!X36/'Forecasted Statements Combined'!X$7*100</f>
        <v>56.51849642004774</v>
      </c>
      <c r="P26" s="46">
        <f>'Forecasted Statements Combined'!Y36/'Forecasted Statements Combined'!Y$7*100</f>
        <v>46.433990895295899</v>
      </c>
      <c r="Q26" s="46">
        <f>'Forecasted Statements Combined'!Z36/'Forecasted Statements Combined'!Z$7*100</f>
        <v>36.655098330854401</v>
      </c>
      <c r="R26" s="46">
        <f>'Forecasted Statements Combined'!AA36/'Forecasted Statements Combined'!AA$7*100</f>
        <v>43.071105509008675</v>
      </c>
      <c r="S26" s="46"/>
      <c r="T26" s="46">
        <f>'Forecasted Statements Combined'!AC36/'Forecasted Statements Combined'!AC$7*100</f>
        <v>35.372636262513907</v>
      </c>
      <c r="U26" s="46">
        <f>'Forecasted Statements Combined'!AD36/'Forecasted Statements Combined'!AD$7*100</f>
        <v>29.94743466350781</v>
      </c>
      <c r="V26" s="46">
        <f>'Forecasted Statements Combined'!AE36/'Forecasted Statements Combined'!AE$7*100</f>
        <v>26.048565121412803</v>
      </c>
      <c r="W26" s="46">
        <f>'Forecasted Statements Combined'!AF36/'Forecasted Statements Combined'!AF$7*100</f>
        <v>24.032936705424603</v>
      </c>
      <c r="X26" s="46">
        <f>'Forecasted Statements Combined'!AG36/'Forecasted Statements Combined'!AG$7*100</f>
        <v>27.282426709563047</v>
      </c>
    </row>
    <row r="27" spans="1:25">
      <c r="A27" s="6" t="s">
        <v>107</v>
      </c>
      <c r="B27" s="45">
        <f>'Forecasted Statements Combined'!K37/'Forecasted Statements Combined'!K$7*100</f>
        <v>65.064935064935071</v>
      </c>
      <c r="C27" s="45">
        <f>'Forecasted Statements Combined'!L37/'Forecasted Statements Combined'!L$7*100</f>
        <v>58.846352819451631</v>
      </c>
      <c r="D27" s="45">
        <f>'Forecasted Statements Combined'!M37/'Forecasted Statements Combined'!M$7*100</f>
        <v>62.632247143461704</v>
      </c>
      <c r="E27" s="45">
        <f>'Forecasted Statements Combined'!N37/'Forecasted Statements Combined'!N$7*100</f>
        <v>63.102138716769943</v>
      </c>
      <c r="F27" s="45">
        <f>'Forecasted Statements Combined'!O37/'Forecasted Statements Combined'!O$7*100</f>
        <v>62.344827586206897</v>
      </c>
      <c r="G27" s="45"/>
      <c r="H27" s="45">
        <f>'Forecasted Statements Combined'!Q37/'Forecasted Statements Combined'!Q$7*100</f>
        <v>64.105281752340574</v>
      </c>
      <c r="I27" s="45">
        <f>'Forecasted Statements Combined'!R37/'Forecasted Statements Combined'!R$7*100</f>
        <v>64.776394651913321</v>
      </c>
      <c r="J27" s="45">
        <f>'Forecasted Statements Combined'!S37/'Forecasted Statements Combined'!S$7*100</f>
        <v>65.197803744896518</v>
      </c>
      <c r="K27" s="45">
        <f>'Forecasted Statements Combined'!T37/'Forecasted Statements Combined'!T$7*100</f>
        <v>65.419337956299884</v>
      </c>
      <c r="L27" s="45">
        <f>'Forecasted Statements Combined'!U37/'Forecasted Statements Combined'!U$7*100</f>
        <v>64.92903321691314</v>
      </c>
      <c r="M27" s="45"/>
      <c r="N27" s="45">
        <f>'Forecasted Statements Combined'!W37/'Forecasted Statements Combined'!W$7*100</f>
        <v>65.528474903474901</v>
      </c>
      <c r="O27" s="45">
        <f>'Forecasted Statements Combined'!X37/'Forecasted Statements Combined'!X$7*100</f>
        <v>43.481503579952268</v>
      </c>
      <c r="P27" s="45">
        <f>'Forecasted Statements Combined'!Y37/'Forecasted Statements Combined'!Y$7*100</f>
        <v>53.566009104704094</v>
      </c>
      <c r="Q27" s="45">
        <f>'Forecasted Statements Combined'!Z37/'Forecasted Statements Combined'!Z$7*100</f>
        <v>63.344901669145592</v>
      </c>
      <c r="R27" s="45">
        <f>'Forecasted Statements Combined'!AA37/'Forecasted Statements Combined'!AA$7*100</f>
        <v>56.928894490991325</v>
      </c>
      <c r="S27" s="45"/>
      <c r="T27" s="45">
        <f>'Forecasted Statements Combined'!AC37/'Forecasted Statements Combined'!AC$7*100</f>
        <v>64.627363737486093</v>
      </c>
      <c r="U27" s="45">
        <f>'Forecasted Statements Combined'!AD37/'Forecasted Statements Combined'!AD$7*100</f>
        <v>70.052565336492194</v>
      </c>
      <c r="V27" s="45">
        <f>'Forecasted Statements Combined'!AE37/'Forecasted Statements Combined'!AE$7*100</f>
        <v>73.951434878587193</v>
      </c>
      <c r="W27" s="45">
        <f>'Forecasted Statements Combined'!AF37/'Forecasted Statements Combined'!AF$7*100</f>
        <v>75.967063294575397</v>
      </c>
      <c r="X27" s="45">
        <f>'Forecasted Statements Combined'!AG37/'Forecasted Statements Combined'!AG$7*100</f>
        <v>72.71757329043696</v>
      </c>
    </row>
    <row r="28" spans="1:25">
      <c r="A28" s="1" t="s">
        <v>108</v>
      </c>
      <c r="B28" s="45">
        <f>'Forecasted Statements Combined'!K39/'Forecasted Statements Combined'!K$7*100</f>
        <v>0</v>
      </c>
      <c r="C28" s="45">
        <f>'Forecasted Statements Combined'!L39/'Forecasted Statements Combined'!L$7*100</f>
        <v>0</v>
      </c>
      <c r="D28" s="45">
        <f>'Forecasted Statements Combined'!M39/'Forecasted Statements Combined'!M$7*100</f>
        <v>0</v>
      </c>
      <c r="E28" s="45">
        <f>'Forecasted Statements Combined'!N39/'Forecasted Statements Combined'!N$7*100</f>
        <v>0</v>
      </c>
      <c r="F28" s="45">
        <f>'Forecasted Statements Combined'!O39/'Forecasted Statements Combined'!O$7*100</f>
        <v>0</v>
      </c>
      <c r="G28" s="45"/>
      <c r="H28" s="45">
        <f>'Forecasted Statements Combined'!Q39/'Forecasted Statements Combined'!Q$7*100</f>
        <v>0</v>
      </c>
      <c r="I28" s="45">
        <f>'Forecasted Statements Combined'!R39/'Forecasted Statements Combined'!R$7*100</f>
        <v>0</v>
      </c>
      <c r="J28" s="45">
        <f>'Forecasted Statements Combined'!S39/'Forecasted Statements Combined'!S$7*100</f>
        <v>0</v>
      </c>
      <c r="K28" s="45">
        <f>'Forecasted Statements Combined'!T39/'Forecasted Statements Combined'!T$7*100</f>
        <v>0</v>
      </c>
      <c r="L28" s="45">
        <f>'Forecasted Statements Combined'!U39/'Forecasted Statements Combined'!U$7*100</f>
        <v>0</v>
      </c>
      <c r="M28" s="45"/>
      <c r="N28" s="45">
        <f>'Forecasted Statements Combined'!W39/'Forecasted Statements Combined'!W$7*100</f>
        <v>0</v>
      </c>
      <c r="O28" s="45">
        <f>'Forecasted Statements Combined'!X39/'Forecasted Statements Combined'!X$7*100</f>
        <v>0</v>
      </c>
      <c r="P28" s="45">
        <f>'Forecasted Statements Combined'!Y39/'Forecasted Statements Combined'!Y$7*100</f>
        <v>0</v>
      </c>
      <c r="Q28" s="45">
        <f>'Forecasted Statements Combined'!Z39/'Forecasted Statements Combined'!Z$7*100</f>
        <v>0</v>
      </c>
      <c r="R28" s="45">
        <f>'Forecasted Statements Combined'!AA39/'Forecasted Statements Combined'!AA$7*100</f>
        <v>0</v>
      </c>
      <c r="S28" s="45"/>
      <c r="T28" s="45">
        <f>'Forecasted Statements Combined'!AC39/'Forecasted Statements Combined'!AC$7*100</f>
        <v>0</v>
      </c>
      <c r="U28" s="45">
        <f>'Forecasted Statements Combined'!AD39/'Forecasted Statements Combined'!AD$7*100</f>
        <v>0</v>
      </c>
      <c r="V28" s="45">
        <f>'Forecasted Statements Combined'!AE39/'Forecasted Statements Combined'!AE$7*100</f>
        <v>0</v>
      </c>
      <c r="W28" s="45">
        <f>'Forecasted Statements Combined'!AF39/'Forecasted Statements Combined'!AF$7*100</f>
        <v>0</v>
      </c>
      <c r="X28" s="45">
        <f>'Forecasted Statements Combined'!AG39/'Forecasted Statements Combined'!AG$7*100</f>
        <v>0</v>
      </c>
    </row>
    <row r="29" spans="1:25">
      <c r="A29" s="1" t="s">
        <v>109</v>
      </c>
      <c r="B29" s="45">
        <f>'Forecasted Statements Combined'!K40/'Forecasted Statements Combined'!K$7*100</f>
        <v>23.863636363636363</v>
      </c>
      <c r="C29" s="45">
        <f>'Forecasted Statements Combined'!L40/'Forecasted Statements Combined'!L$7*100</f>
        <v>25.788929125711331</v>
      </c>
      <c r="D29" s="45">
        <f>'Forecasted Statements Combined'!M40/'Forecasted Statements Combined'!M$7*100</f>
        <v>22.15404147270419</v>
      </c>
      <c r="E29" s="45">
        <f>'Forecasted Statements Combined'!N40/'Forecasted Statements Combined'!N$7*100</f>
        <v>22.886268239056566</v>
      </c>
      <c r="F29" s="45">
        <f>'Forecasted Statements Combined'!O40/'Forecasted Statements Combined'!O$7*100</f>
        <v>23.532233883058471</v>
      </c>
      <c r="G29" s="45"/>
      <c r="H29" s="45">
        <f>'Forecasted Statements Combined'!Q40/'Forecasted Statements Combined'!Q$7*100</f>
        <v>20.367426249779193</v>
      </c>
      <c r="I29" s="45">
        <f>'Forecasted Statements Combined'!R40/'Forecasted Statements Combined'!R$7*100</f>
        <v>19.133241124942369</v>
      </c>
      <c r="J29" s="45">
        <f>'Forecasted Statements Combined'!S40/'Forecasted Statements Combined'!S$7*100</f>
        <v>19.752217372941011</v>
      </c>
      <c r="K29" s="45">
        <f>'Forecasted Statements Combined'!T40/'Forecasted Statements Combined'!T$7*100</f>
        <v>19.194033756378385</v>
      </c>
      <c r="L29" s="45">
        <f>'Forecasted Statements Combined'!U40/'Forecasted Statements Combined'!U$7*100</f>
        <v>19.573456193802482</v>
      </c>
      <c r="M29" s="45"/>
      <c r="N29" s="45">
        <f>'Forecasted Statements Combined'!W40/'Forecasted Statements Combined'!W$7*100</f>
        <v>19.522200772200772</v>
      </c>
      <c r="O29" s="45">
        <f>'Forecasted Statements Combined'!X40/'Forecasted Statements Combined'!X$7*100</f>
        <v>27.207637231503579</v>
      </c>
      <c r="P29" s="45">
        <f>'Forecasted Statements Combined'!Y40/'Forecasted Statements Combined'!Y$7*100</f>
        <v>32.793795312763443</v>
      </c>
      <c r="Q29" s="45">
        <f>'Forecasted Statements Combined'!Z40/'Forecasted Statements Combined'!Z$7*100</f>
        <v>32.259130722194676</v>
      </c>
      <c r="R29" s="45">
        <f>'Forecasted Statements Combined'!AA40/'Forecasted Statements Combined'!AA$7*100</f>
        <v>27.20768147104619</v>
      </c>
      <c r="S29" s="45"/>
      <c r="T29" s="45">
        <f>'Forecasted Statements Combined'!AC40/'Forecasted Statements Combined'!AC$7*100</f>
        <v>26.070634037819801</v>
      </c>
      <c r="U29" s="45">
        <f>'Forecasted Statements Combined'!AD40/'Forecasted Statements Combined'!AD$7*100</f>
        <v>15.103279780854372</v>
      </c>
      <c r="V29" s="45">
        <f>'Forecasted Statements Combined'!AE40/'Forecasted Statements Combined'!AE$7*100</f>
        <v>12.660044150110375</v>
      </c>
      <c r="W29" s="45">
        <f>'Forecasted Statements Combined'!AF40/'Forecasted Statements Combined'!AF$7*100</f>
        <v>11.156856535311949</v>
      </c>
      <c r="X29" s="45">
        <f>'Forecasted Statements Combined'!AG40/'Forecasted Statements Combined'!AG$7*100</f>
        <v>14.239519385443684</v>
      </c>
    </row>
    <row r="30" spans="1:25">
      <c r="A30" s="1" t="s">
        <v>110</v>
      </c>
      <c r="B30" s="45">
        <f>'Forecasted Statements Combined'!K41/'Forecasted Statements Combined'!K$7*100</f>
        <v>9.5129870129870131</v>
      </c>
      <c r="C30" s="45">
        <f>'Forecasted Statements Combined'!L41/'Forecasted Statements Combined'!L$7*100</f>
        <v>16.218313502327987</v>
      </c>
      <c r="D30" s="45">
        <f>'Forecasted Statements Combined'!M41/'Forecasted Statements Combined'!M$7*100</f>
        <v>10.89716462124418</v>
      </c>
      <c r="E30" s="45">
        <f>'Forecasted Statements Combined'!N41/'Forecasted Statements Combined'!N$7*100</f>
        <v>10.093943633819707</v>
      </c>
      <c r="F30" s="45">
        <f>'Forecasted Statements Combined'!O41/'Forecasted Statements Combined'!O$7*100</f>
        <v>11.634182908545727</v>
      </c>
      <c r="G30" s="45"/>
      <c r="H30" s="45">
        <f>'Forecasted Statements Combined'!Q41/'Forecasted Statements Combined'!Q$7*100</f>
        <v>9.1856562444797749</v>
      </c>
      <c r="I30" s="45">
        <f>'Forecasted Statements Combined'!R41/'Forecasted Statements Combined'!R$7*100</f>
        <v>8.0836022744736429</v>
      </c>
      <c r="J30" s="45">
        <f>'Forecasted Statements Combined'!S41/'Forecasted Statements Combined'!S$7*100</f>
        <v>7.8417570040827815</v>
      </c>
      <c r="K30" s="45">
        <f>'Forecasted Statements Combined'!T41/'Forecasted Statements Combined'!T$7*100</f>
        <v>7.3662174538793677</v>
      </c>
      <c r="L30" s="45">
        <f>'Forecasted Statements Combined'!U41/'Forecasted Statements Combined'!U$7*100</f>
        <v>8.0478561343538679</v>
      </c>
      <c r="M30" s="45"/>
      <c r="N30" s="45">
        <f>'Forecasted Statements Combined'!W41/'Forecasted Statements Combined'!W$7*100</f>
        <v>7.1428571428571423</v>
      </c>
      <c r="O30" s="45">
        <f>'Forecasted Statements Combined'!X41/'Forecasted Statements Combined'!X$7*100</f>
        <v>8.8305489260143197</v>
      </c>
      <c r="P30" s="45">
        <f>'Forecasted Statements Combined'!Y41/'Forecasted Statements Combined'!Y$7*100</f>
        <v>9.4587759231158319</v>
      </c>
      <c r="Q30" s="45">
        <f>'Forecasted Statements Combined'!Z41/'Forecasted Statements Combined'!Z$7*100</f>
        <v>11.485704842174847</v>
      </c>
      <c r="R30" s="45">
        <f>'Forecasted Statements Combined'!AA41/'Forecasted Statements Combined'!AA$7*100</f>
        <v>9.0457477570994289</v>
      </c>
      <c r="S30" s="45"/>
      <c r="T30" s="45">
        <f>'Forecasted Statements Combined'!AC41/'Forecasted Statements Combined'!AC$7*100</f>
        <v>8.8014460511679644</v>
      </c>
      <c r="U30" s="45">
        <f>'Forecasted Statements Combined'!AD41/'Forecasted Statements Combined'!AD$7*100</f>
        <v>4.605019619456578</v>
      </c>
      <c r="V30" s="45">
        <f>'Forecasted Statements Combined'!AE41/'Forecasted Statements Combined'!AE$7*100</f>
        <v>3.8024282560706406</v>
      </c>
      <c r="W30" s="45">
        <f>'Forecasted Statements Combined'!AF41/'Forecasted Statements Combined'!AF$7*100</f>
        <v>3.2122336334434238</v>
      </c>
      <c r="X30" s="45">
        <f>'Forecasted Statements Combined'!AG41/'Forecasted Statements Combined'!AG$7*100</f>
        <v>4.3563901382095134</v>
      </c>
    </row>
    <row r="31" spans="1:25">
      <c r="A31" s="1" t="s">
        <v>111</v>
      </c>
      <c r="B31" s="45">
        <f>'Forecasted Statements Combined'!K42/'Forecasted Statements Combined'!K$7*100</f>
        <v>0</v>
      </c>
      <c r="C31" s="45">
        <f>'Forecasted Statements Combined'!L42/'Forecasted Statements Combined'!L$7*100</f>
        <v>0</v>
      </c>
      <c r="D31" s="45">
        <f>'Forecasted Statements Combined'!M42/'Forecasted Statements Combined'!M$7*100</f>
        <v>0</v>
      </c>
      <c r="E31" s="45">
        <f>'Forecasted Statements Combined'!N42/'Forecasted Statements Combined'!N$7*100</f>
        <v>0</v>
      </c>
      <c r="F31" s="45">
        <f>'Forecasted Statements Combined'!O42/'Forecasted Statements Combined'!O$7*100</f>
        <v>0</v>
      </c>
      <c r="G31" s="45"/>
      <c r="H31" s="45">
        <f>'Forecasted Statements Combined'!Q42/'Forecasted Statements Combined'!Q$7*100</f>
        <v>0</v>
      </c>
      <c r="I31" s="45">
        <f>'Forecasted Statements Combined'!R42/'Forecasted Statements Combined'!R$7*100</f>
        <v>0</v>
      </c>
      <c r="J31" s="45">
        <f>'Forecasted Statements Combined'!S42/'Forecasted Statements Combined'!S$7*100</f>
        <v>0</v>
      </c>
      <c r="K31" s="45">
        <f>'Forecasted Statements Combined'!T42/'Forecasted Statements Combined'!T$7*100</f>
        <v>0</v>
      </c>
      <c r="L31" s="45">
        <f>'Forecasted Statements Combined'!U42/'Forecasted Statements Combined'!U$7*100</f>
        <v>0</v>
      </c>
      <c r="M31" s="45"/>
      <c r="N31" s="45">
        <f>'Forecasted Statements Combined'!W42/'Forecasted Statements Combined'!W$7*100</f>
        <v>16.324806949806948</v>
      </c>
      <c r="O31" s="45">
        <f>'Forecasted Statements Combined'!X42/'Forecasted Statements Combined'!X$7*100</f>
        <v>0</v>
      </c>
      <c r="P31" s="45">
        <f>'Forecasted Statements Combined'!Y42/'Forecasted Statements Combined'!Y$7*100</f>
        <v>0</v>
      </c>
      <c r="Q31" s="45">
        <f>'Forecasted Statements Combined'!Z42/'Forecasted Statements Combined'!Z$7*100</f>
        <v>0</v>
      </c>
      <c r="R31" s="45">
        <f>'Forecasted Statements Combined'!AA42/'Forecasted Statements Combined'!AA$7*100</f>
        <v>5.0159412767850515</v>
      </c>
      <c r="S31" s="45"/>
      <c r="T31" s="45">
        <f>'Forecasted Statements Combined'!AC42/'Forecasted Statements Combined'!AC$7*100</f>
        <v>0</v>
      </c>
      <c r="U31" s="45">
        <f>'Forecasted Statements Combined'!AD42/'Forecasted Statements Combined'!AD$7*100</f>
        <v>0</v>
      </c>
      <c r="V31" s="45">
        <f>'Forecasted Statements Combined'!AE42/'Forecasted Statements Combined'!AE$7*100</f>
        <v>0</v>
      </c>
      <c r="W31" s="45">
        <f>'Forecasted Statements Combined'!AF42/'Forecasted Statements Combined'!AF$7*100</f>
        <v>0</v>
      </c>
      <c r="X31" s="45">
        <f>'Forecasted Statements Combined'!AG42/'Forecasted Statements Combined'!AG$7*100</f>
        <v>0</v>
      </c>
    </row>
    <row r="32" spans="1:25">
      <c r="A32" s="9" t="s">
        <v>112</v>
      </c>
      <c r="B32" s="47">
        <f>'Forecasted Statements Combined'!K43/'Forecasted Statements Combined'!K$7*100</f>
        <v>33.376623376623378</v>
      </c>
      <c r="C32" s="47">
        <f>'Forecasted Statements Combined'!L43/'Forecasted Statements Combined'!L$7*100</f>
        <v>42.007242628039315</v>
      </c>
      <c r="D32" s="47">
        <f>'Forecasted Statements Combined'!M43/'Forecasted Statements Combined'!M$7*100</f>
        <v>33.051206093948373</v>
      </c>
      <c r="E32" s="47">
        <f>'Forecasted Statements Combined'!N43/'Forecasted Statements Combined'!N$7*100</f>
        <v>32.980211872876275</v>
      </c>
      <c r="F32" s="47">
        <f>'Forecasted Statements Combined'!O43/'Forecasted Statements Combined'!O$7*100</f>
        <v>35.166416791604199</v>
      </c>
      <c r="G32" s="47"/>
      <c r="H32" s="47">
        <f>'Forecasted Statements Combined'!Q43/'Forecasted Statements Combined'!Q$7*100</f>
        <v>29.553082494258966</v>
      </c>
      <c r="I32" s="47">
        <f>'Forecasted Statements Combined'!R43/'Forecasted Statements Combined'!R$7*100</f>
        <v>27.216843399416014</v>
      </c>
      <c r="J32" s="47">
        <f>'Forecasted Statements Combined'!S43/'Forecasted Statements Combined'!S$7*100</f>
        <v>27.593974377023795</v>
      </c>
      <c r="K32" s="47">
        <f>'Forecasted Statements Combined'!T43/'Forecasted Statements Combined'!T$7*100</f>
        <v>26.56025121025775</v>
      </c>
      <c r="L32" s="47">
        <f>'Forecasted Statements Combined'!U43/'Forecasted Statements Combined'!U$7*100</f>
        <v>27.62131232815635</v>
      </c>
      <c r="M32" s="47"/>
      <c r="N32" s="47">
        <f>'Forecasted Statements Combined'!W43/'Forecasted Statements Combined'!W$7*100</f>
        <v>42.989864864864863</v>
      </c>
      <c r="O32" s="47">
        <f>'Forecasted Statements Combined'!X43/'Forecasted Statements Combined'!X$7*100</f>
        <v>36.038186157517899</v>
      </c>
      <c r="P32" s="47">
        <f>'Forecasted Statements Combined'!Y43/'Forecasted Statements Combined'!Y$7*100</f>
        <v>43.432810655875912</v>
      </c>
      <c r="Q32" s="47">
        <f>'Forecasted Statements Combined'!Z43/'Forecasted Statements Combined'!Z$7*100</f>
        <v>42.588001983143279</v>
      </c>
      <c r="R32" s="47">
        <f>'Forecasted Statements Combined'!AA43/'Forecasted Statements Combined'!AA$7*100</f>
        <v>41.269370504930677</v>
      </c>
      <c r="S32" s="47"/>
      <c r="T32" s="47">
        <f>'Forecasted Statements Combined'!AC43/'Forecasted Statements Combined'!AC$7*100</f>
        <v>34.872080088987765</v>
      </c>
      <c r="U32" s="47">
        <f>'Forecasted Statements Combined'!AD43/'Forecasted Statements Combined'!AD$7*100</f>
        <v>19.708299400310949</v>
      </c>
      <c r="V32" s="47">
        <f>'Forecasted Statements Combined'!AE43/'Forecasted Statements Combined'!AE$7*100</f>
        <v>16.462472406181018</v>
      </c>
      <c r="W32" s="47">
        <f>'Forecasted Statements Combined'!AF43/'Forecasted Statements Combined'!AF$7*100</f>
        <v>14.369090168755372</v>
      </c>
      <c r="X32" s="47">
        <f>'Forecasted Statements Combined'!AG43/'Forecasted Statements Combined'!AG$7*100</f>
        <v>18.595909523653194</v>
      </c>
    </row>
    <row r="33" spans="1:24">
      <c r="A33" s="1" t="s">
        <v>113</v>
      </c>
      <c r="B33" s="45">
        <f>'Forecasted Statements Combined'!K44/'Forecasted Statements Combined'!K$7*100</f>
        <v>31.688311688311689</v>
      </c>
      <c r="C33" s="45">
        <f>'Forecasted Statements Combined'!L44/'Forecasted Statements Combined'!L$7*100</f>
        <v>16.839110191412313</v>
      </c>
      <c r="D33" s="45">
        <f>'Forecasted Statements Combined'!M44/'Forecasted Statements Combined'!M$7*100</f>
        <v>29.581041049513328</v>
      </c>
      <c r="E33" s="45">
        <f>'Forecasted Statements Combined'!N44/'Forecasted Statements Combined'!N$7*100</f>
        <v>30.121926843893664</v>
      </c>
      <c r="F33" s="45">
        <f>'Forecasted Statements Combined'!O44/'Forecasted Statements Combined'!O$7*100</f>
        <v>27.178410794602698</v>
      </c>
      <c r="G33" s="45"/>
      <c r="H33" s="45">
        <f>'Forecasted Statements Combined'!Q44/'Forecasted Statements Combined'!Q$7*100</f>
        <v>34.552199258081615</v>
      </c>
      <c r="I33" s="45">
        <f>'Forecasted Statements Combined'!R44/'Forecasted Statements Combined'!R$7*100</f>
        <v>37.559551252497307</v>
      </c>
      <c r="J33" s="45">
        <f>'Forecasted Statements Combined'!S44/'Forecasted Statements Combined'!S$7*100</f>
        <v>37.603829367872734</v>
      </c>
      <c r="K33" s="45">
        <f>'Forecasted Statements Combined'!T44/'Forecasted Statements Combined'!T$7*100</f>
        <v>38.859086746042131</v>
      </c>
      <c r="L33" s="45">
        <f>'Forecasted Statements Combined'!U44/'Forecasted Statements Combined'!U$7*100</f>
        <v>37.307720888756776</v>
      </c>
      <c r="M33" s="45"/>
      <c r="N33" s="45">
        <f>'Forecasted Statements Combined'!W44/'Forecasted Statements Combined'!W$7*100</f>
        <v>22.538610038610038</v>
      </c>
      <c r="O33" s="45">
        <f>'Forecasted Statements Combined'!X44/'Forecasted Statements Combined'!X$7*100</f>
        <v>7.443317422434367</v>
      </c>
      <c r="P33" s="45">
        <f>'Forecasted Statements Combined'!Y44/'Forecasted Statements Combined'!Y$7*100</f>
        <v>10.133198448828191</v>
      </c>
      <c r="Q33" s="45">
        <f>'Forecasted Statements Combined'!Z44/'Forecasted Statements Combined'!Z$7*100</f>
        <v>20.756899686002313</v>
      </c>
      <c r="R33" s="45">
        <f>'Forecasted Statements Combined'!AA44/'Forecasted Statements Combined'!AA$7*100</f>
        <v>15.65952398606065</v>
      </c>
      <c r="S33" s="45"/>
      <c r="T33" s="45">
        <f>'Forecasted Statements Combined'!AC44/'Forecasted Statements Combined'!AC$7*100</f>
        <v>29.755283648498331</v>
      </c>
      <c r="U33" s="45">
        <f>'Forecasted Statements Combined'!AD44/'Forecasted Statements Combined'!AD$7*100</f>
        <v>50.344265936181245</v>
      </c>
      <c r="V33" s="45">
        <f>'Forecasted Statements Combined'!AE44/'Forecasted Statements Combined'!AE$7*100</f>
        <v>57.488962472406179</v>
      </c>
      <c r="W33" s="45">
        <f>'Forecasted Statements Combined'!AF44/'Forecasted Statements Combined'!AF$7*100</f>
        <v>61.597973125820026</v>
      </c>
      <c r="X33" s="45">
        <f>'Forecasted Statements Combined'!AG44/'Forecasted Statements Combined'!AG$7*100</f>
        <v>54.121663766783755</v>
      </c>
    </row>
    <row r="34" spans="1:24">
      <c r="A34" s="1" t="s">
        <v>114</v>
      </c>
      <c r="B34" s="45">
        <f>'Forecasted Statements Combined'!K47/'Forecasted Statements Combined'!K$7*100</f>
        <v>1.0064935064935066</v>
      </c>
      <c r="C34" s="45">
        <f>'Forecasted Statements Combined'!L47/'Forecasted Statements Combined'!L$7*100</f>
        <v>0.33626487325400928</v>
      </c>
      <c r="D34" s="45">
        <f>'Forecasted Statements Combined'!M47/'Forecasted Statements Combined'!M$7*100</f>
        <v>0.14811680067710536</v>
      </c>
      <c r="E34" s="45">
        <f>'Forecasted Statements Combined'!N47/'Forecasted Statements Combined'!N$7*100</f>
        <v>0.11992804317409553</v>
      </c>
      <c r="F34" s="45">
        <f>'Forecasted Statements Combined'!O47/'Forecasted Statements Combined'!O$7*100</f>
        <v>0.34182908545727136</v>
      </c>
      <c r="G34" s="45"/>
      <c r="H34" s="45">
        <f>'Forecasted Statements Combined'!Q47/'Forecasted Statements Combined'!Q$7*100</f>
        <v>0.10598834128245893</v>
      </c>
      <c r="I34" s="45">
        <f>'Forecasted Statements Combined'!R47/'Forecasted Statements Combined'!R$7*100</f>
        <v>9.2208390963577677E-2</v>
      </c>
      <c r="J34" s="45">
        <f>'Forecasted Statements Combined'!S47/'Forecasted Statements Combined'!S$7*100</f>
        <v>9.8549908489370674E-2</v>
      </c>
      <c r="K34" s="45">
        <f>'Forecasted Statements Combined'!T47/'Forecasted Statements Combined'!T$7*100</f>
        <v>0.13083867591259976</v>
      </c>
      <c r="L34" s="45">
        <f>'Forecasted Statements Combined'!U47/'Forecasted Statements Combined'!U$7*100</f>
        <v>0.10775061306383296</v>
      </c>
      <c r="M34" s="45"/>
      <c r="N34" s="45">
        <f>'Forecasted Statements Combined'!W47/'Forecasted Statements Combined'!W$7*100</f>
        <v>0.21718146718146719</v>
      </c>
      <c r="O34" s="45">
        <f>'Forecasted Statements Combined'!X47/'Forecasted Statements Combined'!X$7*100</f>
        <v>0.68615751789976132</v>
      </c>
      <c r="P34" s="45">
        <f>'Forecasted Statements Combined'!Y47/'Forecasted Statements Combined'!Y$7*100</f>
        <v>1.4837295565671893</v>
      </c>
      <c r="Q34" s="45">
        <f>'Forecasted Statements Combined'!Z47/'Forecasted Statements Combined'!Z$7*100</f>
        <v>1.9005123120145431</v>
      </c>
      <c r="R34" s="45">
        <f>'Forecasted Statements Combined'!AA47/'Forecasted Statements Combined'!AA$7*100</f>
        <v>0.98984207014161785</v>
      </c>
      <c r="S34" s="45"/>
      <c r="T34" s="45">
        <f>'Forecasted Statements Combined'!AC47/'Forecasted Statements Combined'!AC$7*100</f>
        <v>2.0856507230255836</v>
      </c>
      <c r="U34" s="45">
        <f>'Forecasted Statements Combined'!AD47/'Forecasted Statements Combined'!AD$7*100</f>
        <v>1.3844673132449841</v>
      </c>
      <c r="V34" s="45">
        <f>'Forecasted Statements Combined'!AE47/'Forecasted Statements Combined'!AE$7*100</f>
        <v>1.2913907284768211</v>
      </c>
      <c r="W34" s="45">
        <f>'Forecasted Statements Combined'!AF47/'Forecasted Statements Combined'!AF$7*100</f>
        <v>1.3346604533321269</v>
      </c>
      <c r="X34" s="45">
        <f>'Forecasted Statements Combined'!AG47/'Forecasted Statements Combined'!AG$7*100</f>
        <v>1.421489773809133</v>
      </c>
    </row>
    <row r="35" spans="1:24">
      <c r="A35" s="1" t="s">
        <v>115</v>
      </c>
      <c r="B35" s="45">
        <f>ABS('Forecasted Statements Combined'!K48/'Forecasted Statements Combined'!K$7*100)</f>
        <v>0.81168831168831157</v>
      </c>
      <c r="C35" s="45">
        <f>ABS('Forecasted Statements Combined'!L48/'Forecasted Statements Combined'!L$7*100)</f>
        <v>1.3967925504397309</v>
      </c>
      <c r="D35" s="45">
        <f>ABS('Forecasted Statements Combined'!M48/'Forecasted Statements Combined'!M$7*100)</f>
        <v>1.1214557765552264</v>
      </c>
      <c r="E35" s="45">
        <f>ABS('Forecasted Statements Combined'!N48/'Forecasted Statements Combined'!N$7*100)</f>
        <v>1.0393763741754947</v>
      </c>
      <c r="F35" s="45">
        <f>ABS('Forecasted Statements Combined'!O48/'Forecasted Statements Combined'!O$7*100)</f>
        <v>1.103448275862069</v>
      </c>
      <c r="G35" s="45"/>
      <c r="H35" s="45">
        <f>ABS('Forecasted Statements Combined'!Q48/'Forecasted Statements Combined'!Q$7*100)</f>
        <v>0.93623034799505378</v>
      </c>
      <c r="I35" s="45">
        <f>ABS('Forecasted Statements Combined'!R48/'Forecasted Statements Combined'!R$7*100)</f>
        <v>0.92208390963577691</v>
      </c>
      <c r="J35" s="45">
        <f>ABS('Forecasted Statements Combined'!S48/'Forecasted Statements Combined'!S$7*100)</f>
        <v>0.8728706180487118</v>
      </c>
      <c r="K35" s="45">
        <f>ABS('Forecasted Statements Combined'!T48/'Forecasted Statements Combined'!T$7*100)</f>
        <v>5.3774695800078502</v>
      </c>
      <c r="L35" s="45">
        <f>ABS('Forecasted Statements Combined'!U48/'Forecasted Statements Combined'!U$7*100)</f>
        <v>0.87686705803670961</v>
      </c>
      <c r="M35" s="45"/>
      <c r="N35" s="45">
        <f>ABS('Forecasted Statements Combined'!W48/'Forecasted Statements Combined'!W$7*100)</f>
        <v>0.82046332046332038</v>
      </c>
      <c r="O35" s="45">
        <f>ABS('Forecasted Statements Combined'!X48/'Forecasted Statements Combined'!X$7*100)</f>
        <v>0.96957040572792363</v>
      </c>
      <c r="P35" s="45">
        <f>ABS('Forecasted Statements Combined'!Y48/'Forecasted Statements Combined'!Y$7*100)</f>
        <v>1.0959366042825829</v>
      </c>
      <c r="Q35" s="45">
        <f>ABS('Forecasted Statements Combined'!Z48/'Forecasted Statements Combined'!Z$7*100)</f>
        <v>1.057676417121137</v>
      </c>
      <c r="R35" s="45">
        <f>ABS('Forecasted Statements Combined'!AA48/'Forecasted Statements Combined'!AA$7*100)</f>
        <v>0.9713057017869059</v>
      </c>
      <c r="S35" s="45"/>
      <c r="T35" s="45">
        <f>ABS('Forecasted Statements Combined'!AC48/'Forecasted Statements Combined'!AC$7*100)</f>
        <v>0.9176863181312569</v>
      </c>
      <c r="U35" s="45">
        <f>ABS('Forecasted Statements Combined'!AD48/'Forecasted Statements Combined'!AD$7*100)</f>
        <v>0.48123195380173239</v>
      </c>
      <c r="V35" s="45">
        <f>ABS('Forecasted Statements Combined'!AE48/'Forecasted Statements Combined'!AE$7*100)</f>
        <v>0.34768211920529801</v>
      </c>
      <c r="W35" s="45">
        <f>ABS('Forecasted Statements Combined'!AF48/'Forecasted Statements Combined'!AF$7*100)</f>
        <v>0.28502918155906437</v>
      </c>
      <c r="X35" s="45">
        <f>ABS('Forecasted Statements Combined'!AG48/'Forecasted Statements Combined'!AG$7*100)</f>
        <v>0.42185089130363412</v>
      </c>
    </row>
    <row r="36" spans="1:24">
      <c r="A36" s="1" t="s">
        <v>116</v>
      </c>
      <c r="B36" s="45">
        <f>ABS('Forecasted Statements Combined'!K49/'Forecasted Statements Combined'!K$7*100)</f>
        <v>3.2467532467532464E-2</v>
      </c>
      <c r="C36" s="45">
        <f>ABS('Forecasted Statements Combined'!L49/'Forecasted Statements Combined'!L$7*100)</f>
        <v>2.5866528711846869E-2</v>
      </c>
      <c r="D36" s="45">
        <f>ABS('Forecasted Statements Combined'!M49/'Forecasted Statements Combined'!M$7*100)</f>
        <v>8.4638171815488786E-2</v>
      </c>
      <c r="E36" s="45">
        <f>ABS('Forecasted Statements Combined'!N49/'Forecasted Statements Combined'!N$7*100)</f>
        <v>0.19988007195682589</v>
      </c>
      <c r="F36" s="45">
        <f>ABS('Forecasted Statements Combined'!O49/'Forecasted Statements Combined'!O$7*100)</f>
        <v>2.3988005997001498E-2</v>
      </c>
      <c r="G36" s="45"/>
      <c r="H36" s="45">
        <f>ABS('Forecasted Statements Combined'!Q49/'Forecasted Statements Combined'!Q$7*100)</f>
        <v>2.3847376788553261</v>
      </c>
      <c r="I36" s="45">
        <f>ABS('Forecasted Statements Combined'!R49/'Forecasted Statements Combined'!R$7*100)</f>
        <v>6.1472260642385118E-2</v>
      </c>
      <c r="J36" s="45">
        <f>ABS('Forecasted Statements Combined'!S49/'Forecasted Statements Combined'!S$7*100)</f>
        <v>0.30972828382373641</v>
      </c>
      <c r="K36" s="45">
        <f>ABS('Forecasted Statements Combined'!T49/'Forecasted Statements Combined'!T$7*100)</f>
        <v>0.70652884992803877</v>
      </c>
      <c r="L36" s="45">
        <f>ABS('Forecasted Statements Combined'!U49/'Forecasted Statements Combined'!U$7*100)</f>
        <v>0.39756260682172845</v>
      </c>
      <c r="M36" s="45"/>
      <c r="N36" s="45">
        <f>ABS('Forecasted Statements Combined'!W49/'Forecasted Statements Combined'!W$7*100)</f>
        <v>0.15685328185328185</v>
      </c>
      <c r="O36" s="45">
        <f>ABS('Forecasted Statements Combined'!X49/'Forecasted Statements Combined'!X$7*100)</f>
        <v>7.4582338902147965E-2</v>
      </c>
      <c r="P36" s="45">
        <f>ABS('Forecasted Statements Combined'!Y49/'Forecasted Statements Combined'!Y$7*100)</f>
        <v>0.18546619457089866</v>
      </c>
      <c r="Q36" s="45">
        <f>ABS('Forecasted Statements Combined'!Z49/'Forecasted Statements Combined'!Z$7*100)</f>
        <v>0.31399768633283753</v>
      </c>
      <c r="R36" s="45">
        <f>ABS('Forecasted Statements Combined'!AA49/'Forecasted Statements Combined'!AA$7*100)</f>
        <v>0.17794913620523467</v>
      </c>
      <c r="S36" s="45"/>
      <c r="T36" s="45">
        <f>ABS('Forecasted Statements Combined'!AC49/'Forecasted Statements Combined'!AC$7*100)</f>
        <v>0.20856507230255839</v>
      </c>
      <c r="U36" s="45">
        <f>ABS('Forecasted Statements Combined'!AD49/'Forecasted Statements Combined'!AD$7*100)</f>
        <v>0.43681054268157249</v>
      </c>
      <c r="V36" s="45">
        <f>ABS('Forecasted Statements Combined'!AE49/'Forecasted Statements Combined'!AE$7*100)</f>
        <v>0.36423841059602652</v>
      </c>
      <c r="W36" s="45">
        <f>ABS('Forecasted Statements Combined'!AF49/'Forecasted Statements Combined'!AF$7*100)</f>
        <v>1.1717866352983757</v>
      </c>
      <c r="X36" s="45">
        <f>ABS('Forecasted Statements Combined'!AG49/'Forecasted Statements Combined'!AG$7*100)</f>
        <v>0.38902202816716458</v>
      </c>
    </row>
    <row r="37" spans="1:24">
      <c r="A37" s="9" t="s">
        <v>117</v>
      </c>
      <c r="B37" s="47">
        <f>ABS('Forecasted Statements Combined'!K50/'Forecasted Statements Combined'!K$7*100)</f>
        <v>0.16233766233766234</v>
      </c>
      <c r="C37" s="47">
        <f>ABS('Forecasted Statements Combined'!L50/'Forecasted Statements Combined'!L$7*100)</f>
        <v>1.0863942058975684</v>
      </c>
      <c r="D37" s="47">
        <f>ABS('Forecasted Statements Combined'!M50/'Forecasted Statements Combined'!M$7*100)</f>
        <v>1.0579771476936097</v>
      </c>
      <c r="E37" s="47">
        <f>ABS('Forecasted Statements Combined'!N50/'Forecasted Statements Combined'!N$7*100)</f>
        <v>0.71956825904457322</v>
      </c>
      <c r="F37" s="47">
        <f>ABS('Forecasted Statements Combined'!O50/'Forecasted Statements Combined'!O$7*100)</f>
        <v>0.73763118440779607</v>
      </c>
      <c r="G37" s="47"/>
      <c r="H37" s="47">
        <f>ABS('Forecasted Statements Combined'!Q50/'Forecasted Statements Combined'!Q$7*100)</f>
        <v>1.554495672142731</v>
      </c>
      <c r="I37" s="47">
        <f>ABS('Forecasted Statements Combined'!R50/'Forecasted Statements Combined'!R$7*100)</f>
        <v>0.76840325802981402</v>
      </c>
      <c r="J37" s="47">
        <f>ABS('Forecasted Statements Combined'!S50/'Forecasted Statements Combined'!S$7*100)</f>
        <v>0.46459242573560472</v>
      </c>
      <c r="K37" s="47">
        <f>ABS('Forecasted Statements Combined'!T50/'Forecasted Statements Combined'!T$7*100)</f>
        <v>1.3738060970822976</v>
      </c>
      <c r="L37" s="47">
        <f>ABS('Forecasted Statements Combined'!U50/'Forecasted Statements Combined'!U$7*100)</f>
        <v>0.37155383815114806</v>
      </c>
      <c r="M37" s="47"/>
      <c r="N37" s="47">
        <f>ABS('Forecasted Statements Combined'!W50/'Forecasted Statements Combined'!W$7*100)</f>
        <v>0.7601351351351352</v>
      </c>
      <c r="O37" s="47">
        <f>ABS('Forecasted Statements Combined'!X50/'Forecasted Statements Combined'!X$7*100)</f>
        <v>0.35799522673031026</v>
      </c>
      <c r="P37" s="47">
        <f>ABS('Forecasted Statements Combined'!Y50/'Forecasted Statements Combined'!Y$7*100)</f>
        <v>0.20232675771370764</v>
      </c>
      <c r="Q37" s="47">
        <f>ABS('Forecasted Statements Combined'!Z50/'Forecasted Statements Combined'!Z$7*100)</f>
        <v>0.52883820856056851</v>
      </c>
      <c r="R37" s="47">
        <f>ABS('Forecasted Statements Combined'!AA50/'Forecasted Statements Combined'!AA$7*100)</f>
        <v>0.15941276785052275</v>
      </c>
      <c r="S37" s="47"/>
      <c r="T37" s="47">
        <f>ABS('Forecasted Statements Combined'!AC50/'Forecasted Statements Combined'!AC$7*100)</f>
        <v>0.95939933259176857</v>
      </c>
      <c r="U37" s="47">
        <f>ABS('Forecasted Statements Combined'!AD50/'Forecasted Statements Combined'!AD$7*100)</f>
        <v>1.3400459021248241</v>
      </c>
      <c r="V37" s="47">
        <f>ABS('Forecasted Statements Combined'!AE50/'Forecasted Statements Combined'!AE$7*100)</f>
        <v>0.57947019867549665</v>
      </c>
      <c r="W37" s="47">
        <f>ABS('Forecasted Statements Combined'!AF50/'Forecasted Statements Combined'!AF$7*100)</f>
        <v>2.2214179070714382</v>
      </c>
      <c r="X37" s="47">
        <f>ABS('Forecasted Statements Combined'!AG50/'Forecasted Statements Combined'!AG$7*100)</f>
        <v>1.3886609106726633</v>
      </c>
    </row>
    <row r="38" spans="1:24">
      <c r="A38" s="1" t="s">
        <v>118</v>
      </c>
      <c r="B38" s="45">
        <f>'Forecasted Statements Combined'!K51/'Forecasted Statements Combined'!K$7*100</f>
        <v>31.850649350649352</v>
      </c>
      <c r="C38" s="45">
        <f>'Forecasted Statements Combined'!L51/'Forecasted Statements Combined'!L$7*100</f>
        <v>15.752715985514746</v>
      </c>
      <c r="D38" s="45">
        <f>'Forecasted Statements Combined'!M51/'Forecasted Statements Combined'!M$7*100</f>
        <v>28.523063901819722</v>
      </c>
      <c r="E38" s="45">
        <f>'Forecasted Statements Combined'!N51/'Forecasted Statements Combined'!N$7*100</f>
        <v>29.402358584849093</v>
      </c>
      <c r="F38" s="45">
        <f>'Forecasted Statements Combined'!O51/'Forecasted Statements Combined'!O$7*100</f>
        <v>26.440779610194902</v>
      </c>
      <c r="G38" s="45"/>
      <c r="H38" s="45">
        <f>'Forecasted Statements Combined'!Q51/'Forecasted Statements Combined'!Q$7*100</f>
        <v>36.106694930224343</v>
      </c>
      <c r="I38" s="45">
        <f>'Forecasted Statements Combined'!R51/'Forecasted Statements Combined'!R$7*100</f>
        <v>36.791147994467501</v>
      </c>
      <c r="J38" s="45">
        <f>'Forecasted Statements Combined'!S51/'Forecasted Statements Combined'!S$7*100</f>
        <v>37.139236942137124</v>
      </c>
      <c r="K38" s="45">
        <f>'Forecasted Statements Combined'!T51/'Forecasted Statements Combined'!T$7*100</f>
        <v>37.485280648959836</v>
      </c>
      <c r="L38" s="45">
        <f>'Forecasted Statements Combined'!U51/'Forecasted Statements Combined'!U$7*100</f>
        <v>36.936167050605633</v>
      </c>
      <c r="M38" s="45"/>
      <c r="N38" s="45">
        <f>'Forecasted Statements Combined'!W51/'Forecasted Statements Combined'!W$7*100</f>
        <v>21.778474903474905</v>
      </c>
      <c r="O38" s="45">
        <f>'Forecasted Statements Combined'!X51/'Forecasted Statements Combined'!X$7*100</f>
        <v>7.085322195704058</v>
      </c>
      <c r="P38" s="45">
        <f>'Forecasted Statements Combined'!Y51/'Forecasted Statements Combined'!Y$7*100</f>
        <v>10.335525206541899</v>
      </c>
      <c r="Q38" s="45">
        <f>'Forecasted Statements Combined'!Z51/'Forecasted Statements Combined'!Z$7*100</f>
        <v>21.285737894562882</v>
      </c>
      <c r="R38" s="45">
        <f>'Forecasted Statements Combined'!AA51/'Forecasted Statements Combined'!AA$7*100</f>
        <v>15.500111218210128</v>
      </c>
      <c r="S38" s="45"/>
      <c r="T38" s="45">
        <f>'Forecasted Statements Combined'!AC51/'Forecasted Statements Combined'!AC$7*100</f>
        <v>30.714682981090103</v>
      </c>
      <c r="U38" s="45">
        <f>'Forecasted Statements Combined'!AD51/'Forecasted Statements Combined'!AD$7*100</f>
        <v>51.684311838306066</v>
      </c>
      <c r="V38" s="45">
        <f>'Forecasted Statements Combined'!AE51/'Forecasted Statements Combined'!AE$7*100</f>
        <v>58.06843267108168</v>
      </c>
      <c r="W38" s="45">
        <f>'Forecasted Statements Combined'!AF51/'Forecasted Statements Combined'!AF$7*100</f>
        <v>63.81939103289146</v>
      </c>
      <c r="X38" s="45">
        <f>'Forecasted Statements Combined'!AG51/'Forecasted Statements Combined'!AG$7*100</f>
        <v>55.510324677456424</v>
      </c>
    </row>
    <row r="39" spans="1:24">
      <c r="A39" s="1" t="s">
        <v>119</v>
      </c>
      <c r="B39" s="45">
        <f>ABS('Forecasted Statements Combined'!K52/'Forecasted Statements Combined'!K$7*100)</f>
        <v>2.0779220779220777</v>
      </c>
      <c r="C39" s="45">
        <f>ABS('Forecasted Statements Combined'!L52/'Forecasted Statements Combined'!L$7*100)</f>
        <v>0.33626487325400928</v>
      </c>
      <c r="D39" s="45">
        <f>ABS('Forecasted Statements Combined'!M52/'Forecasted Statements Combined'!M$7*100)</f>
        <v>0.25391451544646637</v>
      </c>
      <c r="E39" s="45">
        <f>ABS('Forecasted Statements Combined'!N52/'Forecasted Statements Combined'!N$7*100)</f>
        <v>0.27983210073955628</v>
      </c>
      <c r="F39" s="45">
        <f>ABS('Forecasted Statements Combined'!O52/'Forecasted Statements Combined'!O$7*100)</f>
        <v>0.46176911544227889</v>
      </c>
      <c r="G39" s="45"/>
      <c r="H39" s="45">
        <f>ABS('Forecasted Statements Combined'!Q52/'Forecasted Statements Combined'!Q$7*100)</f>
        <v>2.3317435082140965</v>
      </c>
      <c r="I39" s="45">
        <f>ABS('Forecasted Statements Combined'!R52/'Forecasted Statements Combined'!R$7*100)</f>
        <v>0.30736130321192562</v>
      </c>
      <c r="J39" s="45">
        <f>ABS('Forecasted Statements Combined'!S52/'Forecasted Statements Combined'!S$7*100)</f>
        <v>2.4496691538786428</v>
      </c>
      <c r="K39" s="45">
        <f>ABS('Forecasted Statements Combined'!T52/'Forecasted Statements Combined'!T$7*100)</f>
        <v>1.7924898600026169</v>
      </c>
      <c r="L39" s="45">
        <f>ABS('Forecasted Statements Combined'!U52/'Forecasted Statements Combined'!U$7*100)</f>
        <v>0.70223675410566988</v>
      </c>
      <c r="M39" s="45"/>
      <c r="N39" s="45">
        <f>ABS('Forecasted Statements Combined'!W52/'Forecasted Statements Combined'!W$7*100)</f>
        <v>2.208011583011583</v>
      </c>
      <c r="O39" s="45">
        <f>ABS('Forecasted Statements Combined'!X52/'Forecasted Statements Combined'!X$7*100)</f>
        <v>2.6998806682577565</v>
      </c>
      <c r="P39" s="45">
        <f>ABS('Forecasted Statements Combined'!Y52/'Forecasted Statements Combined'!Y$7*100)</f>
        <v>1.129657730568201</v>
      </c>
      <c r="Q39" s="45">
        <f>ABS('Forecasted Statements Combined'!Z52/'Forecasted Statements Combined'!Z$7*100)</f>
        <v>2.0161956701371673</v>
      </c>
      <c r="R39" s="45">
        <f>ABS('Forecasted Statements Combined'!AA52/'Forecasted Statements Combined'!AA$7*100)</f>
        <v>0.69326017646622673</v>
      </c>
      <c r="S39" s="45"/>
      <c r="T39" s="45">
        <f>ABS('Forecasted Statements Combined'!AC52/'Forecasted Statements Combined'!AC$7*100)</f>
        <v>2.3081201334816464</v>
      </c>
      <c r="U39" s="45">
        <f>ABS('Forecasted Statements Combined'!AD52/'Forecasted Statements Combined'!AD$7*100)</f>
        <v>5.871029836381136</v>
      </c>
      <c r="V39" s="45">
        <f>ABS('Forecasted Statements Combined'!AE52/'Forecasted Statements Combined'!AE$7*100)</f>
        <v>7.058498896247241</v>
      </c>
      <c r="W39" s="45">
        <f>ABS('Forecasted Statements Combined'!AF52/'Forecasted Statements Combined'!AF$7*100)</f>
        <v>8.2341763561507495</v>
      </c>
      <c r="X39" s="45">
        <f>ABS('Forecasted Statements Combined'!AG52/'Forecasted Statements Combined'!AG$7*100)</f>
        <v>6.6609763303896781</v>
      </c>
    </row>
    <row r="40" spans="1:24" ht="17" thickBot="1">
      <c r="A40" s="65" t="s">
        <v>120</v>
      </c>
      <c r="B40" s="48">
        <f>'Forecasted Statements Combined'!K54/'Forecasted Statements Combined'!K$7</f>
        <v>0.29772727272727273</v>
      </c>
      <c r="C40" s="48">
        <f>'Forecasted Statements Combined'!L54/'Forecasted Statements Combined'!L$7</f>
        <v>0.16088980858768753</v>
      </c>
      <c r="D40" s="48">
        <f>'Forecasted Statements Combined'!M54/'Forecasted Statements Combined'!M$7</f>
        <v>0.28269149386373255</v>
      </c>
      <c r="E40" s="48">
        <f>'Forecasted Statements Combined'!N54/'Forecasted Statements Combined'!N$7</f>
        <v>0.29122526484109534</v>
      </c>
      <c r="F40" s="48">
        <f>'Forecasted Statements Combined'!O54/'Forecasted Statements Combined'!O$7</f>
        <v>0.25979010494752625</v>
      </c>
      <c r="G40" s="48"/>
      <c r="H40" s="48">
        <f>'Forecasted Statements Combined'!Q54/'Forecasted Statements Combined'!Q$7</f>
        <v>0.33774951422010246</v>
      </c>
      <c r="I40" s="48">
        <f>'Forecasted Statements Combined'!R54/'Forecasted Statements Combined'!R$7</f>
        <v>0.36483786691255571</v>
      </c>
      <c r="J40" s="48">
        <f>'Forecasted Statements Combined'!S54/'Forecasted Statements Combined'!S$7</f>
        <v>0.3468956778825848</v>
      </c>
      <c r="K40" s="48">
        <f>'Forecasted Statements Combined'!T54/'Forecasted Statements Combined'!T$7</f>
        <v>0.39277770508962451</v>
      </c>
      <c r="L40" s="48">
        <f>'Forecasted Statements Combined'!U54/'Forecasted Statements Combined'!U$7</f>
        <v>0.36233930296499961</v>
      </c>
      <c r="M40" s="48"/>
      <c r="N40" s="48">
        <f>'Forecasted Statements Combined'!W54/'Forecasted Statements Combined'!W$7</f>
        <v>0.19522200772200773</v>
      </c>
      <c r="O40" s="48">
        <f>'Forecasted Statements Combined'!X54/'Forecasted Statements Combined'!X$7</f>
        <v>9.7852028639618144E-2</v>
      </c>
      <c r="P40" s="48">
        <f>'Forecasted Statements Combined'!Y54/'Forecasted Statements Combined'!Y$7</f>
        <v>0.11465182937110099</v>
      </c>
      <c r="Q40" s="48">
        <f>'Forecasted Statements Combined'!Z54/'Forecasted Statements Combined'!Z$7</f>
        <v>0.2336803834077012</v>
      </c>
      <c r="R40" s="48">
        <f>'Forecasted Statements Combined'!AA54/'Forecasted Statements Combined'!AA$7</f>
        <v>0.16193371394676356</v>
      </c>
      <c r="S40" s="48"/>
      <c r="T40" s="48">
        <f>'Forecasted Statements Combined'!AC54/'Forecasted Statements Combined'!AC$7</f>
        <v>0.28406562847608452</v>
      </c>
      <c r="U40" s="48">
        <f>'Forecasted Statements Combined'!AD54/'Forecasted Statements Combined'!AD$7</f>
        <v>0.45813282001924927</v>
      </c>
      <c r="V40" s="48">
        <f>'Forecasted Statements Combined'!AE54/'Forecasted Statements Combined'!AE$7</f>
        <v>0.51009933774834437</v>
      </c>
      <c r="W40" s="48">
        <f>'Forecasted Statements Combined'!AF54/'Forecasted Statements Combined'!AF$7</f>
        <v>0.55585214676740713</v>
      </c>
      <c r="X40" s="48">
        <f>'Forecasted Statements Combined'!AG54/'Forecasted Statements Combined'!AG$7</f>
        <v>0.4884934834706674</v>
      </c>
    </row>
    <row r="41" spans="1:24" ht="17" thickTop="1"/>
  </sheetData>
  <mergeCells count="4">
    <mergeCell ref="B4:F4"/>
    <mergeCell ref="H4:L4"/>
    <mergeCell ref="N4:R4"/>
    <mergeCell ref="T4:X4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075A-62F4-0F4D-ABBE-A4A8D734C561}">
  <sheetPr>
    <pageSetUpPr fitToPage="1"/>
  </sheetPr>
  <dimension ref="A1:E39"/>
  <sheetViews>
    <sheetView zoomScale="170" zoomScaleNormal="144" workbookViewId="0">
      <selection sqref="A1:B1"/>
    </sheetView>
  </sheetViews>
  <sheetFormatPr baseColWidth="10" defaultRowHeight="16"/>
  <cols>
    <col min="1" max="1" width="24.6640625" style="1" bestFit="1" customWidth="1"/>
    <col min="2" max="2" width="8.83203125" style="1" customWidth="1"/>
    <col min="3" max="3" width="10.83203125" style="1"/>
    <col min="4" max="4" width="27.33203125" style="1" customWidth="1"/>
    <col min="5" max="5" width="25.1640625" style="1" customWidth="1"/>
    <col min="6" max="16384" width="10.83203125" style="1"/>
  </cols>
  <sheetData>
    <row r="1" spans="1:5">
      <c r="A1" s="140" t="s">
        <v>60</v>
      </c>
      <c r="B1" s="141"/>
      <c r="C1" s="56"/>
      <c r="D1" s="140" t="s">
        <v>241</v>
      </c>
      <c r="E1" s="141"/>
    </row>
    <row r="2" spans="1:5" ht="16" customHeight="1">
      <c r="C2" s="56"/>
      <c r="D2" s="56"/>
      <c r="E2" s="56"/>
    </row>
    <row r="3" spans="1:5">
      <c r="A3" s="140" t="s">
        <v>41</v>
      </c>
      <c r="B3" s="142"/>
      <c r="C3" s="56"/>
      <c r="D3" s="73" t="s">
        <v>240</v>
      </c>
      <c r="E3" s="74">
        <v>858.17</v>
      </c>
    </row>
    <row r="4" spans="1:5">
      <c r="A4" s="75" t="s">
        <v>42</v>
      </c>
      <c r="B4" s="76">
        <f>E5/E14</f>
        <v>1.0038680837056499</v>
      </c>
      <c r="C4" s="56"/>
      <c r="D4" s="77" t="s">
        <v>43</v>
      </c>
      <c r="E4" s="78">
        <v>2469</v>
      </c>
    </row>
    <row r="5" spans="1:5">
      <c r="A5" s="75" t="s">
        <v>44</v>
      </c>
      <c r="B5" s="79">
        <v>8.5000000000000006E-2</v>
      </c>
      <c r="C5" s="56"/>
      <c r="D5" s="9" t="s">
        <v>185</v>
      </c>
      <c r="E5" s="80">
        <f>E3*E4</f>
        <v>2118821.73</v>
      </c>
    </row>
    <row r="6" spans="1:5">
      <c r="A6" s="77" t="s">
        <v>45</v>
      </c>
      <c r="B6" s="79">
        <v>0.04</v>
      </c>
      <c r="C6" s="56"/>
      <c r="D6" s="56"/>
      <c r="E6" s="81"/>
    </row>
    <row r="7" spans="1:5">
      <c r="A7" s="77" t="s">
        <v>58</v>
      </c>
      <c r="B7" s="133">
        <v>1.73</v>
      </c>
      <c r="C7" s="56"/>
      <c r="D7" s="73" t="s">
        <v>46</v>
      </c>
      <c r="E7" s="74">
        <f>'Balance Sheet'!G26</f>
        <v>1250</v>
      </c>
    </row>
    <row r="8" spans="1:5">
      <c r="A8" s="77" t="s">
        <v>47</v>
      </c>
      <c r="B8" s="79">
        <f>B5-B6</f>
        <v>4.5000000000000005E-2</v>
      </c>
      <c r="C8" s="56"/>
      <c r="D8" s="77" t="s">
        <v>48</v>
      </c>
      <c r="E8" s="80">
        <f>'Balance Sheet'!G28+'Balance Sheet'!G29</f>
        <v>9578</v>
      </c>
    </row>
    <row r="9" spans="1:5">
      <c r="A9" s="134" t="s">
        <v>59</v>
      </c>
      <c r="B9" s="135">
        <f>B6+(B7*B8)</f>
        <v>0.11785000000000001</v>
      </c>
      <c r="C9" s="56"/>
      <c r="D9" s="77" t="s">
        <v>49</v>
      </c>
      <c r="E9" s="80">
        <v>288.2</v>
      </c>
    </row>
    <row r="10" spans="1:5">
      <c r="A10" s="56"/>
      <c r="B10" s="56"/>
      <c r="C10" s="56"/>
      <c r="D10" s="77" t="s">
        <v>50</v>
      </c>
      <c r="E10" s="80">
        <f>'Balance Sheet'!G9</f>
        <v>18704</v>
      </c>
    </row>
    <row r="11" spans="1:5">
      <c r="A11" s="56"/>
      <c r="B11" s="56"/>
      <c r="C11" s="56"/>
      <c r="D11" s="77" t="s">
        <v>51</v>
      </c>
      <c r="E11" s="80">
        <f>E7+E8-E9-E10</f>
        <v>-8164.2000000000007</v>
      </c>
    </row>
    <row r="12" spans="1:5">
      <c r="A12" s="140" t="s">
        <v>52</v>
      </c>
      <c r="B12" s="142"/>
      <c r="C12" s="56"/>
      <c r="D12" s="56"/>
      <c r="E12" s="81"/>
    </row>
    <row r="13" spans="1:5">
      <c r="A13" s="77" t="s">
        <v>53</v>
      </c>
      <c r="B13" s="76">
        <f>E11/E14</f>
        <v>-3.8680837056497752E-3</v>
      </c>
      <c r="C13" s="56"/>
      <c r="D13" s="56"/>
      <c r="E13" s="81"/>
    </row>
    <row r="14" spans="1:5">
      <c r="A14" s="77" t="s">
        <v>54</v>
      </c>
      <c r="B14" s="79">
        <v>5.5E-2</v>
      </c>
      <c r="C14" s="56"/>
      <c r="D14" s="73" t="s">
        <v>176</v>
      </c>
      <c r="E14" s="74">
        <f>SUM(E5,E11)</f>
        <v>2110657.5299999998</v>
      </c>
    </row>
    <row r="15" spans="1:5">
      <c r="A15" s="77" t="s">
        <v>55</v>
      </c>
      <c r="B15" s="79">
        <f>'Income Statement Yearly'!G21/'Income Statement Yearly'!G20</f>
        <v>0.1199952687917677</v>
      </c>
      <c r="C15" s="56"/>
      <c r="D15" s="56"/>
      <c r="E15" s="56"/>
    </row>
    <row r="16" spans="1:5">
      <c r="A16" s="77" t="s">
        <v>56</v>
      </c>
      <c r="B16" s="79">
        <f>B14*(1-B15)</f>
        <v>4.840026021645278E-2</v>
      </c>
      <c r="C16" s="56"/>
      <c r="D16" s="56"/>
      <c r="E16" s="56"/>
    </row>
    <row r="17" spans="1:5">
      <c r="A17" s="56"/>
      <c r="B17" s="56"/>
      <c r="C17" s="56"/>
      <c r="D17" s="56"/>
      <c r="E17" s="56"/>
    </row>
    <row r="18" spans="1:5">
      <c r="A18" s="143" t="s">
        <v>57</v>
      </c>
      <c r="B18" s="144"/>
      <c r="C18" s="56"/>
      <c r="D18" s="56"/>
      <c r="E18" s="56"/>
    </row>
    <row r="19" spans="1:5">
      <c r="A19" s="138">
        <f>B9*B4+B16*B13</f>
        <v>0.11811863740681838</v>
      </c>
      <c r="B19" s="139"/>
      <c r="C19" s="56"/>
      <c r="D19" s="56"/>
      <c r="E19" s="56"/>
    </row>
    <row r="20" spans="1:5">
      <c r="A20" s="56"/>
      <c r="B20" s="56"/>
      <c r="C20" s="56"/>
      <c r="D20" s="56"/>
      <c r="E20" s="56"/>
    </row>
    <row r="21" spans="1:5">
      <c r="A21" s="56"/>
      <c r="B21" s="56"/>
      <c r="C21" s="56"/>
      <c r="D21" s="56"/>
      <c r="E21" s="56"/>
    </row>
    <row r="22" spans="1:5">
      <c r="A22" s="56"/>
      <c r="B22" s="56"/>
      <c r="C22" s="56"/>
      <c r="D22" s="56"/>
      <c r="E22" s="56"/>
    </row>
    <row r="23" spans="1:5">
      <c r="A23" s="56"/>
      <c r="B23" s="56"/>
      <c r="C23" s="56"/>
      <c r="D23" s="56"/>
      <c r="E23" s="56"/>
    </row>
    <row r="24" spans="1:5">
      <c r="A24" s="56"/>
      <c r="B24" s="56"/>
      <c r="C24" s="56"/>
      <c r="D24" s="56"/>
      <c r="E24" s="56"/>
    </row>
    <row r="25" spans="1:5">
      <c r="A25" s="56"/>
      <c r="B25" s="56"/>
      <c r="C25" s="56"/>
      <c r="D25" s="56"/>
      <c r="E25" s="56"/>
    </row>
    <row r="26" spans="1:5">
      <c r="A26" s="56"/>
      <c r="B26" s="56"/>
      <c r="C26" s="56"/>
      <c r="D26" s="56"/>
      <c r="E26" s="56"/>
    </row>
    <row r="27" spans="1:5">
      <c r="A27" s="56"/>
      <c r="B27" s="56"/>
      <c r="C27" s="56"/>
      <c r="D27" s="56"/>
      <c r="E27" s="56"/>
    </row>
    <row r="28" spans="1:5">
      <c r="A28" s="56"/>
      <c r="B28" s="56"/>
      <c r="C28" s="56"/>
      <c r="D28" s="56"/>
      <c r="E28" s="56"/>
    </row>
    <row r="29" spans="1:5">
      <c r="A29" s="56"/>
      <c r="B29" s="56"/>
      <c r="C29" s="56"/>
      <c r="D29" s="56"/>
      <c r="E29" s="56"/>
    </row>
    <row r="30" spans="1:5">
      <c r="A30" s="56"/>
      <c r="B30" s="56"/>
      <c r="C30" s="56"/>
      <c r="D30" s="56"/>
      <c r="E30" s="56"/>
    </row>
    <row r="31" spans="1:5">
      <c r="A31" s="56"/>
      <c r="B31" s="56"/>
      <c r="C31" s="56"/>
      <c r="D31" s="56"/>
      <c r="E31" s="56"/>
    </row>
    <row r="32" spans="1:5">
      <c r="A32" s="56"/>
      <c r="B32" s="56"/>
      <c r="C32" s="56"/>
      <c r="D32" s="56"/>
      <c r="E32" s="56"/>
    </row>
    <row r="33" spans="1:5">
      <c r="A33" s="56"/>
      <c r="B33" s="56"/>
      <c r="C33" s="56"/>
      <c r="D33" s="56"/>
      <c r="E33" s="56"/>
    </row>
    <row r="34" spans="1:5">
      <c r="A34" s="56"/>
      <c r="B34" s="56"/>
      <c r="C34" s="56"/>
      <c r="D34" s="56"/>
      <c r="E34" s="56"/>
    </row>
    <row r="35" spans="1:5">
      <c r="A35" s="56"/>
      <c r="B35" s="56"/>
      <c r="C35" s="56"/>
      <c r="D35" s="56"/>
      <c r="E35" s="56"/>
    </row>
    <row r="36" spans="1:5">
      <c r="A36" s="56"/>
      <c r="B36" s="56"/>
      <c r="C36" s="56"/>
      <c r="D36" s="56"/>
      <c r="E36" s="56"/>
    </row>
    <row r="37" spans="1:5">
      <c r="A37" s="56"/>
      <c r="B37" s="56"/>
      <c r="C37" s="56"/>
      <c r="D37" s="56"/>
      <c r="E37" s="56"/>
    </row>
    <row r="38" spans="1:5">
      <c r="A38" s="56"/>
      <c r="B38" s="56"/>
      <c r="C38" s="56"/>
      <c r="D38" s="56"/>
      <c r="E38" s="56"/>
    </row>
    <row r="39" spans="1:5">
      <c r="A39" s="56"/>
      <c r="B39" s="56"/>
      <c r="C39" s="56"/>
      <c r="D39" s="56"/>
      <c r="E39" s="56"/>
    </row>
  </sheetData>
  <mergeCells count="6">
    <mergeCell ref="A19:B19"/>
    <mergeCell ref="D1:E1"/>
    <mergeCell ref="A1:B1"/>
    <mergeCell ref="A3:B3"/>
    <mergeCell ref="A12:B12"/>
    <mergeCell ref="A18:B18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ROIC Calculation</vt:lpstr>
      <vt:lpstr>Forecasted Statements Combined</vt:lpstr>
      <vt:lpstr>Cash Flow Condensed</vt:lpstr>
      <vt:lpstr>Statement of Cash Flow</vt:lpstr>
      <vt:lpstr>Balance Sheet</vt:lpstr>
      <vt:lpstr>Income Statement Yearly</vt:lpstr>
      <vt:lpstr>Income Statement Quarterly In %</vt:lpstr>
      <vt:lpstr>Cost of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Kong, Nam</cp:lastModifiedBy>
  <cp:lastPrinted>2024-05-03T16:58:35Z</cp:lastPrinted>
  <dcterms:created xsi:type="dcterms:W3CDTF">2023-10-12T00:21:15Z</dcterms:created>
  <dcterms:modified xsi:type="dcterms:W3CDTF">2024-06-20T00:09:31Z</dcterms:modified>
</cp:coreProperties>
</file>