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esktop/Stock Valuation/Technology/"/>
    </mc:Choice>
  </mc:AlternateContent>
  <xr:revisionPtr revIDLastSave="0" documentId="13_ncr:1_{5302BBFF-972D-4348-8813-5DE211AB5752}" xr6:coauthVersionLast="47" xr6:coauthVersionMax="47" xr10:uidLastSave="{00000000-0000-0000-0000-000000000000}"/>
  <bookViews>
    <workbookView xWindow="1300" yWindow="500" windowWidth="23020" windowHeight="16280" xr2:uid="{34709D31-A2A9-6042-B963-6D25D99350A6}"/>
  </bookViews>
  <sheets>
    <sheet name="Overview" sheetId="3" r:id="rId1"/>
    <sheet name="Market Cap &gt; $1T" sheetId="7" r:id="rId2"/>
    <sheet name="Semiconductors" sheetId="6" r:id="rId3"/>
    <sheet name="Automotive Semiconductors" sheetId="13" r:id="rId4"/>
    <sheet name="Cybersecurity" sheetId="4" r:id="rId5"/>
    <sheet name="Ad-Selling Companies" sheetId="1" r:id="rId6"/>
    <sheet name="Cloud Computing Solutions" sheetId="2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3" l="1"/>
  <c r="AI12" i="3"/>
  <c r="AG12" i="3"/>
  <c r="AD12" i="3"/>
  <c r="AC12" i="3"/>
  <c r="U12" i="3"/>
  <c r="S12" i="3"/>
  <c r="R12" i="3"/>
  <c r="Q12" i="3"/>
  <c r="N12" i="3"/>
  <c r="G12" i="3"/>
  <c r="H12" i="3"/>
  <c r="AH11" i="3"/>
  <c r="AI11" i="3"/>
  <c r="AG11" i="3"/>
  <c r="AD11" i="3"/>
  <c r="AC11" i="3"/>
  <c r="U11" i="3"/>
  <c r="S11" i="3"/>
  <c r="R11" i="3"/>
  <c r="Q11" i="3"/>
  <c r="N11" i="3"/>
  <c r="G11" i="3"/>
  <c r="H11" i="3"/>
  <c r="AH10" i="3"/>
  <c r="AI10" i="3"/>
  <c r="AG10" i="3"/>
  <c r="AC10" i="3"/>
  <c r="U10" i="3"/>
  <c r="S10" i="3"/>
  <c r="D10" i="3" s="1"/>
  <c r="R10" i="3"/>
  <c r="Q10" i="3"/>
  <c r="N10" i="3"/>
  <c r="AD8" i="3"/>
  <c r="AC8" i="3"/>
  <c r="U9" i="3"/>
  <c r="S9" i="3"/>
  <c r="R9" i="3"/>
  <c r="Q9" i="3"/>
  <c r="N9" i="3"/>
  <c r="G9" i="3"/>
  <c r="H9" i="3"/>
  <c r="AH8" i="3"/>
  <c r="AI8" i="3"/>
  <c r="AG8" i="3"/>
  <c r="U8" i="3"/>
  <c r="S8" i="3"/>
  <c r="R8" i="3"/>
  <c r="N8" i="3"/>
  <c r="Q8" i="3"/>
  <c r="L8" i="3"/>
  <c r="H8" i="3"/>
  <c r="G8" i="3"/>
  <c r="E8" i="3"/>
  <c r="AH7" i="3"/>
  <c r="AI7" i="3"/>
  <c r="AG7" i="3"/>
  <c r="U7" i="3"/>
  <c r="U6" i="3"/>
  <c r="U5" i="3"/>
  <c r="AD7" i="3"/>
  <c r="AC7" i="3"/>
  <c r="S7" i="3"/>
  <c r="R7" i="3"/>
  <c r="Q7" i="3"/>
  <c r="N7" i="3"/>
  <c r="AH6" i="3"/>
  <c r="AI6" i="3"/>
  <c r="AG6" i="3"/>
  <c r="AD6" i="3"/>
  <c r="AC6" i="3"/>
  <c r="S6" i="3"/>
  <c r="R6" i="3"/>
  <c r="Q6" i="3"/>
  <c r="N6" i="3"/>
  <c r="D6" i="3"/>
  <c r="D7" i="3"/>
  <c r="D7" i="7" s="1"/>
  <c r="D8" i="3"/>
  <c r="D3" i="6" s="1"/>
  <c r="D9" i="3"/>
  <c r="D11" i="3"/>
  <c r="D12" i="3"/>
  <c r="D13" i="3"/>
  <c r="D14" i="3"/>
  <c r="D15" i="3"/>
  <c r="D2" i="4" s="1"/>
  <c r="D16" i="3"/>
  <c r="D17" i="3"/>
  <c r="D3" i="4" s="1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H5" i="3"/>
  <c r="AI5" i="3"/>
  <c r="AG5" i="3"/>
  <c r="AC5" i="3"/>
  <c r="S5" i="3"/>
  <c r="D5" i="3" s="1"/>
  <c r="D5" i="7" s="1"/>
  <c r="R5" i="3"/>
  <c r="Q5" i="3"/>
  <c r="N5" i="3"/>
  <c r="G4" i="3"/>
  <c r="H4" i="3"/>
  <c r="D4" i="3"/>
  <c r="AH4" i="3"/>
  <c r="AI4" i="3"/>
  <c r="AG4" i="3"/>
  <c r="U4" i="3"/>
  <c r="AD4" i="3"/>
  <c r="AC4" i="3"/>
  <c r="S4" i="3"/>
  <c r="R4" i="3"/>
  <c r="Q4" i="3"/>
  <c r="N4" i="3"/>
  <c r="D4" i="7"/>
  <c r="AC3" i="3"/>
  <c r="D3" i="3"/>
  <c r="D2" i="3"/>
  <c r="AD2" i="3"/>
  <c r="AH2" i="3"/>
  <c r="AI2" i="3"/>
  <c r="U2" i="3"/>
  <c r="AG2" i="3"/>
  <c r="S2" i="3"/>
  <c r="R2" i="3"/>
  <c r="Q2" i="3"/>
  <c r="N2" i="3"/>
  <c r="AC2" i="3"/>
  <c r="AF27" i="3"/>
  <c r="AC141" i="13"/>
  <c r="T23" i="3"/>
  <c r="T25" i="3"/>
  <c r="T27" i="3"/>
  <c r="T30" i="3"/>
  <c r="T31" i="3"/>
  <c r="T34" i="3"/>
  <c r="AB23" i="3"/>
  <c r="AE20" i="3"/>
  <c r="AE23" i="3"/>
  <c r="AE25" i="3"/>
  <c r="AF25" i="3" s="1"/>
  <c r="AE27" i="3"/>
  <c r="AA20" i="3"/>
  <c r="AA25" i="3"/>
  <c r="AA27" i="3"/>
  <c r="Z20" i="3"/>
  <c r="Z25" i="3"/>
  <c r="Z27" i="3"/>
  <c r="U23" i="3"/>
  <c r="AA23" i="3" s="1"/>
  <c r="R23" i="3"/>
  <c r="Z23" i="3" s="1"/>
  <c r="Q23" i="3"/>
  <c r="L20" i="3"/>
  <c r="V20" i="3" s="1"/>
  <c r="L23" i="3"/>
  <c r="V23" i="3" s="1"/>
  <c r="L25" i="3"/>
  <c r="V25" i="3" s="1"/>
  <c r="L27" i="3"/>
  <c r="V27" i="3" s="1"/>
  <c r="I27" i="3"/>
  <c r="I25" i="3"/>
  <c r="I23" i="3"/>
  <c r="I20" i="3"/>
  <c r="AC15" i="13"/>
  <c r="AC16" i="13"/>
  <c r="AC17" i="13"/>
  <c r="AC18" i="13"/>
  <c r="AC19" i="13"/>
  <c r="AC20" i="13"/>
  <c r="AC14" i="13"/>
  <c r="D2" i="7"/>
  <c r="D3" i="7"/>
  <c r="D6" i="7"/>
  <c r="C3" i="7"/>
  <c r="C4" i="7"/>
  <c r="C5" i="7"/>
  <c r="C6" i="7"/>
  <c r="C7" i="7"/>
  <c r="C2" i="7"/>
  <c r="D4" i="4"/>
  <c r="D5" i="4"/>
  <c r="D6" i="4"/>
  <c r="D7" i="4"/>
  <c r="D8" i="4"/>
  <c r="D9" i="4"/>
  <c r="D10" i="4"/>
  <c r="D11" i="4"/>
  <c r="D12" i="4"/>
  <c r="D13" i="4"/>
  <c r="C13" i="4"/>
  <c r="C12" i="4"/>
  <c r="C11" i="4"/>
  <c r="C10" i="4"/>
  <c r="C9" i="4"/>
  <c r="C8" i="4"/>
  <c r="C7" i="4"/>
  <c r="C6" i="4"/>
  <c r="C5" i="4"/>
  <c r="C4" i="4"/>
  <c r="C3" i="4"/>
  <c r="C2" i="4"/>
  <c r="AB13" i="6"/>
  <c r="U8" i="6"/>
  <c r="D2" i="6"/>
  <c r="D4" i="6"/>
  <c r="D5" i="6"/>
  <c r="D6" i="6"/>
  <c r="C6" i="6"/>
  <c r="C5" i="6"/>
  <c r="E5" i="6" s="1"/>
  <c r="C4" i="6"/>
  <c r="C3" i="6"/>
  <c r="C2" i="6"/>
  <c r="AO27" i="13"/>
  <c r="AP24" i="13"/>
  <c r="AP25" i="13"/>
  <c r="AP26" i="13"/>
  <c r="AP27" i="13"/>
  <c r="AP28" i="13"/>
  <c r="AP29" i="13"/>
  <c r="AP30" i="13"/>
  <c r="AO29" i="13"/>
  <c r="AO30" i="13"/>
  <c r="AO28" i="13"/>
  <c r="AO26" i="13"/>
  <c r="AO25" i="13"/>
  <c r="AO24" i="13"/>
  <c r="AO9" i="13"/>
  <c r="AO10" i="13"/>
  <c r="AO8" i="13"/>
  <c r="AO7" i="13"/>
  <c r="AO6" i="13"/>
  <c r="AO5" i="13"/>
  <c r="AO4" i="13"/>
  <c r="AA29" i="3"/>
  <c r="Z162" i="13"/>
  <c r="Z163" i="13"/>
  <c r="X29" i="13"/>
  <c r="X28" i="13"/>
  <c r="X37" i="13" s="1"/>
  <c r="X46" i="13" s="1"/>
  <c r="Y28" i="13"/>
  <c r="Y37" i="13" s="1"/>
  <c r="Y46" i="13" s="1"/>
  <c r="Z28" i="13"/>
  <c r="Z37" i="13" s="1"/>
  <c r="Z46" i="13" s="1"/>
  <c r="AA28" i="13"/>
  <c r="AA37" i="13" s="1"/>
  <c r="AA46" i="13" s="1"/>
  <c r="X38" i="13"/>
  <c r="X47" i="13" s="1"/>
  <c r="Y29" i="13"/>
  <c r="Z29" i="13"/>
  <c r="Z38" i="13" s="1"/>
  <c r="Z47" i="13" s="1"/>
  <c r="AA29" i="13"/>
  <c r="X30" i="13"/>
  <c r="X39" i="13" s="1"/>
  <c r="X48" i="13" s="1"/>
  <c r="Y30" i="13"/>
  <c r="Z30" i="13"/>
  <c r="AA30" i="13"/>
  <c r="AA39" i="13" s="1"/>
  <c r="AA48" i="13" s="1"/>
  <c r="AB30" i="13"/>
  <c r="AB29" i="13"/>
  <c r="AB28" i="13"/>
  <c r="AB37" i="13" s="1"/>
  <c r="X24" i="13"/>
  <c r="Y24" i="13"/>
  <c r="Y33" i="13" s="1"/>
  <c r="Z24" i="13"/>
  <c r="AA24" i="13"/>
  <c r="X25" i="13"/>
  <c r="Y25" i="13"/>
  <c r="Y34" i="13" s="1"/>
  <c r="Z25" i="13"/>
  <c r="Z34" i="13" s="1"/>
  <c r="AA25" i="13"/>
  <c r="AA34" i="13" s="1"/>
  <c r="X26" i="13"/>
  <c r="X35" i="13" s="1"/>
  <c r="Y26" i="13"/>
  <c r="Z26" i="13"/>
  <c r="AA26" i="13"/>
  <c r="X27" i="13"/>
  <c r="Y27" i="13"/>
  <c r="Z27" i="13"/>
  <c r="AA27" i="13"/>
  <c r="AB24" i="13"/>
  <c r="AB25" i="13"/>
  <c r="AB34" i="13" s="1"/>
  <c r="AB26" i="13"/>
  <c r="AB27" i="13"/>
  <c r="X179" i="13"/>
  <c r="AB179" i="13"/>
  <c r="AA179" i="13"/>
  <c r="Z179" i="13"/>
  <c r="Y179" i="13"/>
  <c r="AC180" i="13"/>
  <c r="AC179" i="13"/>
  <c r="AC178" i="13"/>
  <c r="X127" i="13"/>
  <c r="Y126" i="13"/>
  <c r="Y176" i="13" s="1"/>
  <c r="Y177" i="13" s="1"/>
  <c r="Z126" i="13"/>
  <c r="Z176" i="13" s="1"/>
  <c r="Z177" i="13" s="1"/>
  <c r="AA126" i="13"/>
  <c r="AA176" i="13" s="1"/>
  <c r="AA177" i="13" s="1"/>
  <c r="AB126" i="13"/>
  <c r="AB176" i="13" s="1"/>
  <c r="AB177" i="13" s="1"/>
  <c r="X126" i="13"/>
  <c r="X176" i="13" s="1"/>
  <c r="X177" i="13" s="1"/>
  <c r="AB127" i="13"/>
  <c r="AA127" i="13"/>
  <c r="Z127" i="13"/>
  <c r="Y127" i="13"/>
  <c r="AC127" i="13"/>
  <c r="AC126" i="13"/>
  <c r="AC176" i="13" s="1"/>
  <c r="AC177" i="13" s="1"/>
  <c r="V20" i="13"/>
  <c r="W20" i="13"/>
  <c r="X20" i="13"/>
  <c r="Y20" i="13"/>
  <c r="Z20" i="13"/>
  <c r="AA20" i="13"/>
  <c r="AB20" i="13"/>
  <c r="N20" i="13"/>
  <c r="O20" i="13"/>
  <c r="P20" i="13"/>
  <c r="Q20" i="13"/>
  <c r="R20" i="13"/>
  <c r="S20" i="13"/>
  <c r="T20" i="13"/>
  <c r="U20" i="13"/>
  <c r="D20" i="13"/>
  <c r="E20" i="13"/>
  <c r="F20" i="13"/>
  <c r="G20" i="13"/>
  <c r="H20" i="13"/>
  <c r="I20" i="13"/>
  <c r="J20" i="13"/>
  <c r="K20" i="13"/>
  <c r="L20" i="13"/>
  <c r="M20" i="13"/>
  <c r="C20" i="13"/>
  <c r="X172" i="13"/>
  <c r="AC173" i="13"/>
  <c r="AC172" i="13"/>
  <c r="AC171" i="13"/>
  <c r="AB172" i="13"/>
  <c r="AA172" i="13"/>
  <c r="Z172" i="13"/>
  <c r="Y172" i="13"/>
  <c r="X169" i="13"/>
  <c r="X170" i="13" s="1"/>
  <c r="Y169" i="13"/>
  <c r="Y170" i="13" s="1"/>
  <c r="Z169" i="13"/>
  <c r="Z170" i="13" s="1"/>
  <c r="AA169" i="13"/>
  <c r="AA170" i="13" s="1"/>
  <c r="X123" i="13"/>
  <c r="X124" i="13" s="1"/>
  <c r="Y123" i="13"/>
  <c r="Y124" i="13" s="1"/>
  <c r="Z123" i="13"/>
  <c r="Z124" i="13" s="1"/>
  <c r="AA123" i="13"/>
  <c r="AA124" i="13" s="1"/>
  <c r="AB123" i="13"/>
  <c r="AB122" i="13"/>
  <c r="AB169" i="13" s="1"/>
  <c r="AB170" i="13" s="1"/>
  <c r="AC123" i="13"/>
  <c r="AC122" i="13"/>
  <c r="AC169" i="13" s="1"/>
  <c r="AC170" i="13" s="1"/>
  <c r="V19" i="13"/>
  <c r="W19" i="13"/>
  <c r="X19" i="13"/>
  <c r="Y19" i="13"/>
  <c r="Z19" i="13"/>
  <c r="AA19" i="13"/>
  <c r="AB19" i="13"/>
  <c r="L19" i="13"/>
  <c r="M19" i="13"/>
  <c r="N19" i="13"/>
  <c r="O19" i="13"/>
  <c r="P19" i="13"/>
  <c r="Q19" i="13"/>
  <c r="R19" i="13"/>
  <c r="S19" i="13"/>
  <c r="T19" i="13"/>
  <c r="U19" i="13"/>
  <c r="K19" i="13"/>
  <c r="AB18" i="13"/>
  <c r="T18" i="13"/>
  <c r="U18" i="13"/>
  <c r="V18" i="13"/>
  <c r="W18" i="13"/>
  <c r="X18" i="13"/>
  <c r="Y18" i="13"/>
  <c r="Z18" i="13"/>
  <c r="AA18" i="13"/>
  <c r="O18" i="13"/>
  <c r="P18" i="13"/>
  <c r="Q18" i="13"/>
  <c r="R18" i="13"/>
  <c r="S18" i="13"/>
  <c r="H18" i="13"/>
  <c r="I18" i="13"/>
  <c r="J18" i="13"/>
  <c r="K18" i="13"/>
  <c r="L18" i="13"/>
  <c r="M18" i="13"/>
  <c r="N18" i="13"/>
  <c r="G18" i="13"/>
  <c r="Y17" i="13"/>
  <c r="Z17" i="13"/>
  <c r="AA17" i="13"/>
  <c r="AB17" i="13"/>
  <c r="R17" i="13"/>
  <c r="S17" i="13"/>
  <c r="T17" i="13"/>
  <c r="U17" i="13"/>
  <c r="V17" i="13"/>
  <c r="W17" i="13"/>
  <c r="X17" i="13"/>
  <c r="N17" i="13"/>
  <c r="O17" i="13"/>
  <c r="P17" i="13"/>
  <c r="Q17" i="13"/>
  <c r="F17" i="13"/>
  <c r="G17" i="13"/>
  <c r="H17" i="13"/>
  <c r="I17" i="13"/>
  <c r="J17" i="13"/>
  <c r="K17" i="13"/>
  <c r="L17" i="13"/>
  <c r="M17" i="13"/>
  <c r="E17" i="13"/>
  <c r="X165" i="13"/>
  <c r="AC165" i="13"/>
  <c r="AC166" i="13"/>
  <c r="AC164" i="13"/>
  <c r="AB162" i="13"/>
  <c r="AB163" i="13" s="1"/>
  <c r="AA162" i="13"/>
  <c r="AA163" i="13" s="1"/>
  <c r="Y163" i="13"/>
  <c r="X162" i="13"/>
  <c r="X163" i="13" s="1"/>
  <c r="X119" i="13"/>
  <c r="X120" i="13" s="1"/>
  <c r="AB119" i="13"/>
  <c r="AB120" i="13" s="1"/>
  <c r="AA119" i="13"/>
  <c r="AA120" i="13" s="1"/>
  <c r="Z119" i="13"/>
  <c r="Z120" i="13" s="1"/>
  <c r="Y119" i="13"/>
  <c r="Y120" i="13" s="1"/>
  <c r="AC119" i="13"/>
  <c r="AC118" i="13"/>
  <c r="B44" i="3" l="1"/>
  <c r="AF23" i="3"/>
  <c r="AF20" i="3"/>
  <c r="X27" i="3"/>
  <c r="X20" i="3"/>
  <c r="X25" i="3"/>
  <c r="X23" i="3"/>
  <c r="W27" i="3"/>
  <c r="W25" i="3"/>
  <c r="W23" i="3"/>
  <c r="W20" i="3"/>
  <c r="AB46" i="13"/>
  <c r="AA38" i="13"/>
  <c r="AA47" i="13" s="1"/>
  <c r="Z39" i="13"/>
  <c r="Z48" i="13" s="1"/>
  <c r="Y39" i="13"/>
  <c r="Y48" i="13" s="1"/>
  <c r="Y38" i="13"/>
  <c r="Y47" i="13" s="1"/>
  <c r="AB39" i="13"/>
  <c r="AB48" i="13" s="1"/>
  <c r="AB38" i="13"/>
  <c r="AB47" i="13" s="1"/>
  <c r="AB128" i="13"/>
  <c r="AC120" i="13"/>
  <c r="Z128" i="13"/>
  <c r="AA128" i="13"/>
  <c r="Y128" i="13"/>
  <c r="AC128" i="13"/>
  <c r="X128" i="13"/>
  <c r="AC124" i="13"/>
  <c r="AC162" i="13"/>
  <c r="AC163" i="13" s="1"/>
  <c r="AB124" i="13"/>
  <c r="AB158" i="13" l="1"/>
  <c r="AA36" i="13" s="1"/>
  <c r="AC159" i="13"/>
  <c r="AC157" i="13"/>
  <c r="AA158" i="13"/>
  <c r="Z36" i="13" s="1"/>
  <c r="Z45" i="13" s="1"/>
  <c r="Z158" i="13"/>
  <c r="Y36" i="13" s="1"/>
  <c r="Y158" i="13"/>
  <c r="X36" i="13" s="1"/>
  <c r="X158" i="13"/>
  <c r="X155" i="13"/>
  <c r="AL158" i="13"/>
  <c r="AK158" i="13"/>
  <c r="AJ158" i="13"/>
  <c r="AC154" i="13"/>
  <c r="X156" i="13"/>
  <c r="AC115" i="13"/>
  <c r="AB115" i="13"/>
  <c r="AA115" i="13"/>
  <c r="Z115" i="13"/>
  <c r="Y115" i="13"/>
  <c r="X115" i="13"/>
  <c r="X114" i="13"/>
  <c r="Y114" i="13"/>
  <c r="Z114" i="13"/>
  <c r="Z155" i="13" s="1"/>
  <c r="Z156" i="13" s="1"/>
  <c r="AA114" i="13"/>
  <c r="AA155" i="13" s="1"/>
  <c r="AA156" i="13" s="1"/>
  <c r="AB114" i="13"/>
  <c r="AC114" i="13"/>
  <c r="AC155" i="13" s="1"/>
  <c r="G64" i="13"/>
  <c r="C1" i="13"/>
  <c r="B1" i="13" s="1"/>
  <c r="AB151" i="13"/>
  <c r="AB35" i="13" s="1"/>
  <c r="AA151" i="13"/>
  <c r="AA35" i="13" s="1"/>
  <c r="Z151" i="13"/>
  <c r="Z35" i="13" s="1"/>
  <c r="Z44" i="13" s="1"/>
  <c r="Y151" i="13"/>
  <c r="Y35" i="13" s="1"/>
  <c r="AK151" i="13"/>
  <c r="AJ151" i="13"/>
  <c r="X148" i="13"/>
  <c r="X149" i="13" s="1"/>
  <c r="Y148" i="13"/>
  <c r="Y149" i="13" s="1"/>
  <c r="X44" i="13" s="1"/>
  <c r="AC152" i="13"/>
  <c r="AC150" i="13"/>
  <c r="AB111" i="13"/>
  <c r="Z110" i="13"/>
  <c r="Z112" i="13" s="1"/>
  <c r="AA110" i="13"/>
  <c r="AA148" i="13" s="1"/>
  <c r="AA149" i="13" s="1"/>
  <c r="AB110" i="13"/>
  <c r="Y112" i="13"/>
  <c r="X112" i="13"/>
  <c r="AC111" i="13"/>
  <c r="AC110" i="13"/>
  <c r="AC148" i="13" s="1"/>
  <c r="AC149" i="13" s="1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X144" i="13"/>
  <c r="X34" i="13" s="1"/>
  <c r="AC145" i="13"/>
  <c r="AC144" i="13"/>
  <c r="AC143" i="13"/>
  <c r="AA141" i="13"/>
  <c r="AA142" i="13" s="1"/>
  <c r="Z43" i="13" s="1"/>
  <c r="Z141" i="13"/>
  <c r="Z142" i="13" s="1"/>
  <c r="Y43" i="13" s="1"/>
  <c r="Y141" i="13"/>
  <c r="Y142" i="13" s="1"/>
  <c r="X107" i="13"/>
  <c r="X106" i="13"/>
  <c r="X141" i="13" s="1"/>
  <c r="X142" i="13" s="1"/>
  <c r="Y107" i="13"/>
  <c r="Y108" i="13" s="1"/>
  <c r="Z107" i="13"/>
  <c r="Z108" i="13" s="1"/>
  <c r="AA107" i="13"/>
  <c r="AA108" i="13" s="1"/>
  <c r="AB107" i="13"/>
  <c r="AB106" i="13"/>
  <c r="AC107" i="13"/>
  <c r="AC106" i="13"/>
  <c r="AC138" i="13"/>
  <c r="AC136" i="13"/>
  <c r="AL137" i="13"/>
  <c r="AK137" i="13"/>
  <c r="AJ137" i="13"/>
  <c r="AC5" i="13"/>
  <c r="AC6" i="13"/>
  <c r="AC7" i="13"/>
  <c r="AC8" i="13"/>
  <c r="AC9" i="13"/>
  <c r="AC10" i="13"/>
  <c r="AC4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B134" i="13"/>
  <c r="AB135" i="13" s="1"/>
  <c r="AA134" i="13"/>
  <c r="AA135" i="13" s="1"/>
  <c r="Z134" i="13"/>
  <c r="Z135" i="13" s="1"/>
  <c r="Y42" i="13" s="1"/>
  <c r="Y134" i="13"/>
  <c r="Y135" i="13" s="1"/>
  <c r="X134" i="13"/>
  <c r="X135" i="13" s="1"/>
  <c r="AB137" i="13"/>
  <c r="AB33" i="13" s="1"/>
  <c r="AB42" i="13" s="1"/>
  <c r="Z137" i="13"/>
  <c r="Z33" i="13" s="1"/>
  <c r="Z42" i="13" s="1"/>
  <c r="X137" i="13"/>
  <c r="X33" i="13" s="1"/>
  <c r="X42" i="13" s="1"/>
  <c r="AA137" i="13"/>
  <c r="AA33" i="13" s="1"/>
  <c r="AA42" i="13" s="1"/>
  <c r="AC103" i="13"/>
  <c r="AB103" i="13"/>
  <c r="AB104" i="13" s="1"/>
  <c r="AA103" i="13"/>
  <c r="AA104" i="13" s="1"/>
  <c r="Z103" i="13"/>
  <c r="Z104" i="13" s="1"/>
  <c r="Y103" i="13"/>
  <c r="Y104" i="13" s="1"/>
  <c r="X103" i="13"/>
  <c r="X104" i="13" s="1"/>
  <c r="AC102" i="13"/>
  <c r="AC134" i="13" s="1"/>
  <c r="AC135" i="13" s="1"/>
  <c r="V14" i="13"/>
  <c r="W14" i="13"/>
  <c r="X14" i="13"/>
  <c r="Y14" i="13"/>
  <c r="Z14" i="13"/>
  <c r="AA14" i="13"/>
  <c r="AB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E14" i="13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Y3" i="6"/>
  <c r="Y4" i="6"/>
  <c r="Y5" i="6"/>
  <c r="Y6" i="6"/>
  <c r="Y7" i="6"/>
  <c r="Y8" i="6"/>
  <c r="Y9" i="6"/>
  <c r="Y10" i="6"/>
  <c r="Y11" i="6"/>
  <c r="Y12" i="6"/>
  <c r="Y13" i="6"/>
  <c r="Y2" i="6"/>
  <c r="AH11" i="6"/>
  <c r="AD11" i="6"/>
  <c r="AE11" i="6" s="1"/>
  <c r="AA11" i="6"/>
  <c r="S11" i="6"/>
  <c r="S9" i="6"/>
  <c r="Z11" i="6"/>
  <c r="H11" i="6"/>
  <c r="I11" i="6" s="1"/>
  <c r="G11" i="6"/>
  <c r="L11" i="6" s="1"/>
  <c r="W11" i="6" s="1"/>
  <c r="E11" i="6"/>
  <c r="AH29" i="3"/>
  <c r="T29" i="3" s="1"/>
  <c r="AD29" i="3"/>
  <c r="AE29" i="3" s="1"/>
  <c r="Z29" i="3"/>
  <c r="H29" i="3"/>
  <c r="L29" i="3" s="1"/>
  <c r="E29" i="3"/>
  <c r="AH13" i="6"/>
  <c r="S13" i="6" s="1"/>
  <c r="AD13" i="6"/>
  <c r="H13" i="6"/>
  <c r="G13" i="6"/>
  <c r="I13" i="6" s="1"/>
  <c r="AD7" i="6"/>
  <c r="AA13" i="6"/>
  <c r="AA7" i="6"/>
  <c r="AA8" i="6"/>
  <c r="AA5" i="6"/>
  <c r="Z13" i="6"/>
  <c r="Z7" i="6"/>
  <c r="Z8" i="6"/>
  <c r="Z5" i="6"/>
  <c r="G7" i="6"/>
  <c r="L7" i="6" s="1"/>
  <c r="V7" i="6" s="1"/>
  <c r="H7" i="6"/>
  <c r="AH12" i="6"/>
  <c r="AI12" i="6"/>
  <c r="AG12" i="6"/>
  <c r="AD12" i="6"/>
  <c r="AC12" i="6"/>
  <c r="T12" i="6"/>
  <c r="R12" i="6"/>
  <c r="Q12" i="6"/>
  <c r="N12" i="6"/>
  <c r="H12" i="6"/>
  <c r="L12" i="6" s="1"/>
  <c r="U12" i="6" s="1"/>
  <c r="G12" i="6"/>
  <c r="AI10" i="6"/>
  <c r="AH10" i="6"/>
  <c r="AG10" i="6"/>
  <c r="AD10" i="6"/>
  <c r="AE10" i="6" s="1"/>
  <c r="AC10" i="6"/>
  <c r="T10" i="6"/>
  <c r="R10" i="6"/>
  <c r="Q10" i="6"/>
  <c r="N10" i="6"/>
  <c r="H10" i="6"/>
  <c r="G10" i="6"/>
  <c r="AH9" i="6"/>
  <c r="AE13" i="6"/>
  <c r="AE7" i="6"/>
  <c r="AD9" i="6"/>
  <c r="AE9" i="6" s="1"/>
  <c r="AA9" i="6"/>
  <c r="S7" i="6"/>
  <c r="Z9" i="6"/>
  <c r="G9" i="6"/>
  <c r="H9" i="6"/>
  <c r="I9" i="6" s="1"/>
  <c r="E9" i="6"/>
  <c r="E10" i="6"/>
  <c r="E12" i="6"/>
  <c r="E13" i="6"/>
  <c r="E7" i="6"/>
  <c r="AH22" i="3"/>
  <c r="T22" i="3" s="1"/>
  <c r="AD22" i="3"/>
  <c r="AE22" i="3" s="1"/>
  <c r="AA22" i="3"/>
  <c r="Z22" i="3"/>
  <c r="H22" i="3"/>
  <c r="L22" i="3" s="1"/>
  <c r="E22" i="3"/>
  <c r="E34" i="3"/>
  <c r="Q3" i="6"/>
  <c r="AD8" i="6"/>
  <c r="AE8" i="6" s="1"/>
  <c r="S8" i="6"/>
  <c r="H8" i="6"/>
  <c r="G8" i="6"/>
  <c r="E8" i="6"/>
  <c r="X3" i="4"/>
  <c r="X4" i="4"/>
  <c r="X5" i="4"/>
  <c r="X6" i="4"/>
  <c r="X7" i="4"/>
  <c r="X8" i="4"/>
  <c r="X9" i="4"/>
  <c r="X10" i="4"/>
  <c r="X11" i="4"/>
  <c r="X12" i="4"/>
  <c r="X13" i="4"/>
  <c r="X2" i="4"/>
  <c r="B29" i="4" s="1"/>
  <c r="B22" i="4"/>
  <c r="AG8" i="4"/>
  <c r="AC8" i="4"/>
  <c r="AD8" i="4" s="1"/>
  <c r="Z8" i="4"/>
  <c r="Y8" i="4"/>
  <c r="R8" i="4"/>
  <c r="H8" i="4"/>
  <c r="G8" i="4"/>
  <c r="E8" i="4"/>
  <c r="AG7" i="4"/>
  <c r="R7" i="4" s="1"/>
  <c r="AC7" i="4"/>
  <c r="AD7" i="4" s="1"/>
  <c r="Z7" i="4"/>
  <c r="Y7" i="4"/>
  <c r="H7" i="4"/>
  <c r="K7" i="4" s="1"/>
  <c r="U7" i="4" s="1"/>
  <c r="E7" i="4"/>
  <c r="AP9" i="4"/>
  <c r="AG9" i="4"/>
  <c r="R9" i="4" s="1"/>
  <c r="AC9" i="4"/>
  <c r="AD9" i="4" s="1"/>
  <c r="Z9" i="4"/>
  <c r="Y9" i="4"/>
  <c r="H9" i="4"/>
  <c r="G9" i="4"/>
  <c r="E9" i="4"/>
  <c r="AG13" i="4"/>
  <c r="R13" i="4" s="1"/>
  <c r="AC13" i="4"/>
  <c r="AD13" i="4" s="1"/>
  <c r="Z13" i="4"/>
  <c r="Y13" i="4"/>
  <c r="H13" i="4"/>
  <c r="I13" i="4" s="1"/>
  <c r="E13" i="4"/>
  <c r="AG11" i="4"/>
  <c r="R11" i="4" s="1"/>
  <c r="AC11" i="4"/>
  <c r="AD11" i="4" s="1"/>
  <c r="Z11" i="4"/>
  <c r="Y11" i="4"/>
  <c r="H11" i="4"/>
  <c r="G11" i="4"/>
  <c r="E11" i="4"/>
  <c r="AG4" i="4"/>
  <c r="R4" i="4" s="1"/>
  <c r="AC4" i="4"/>
  <c r="AD4" i="4" s="1"/>
  <c r="Z4" i="4"/>
  <c r="Y4" i="4"/>
  <c r="H4" i="4"/>
  <c r="G4" i="4"/>
  <c r="E4" i="4"/>
  <c r="AG6" i="4"/>
  <c r="R6" i="4" s="1"/>
  <c r="AC6" i="4"/>
  <c r="AD6" i="4" s="1"/>
  <c r="Z6" i="4"/>
  <c r="Y6" i="4"/>
  <c r="H6" i="4"/>
  <c r="G6" i="4"/>
  <c r="E6" i="4"/>
  <c r="AC3" i="4"/>
  <c r="AD3" i="4" s="1"/>
  <c r="Z3" i="4"/>
  <c r="Y3" i="4"/>
  <c r="R3" i="4"/>
  <c r="H3" i="4"/>
  <c r="G3" i="4"/>
  <c r="E3" i="4"/>
  <c r="B20" i="4"/>
  <c r="B19" i="4"/>
  <c r="N12" i="4" s="1"/>
  <c r="AC12" i="4"/>
  <c r="AD12" i="4" s="1"/>
  <c r="Z12" i="4"/>
  <c r="Y12" i="4"/>
  <c r="R12" i="4"/>
  <c r="H12" i="4"/>
  <c r="G12" i="4"/>
  <c r="E12" i="4"/>
  <c r="AP10" i="4"/>
  <c r="AC10" i="4"/>
  <c r="AD10" i="4" s="1"/>
  <c r="Z10" i="4"/>
  <c r="Y10" i="4"/>
  <c r="R10" i="4"/>
  <c r="H10" i="4"/>
  <c r="G10" i="4"/>
  <c r="E10" i="4"/>
  <c r="AP2" i="4"/>
  <c r="AC2" i="4"/>
  <c r="AD2" i="4" s="1"/>
  <c r="Z2" i="4"/>
  <c r="Y2" i="4"/>
  <c r="R2" i="4"/>
  <c r="H2" i="4"/>
  <c r="G2" i="4"/>
  <c r="E2" i="4"/>
  <c r="AC5" i="4"/>
  <c r="AD5" i="4" s="1"/>
  <c r="Z5" i="4"/>
  <c r="Y5" i="4"/>
  <c r="R5" i="4"/>
  <c r="H5" i="4"/>
  <c r="G5" i="4"/>
  <c r="E5" i="4"/>
  <c r="B11" i="7"/>
  <c r="B16" i="7"/>
  <c r="AB6" i="7"/>
  <c r="AA6" i="7"/>
  <c r="X6" i="7"/>
  <c r="W6" i="7"/>
  <c r="Q6" i="7"/>
  <c r="H6" i="7"/>
  <c r="I6" i="7" s="1"/>
  <c r="E6" i="7"/>
  <c r="B14" i="7"/>
  <c r="B13" i="7"/>
  <c r="AA7" i="7"/>
  <c r="AB7" i="7" s="1"/>
  <c r="X7" i="7"/>
  <c r="W7" i="7"/>
  <c r="Q7" i="7"/>
  <c r="N7" i="7"/>
  <c r="H7" i="7"/>
  <c r="G7" i="7"/>
  <c r="E7" i="7"/>
  <c r="AA5" i="7"/>
  <c r="AB5" i="7" s="1"/>
  <c r="X5" i="7"/>
  <c r="W5" i="7"/>
  <c r="Q5" i="7"/>
  <c r="Y5" i="7" s="1"/>
  <c r="H5" i="7"/>
  <c r="G5" i="7"/>
  <c r="E5" i="7"/>
  <c r="AA3" i="7"/>
  <c r="AB3" i="7" s="1"/>
  <c r="X3" i="7"/>
  <c r="W3" i="7"/>
  <c r="Q3" i="7"/>
  <c r="H3" i="7"/>
  <c r="G3" i="7"/>
  <c r="E3" i="7"/>
  <c r="AA4" i="7"/>
  <c r="AB4" i="7" s="1"/>
  <c r="X4" i="7"/>
  <c r="W4" i="7"/>
  <c r="Q4" i="7"/>
  <c r="N4" i="7"/>
  <c r="H4" i="7"/>
  <c r="G4" i="7"/>
  <c r="E4" i="7"/>
  <c r="AA2" i="7"/>
  <c r="AB2" i="7" s="1"/>
  <c r="X2" i="7"/>
  <c r="W2" i="7"/>
  <c r="Q2" i="7"/>
  <c r="N2" i="7"/>
  <c r="H2" i="7"/>
  <c r="G2" i="7"/>
  <c r="E2" i="7"/>
  <c r="B21" i="6"/>
  <c r="AD5" i="6"/>
  <c r="AE5" i="6" s="1"/>
  <c r="S5" i="6"/>
  <c r="H5" i="6"/>
  <c r="G5" i="6"/>
  <c r="AD4" i="6"/>
  <c r="AE4" i="6" s="1"/>
  <c r="AA4" i="6"/>
  <c r="Z4" i="6"/>
  <c r="S4" i="6"/>
  <c r="H4" i="6"/>
  <c r="G4" i="6"/>
  <c r="E4" i="6"/>
  <c r="AI3" i="6"/>
  <c r="AH3" i="6"/>
  <c r="AG3" i="6"/>
  <c r="AD3" i="6"/>
  <c r="AC3" i="6"/>
  <c r="T3" i="6"/>
  <c r="R3" i="6"/>
  <c r="N3" i="6"/>
  <c r="H3" i="6"/>
  <c r="G3" i="6"/>
  <c r="AD2" i="6"/>
  <c r="AE2" i="6" s="1"/>
  <c r="AA2" i="6"/>
  <c r="Z2" i="6"/>
  <c r="S2" i="6"/>
  <c r="H2" i="6"/>
  <c r="G2" i="6"/>
  <c r="E2" i="6"/>
  <c r="AP6" i="6"/>
  <c r="AH6" i="6"/>
  <c r="S6" i="6" s="1"/>
  <c r="AD6" i="6"/>
  <c r="AE6" i="6" s="1"/>
  <c r="AA6" i="6"/>
  <c r="Z6" i="6"/>
  <c r="H6" i="6"/>
  <c r="G6" i="6"/>
  <c r="E6" i="6"/>
  <c r="Z24" i="3"/>
  <c r="Z26" i="3"/>
  <c r="Z28" i="3"/>
  <c r="Z31" i="3"/>
  <c r="Z32" i="3"/>
  <c r="Z30" i="3"/>
  <c r="Z33" i="3"/>
  <c r="Z34" i="3"/>
  <c r="Z35" i="3"/>
  <c r="T14" i="3"/>
  <c r="AH35" i="3"/>
  <c r="T35" i="3" s="1"/>
  <c r="AD35" i="3"/>
  <c r="AE35" i="3" s="1"/>
  <c r="AD34" i="3"/>
  <c r="AE34" i="3" s="1"/>
  <c r="AH33" i="3"/>
  <c r="T33" i="3" s="1"/>
  <c r="AD33" i="3"/>
  <c r="AE33" i="3" s="1"/>
  <c r="AD30" i="3"/>
  <c r="AE30" i="3" s="1"/>
  <c r="AH32" i="3"/>
  <c r="T32" i="3" s="1"/>
  <c r="AD32" i="3"/>
  <c r="AE32" i="3" s="1"/>
  <c r="AD31" i="3"/>
  <c r="AE31" i="3" s="1"/>
  <c r="AH28" i="3"/>
  <c r="T28" i="3" s="1"/>
  <c r="AD28" i="3"/>
  <c r="AE28" i="3" s="1"/>
  <c r="AH26" i="3"/>
  <c r="T26" i="3" s="1"/>
  <c r="AD26" i="3"/>
  <c r="AE26" i="3" s="1"/>
  <c r="AH24" i="3"/>
  <c r="T24" i="3" s="1"/>
  <c r="AD24" i="3"/>
  <c r="AE24" i="3" s="1"/>
  <c r="G24" i="3"/>
  <c r="H24" i="3"/>
  <c r="AD21" i="3"/>
  <c r="AE21" i="3" s="1"/>
  <c r="G21" i="3"/>
  <c r="H21" i="3"/>
  <c r="AH19" i="3"/>
  <c r="AD19" i="3"/>
  <c r="AE19" i="3" s="1"/>
  <c r="G19" i="3"/>
  <c r="H19" i="3"/>
  <c r="T17" i="3"/>
  <c r="W29" i="3" l="1"/>
  <c r="AF29" i="3"/>
  <c r="X22" i="3"/>
  <c r="AF22" i="3"/>
  <c r="AB44" i="13"/>
  <c r="X45" i="13"/>
  <c r="X43" i="13"/>
  <c r="Y45" i="13"/>
  <c r="Y29" i="3"/>
  <c r="Y22" i="3"/>
  <c r="X29" i="3"/>
  <c r="AC112" i="13"/>
  <c r="Y116" i="13"/>
  <c r="AC158" i="13"/>
  <c r="AB36" i="13" s="1"/>
  <c r="AB108" i="13"/>
  <c r="AC151" i="13"/>
  <c r="AB116" i="13"/>
  <c r="X116" i="13"/>
  <c r="AA116" i="13"/>
  <c r="AB155" i="13"/>
  <c r="AB156" i="13" s="1"/>
  <c r="AA45" i="13" s="1"/>
  <c r="AB112" i="13"/>
  <c r="Z116" i="13"/>
  <c r="Y155" i="13"/>
  <c r="Y156" i="13" s="1"/>
  <c r="AC156" i="13"/>
  <c r="AC116" i="13"/>
  <c r="AB148" i="13"/>
  <c r="AB149" i="13" s="1"/>
  <c r="AA44" i="13" s="1"/>
  <c r="AC108" i="13"/>
  <c r="Z148" i="13"/>
  <c r="Z149" i="13" s="1"/>
  <c r="Y44" i="13" s="1"/>
  <c r="AA112" i="13"/>
  <c r="AB141" i="13"/>
  <c r="AB142" i="13" s="1"/>
  <c r="AA43" i="13" s="1"/>
  <c r="AC142" i="13"/>
  <c r="AB43" i="13" s="1"/>
  <c r="AC104" i="13"/>
  <c r="AC137" i="13"/>
  <c r="X108" i="13"/>
  <c r="L9" i="6"/>
  <c r="V9" i="6" s="1"/>
  <c r="AB11" i="6"/>
  <c r="AB9" i="6"/>
  <c r="U11" i="6"/>
  <c r="AF11" i="6"/>
  <c r="V11" i="6"/>
  <c r="AE12" i="6"/>
  <c r="AF12" i="6" s="1"/>
  <c r="I12" i="6"/>
  <c r="Z12" i="6"/>
  <c r="X11" i="6"/>
  <c r="W9" i="6"/>
  <c r="I10" i="6"/>
  <c r="AA12" i="6"/>
  <c r="AA10" i="6"/>
  <c r="V29" i="3"/>
  <c r="I22" i="3"/>
  <c r="AB29" i="3"/>
  <c r="AB22" i="3"/>
  <c r="V12" i="6"/>
  <c r="W12" i="6"/>
  <c r="U7" i="6"/>
  <c r="W7" i="6"/>
  <c r="X9" i="6"/>
  <c r="L13" i="6"/>
  <c r="V13" i="6" s="1"/>
  <c r="AB7" i="6"/>
  <c r="AF7" i="6"/>
  <c r="I7" i="6"/>
  <c r="S12" i="6"/>
  <c r="X12" i="6" s="1"/>
  <c r="X7" i="6"/>
  <c r="S10" i="6"/>
  <c r="B19" i="6"/>
  <c r="Z10" i="6"/>
  <c r="B18" i="6"/>
  <c r="L10" i="6"/>
  <c r="V10" i="6" s="1"/>
  <c r="W10" i="6"/>
  <c r="V22" i="3"/>
  <c r="W22" i="3"/>
  <c r="K5" i="7"/>
  <c r="S5" i="7" s="1"/>
  <c r="K3" i="7"/>
  <c r="U3" i="7" s="1"/>
  <c r="B39" i="3"/>
  <c r="AB8" i="6"/>
  <c r="L8" i="6"/>
  <c r="I8" i="6"/>
  <c r="AA9" i="4"/>
  <c r="I5" i="4"/>
  <c r="K10" i="4"/>
  <c r="T10" i="4" s="1"/>
  <c r="K5" i="4"/>
  <c r="V5" i="4" s="1"/>
  <c r="I10" i="4"/>
  <c r="I4" i="4"/>
  <c r="T7" i="4"/>
  <c r="I3" i="4"/>
  <c r="AA6" i="4"/>
  <c r="K2" i="4"/>
  <c r="AE2" i="4" s="1"/>
  <c r="K13" i="4"/>
  <c r="AA7" i="4"/>
  <c r="AA8" i="4"/>
  <c r="N5" i="4"/>
  <c r="I2" i="4"/>
  <c r="N10" i="4"/>
  <c r="I12" i="4"/>
  <c r="AA13" i="4"/>
  <c r="N2" i="4"/>
  <c r="AA10" i="4"/>
  <c r="AQ10" i="4"/>
  <c r="AR10" i="4" s="1"/>
  <c r="AS10" i="4" s="1"/>
  <c r="K4" i="4"/>
  <c r="T4" i="4" s="1"/>
  <c r="K11" i="4"/>
  <c r="U11" i="4" s="1"/>
  <c r="I7" i="4"/>
  <c r="AA2" i="4"/>
  <c r="AA12" i="4"/>
  <c r="AA4" i="4"/>
  <c r="N11" i="4"/>
  <c r="AA5" i="4"/>
  <c r="K3" i="4"/>
  <c r="AA3" i="4"/>
  <c r="AQ2" i="4"/>
  <c r="AR2" i="4" s="1"/>
  <c r="AS2" i="4" s="1"/>
  <c r="K12" i="4"/>
  <c r="B35" i="4"/>
  <c r="B17" i="4"/>
  <c r="K6" i="4"/>
  <c r="AE6" i="4" s="1"/>
  <c r="I6" i="4"/>
  <c r="K8" i="4"/>
  <c r="AE8" i="4" s="1"/>
  <c r="I8" i="4"/>
  <c r="N4" i="4"/>
  <c r="AQ9" i="4"/>
  <c r="AR9" i="4" s="1"/>
  <c r="AS9" i="4" s="1"/>
  <c r="I11" i="4"/>
  <c r="AA11" i="4"/>
  <c r="N6" i="4"/>
  <c r="N13" i="4"/>
  <c r="N7" i="4"/>
  <c r="N9" i="4"/>
  <c r="N8" i="4"/>
  <c r="N3" i="4"/>
  <c r="K9" i="4"/>
  <c r="AE9" i="4" s="1"/>
  <c r="I9" i="4"/>
  <c r="AE7" i="4"/>
  <c r="K6" i="7"/>
  <c r="S6" i="7" s="1"/>
  <c r="I3" i="7"/>
  <c r="I5" i="7"/>
  <c r="L4" i="7"/>
  <c r="AG4" i="7" s="1"/>
  <c r="L2" i="7"/>
  <c r="AG2" i="7" s="1"/>
  <c r="Y7" i="7"/>
  <c r="Y4" i="7"/>
  <c r="K2" i="7"/>
  <c r="AC2" i="7" s="1"/>
  <c r="I2" i="7"/>
  <c r="K4" i="7"/>
  <c r="I4" i="7"/>
  <c r="L6" i="7"/>
  <c r="L7" i="7"/>
  <c r="L5" i="7"/>
  <c r="AI5" i="7" s="1"/>
  <c r="L3" i="7"/>
  <c r="AH3" i="7" s="1"/>
  <c r="Y2" i="7"/>
  <c r="B27" i="7"/>
  <c r="Y3" i="7"/>
  <c r="I7" i="7"/>
  <c r="K7" i="7"/>
  <c r="N6" i="7"/>
  <c r="Y6" i="7"/>
  <c r="N3" i="7"/>
  <c r="N5" i="7"/>
  <c r="I4" i="6"/>
  <c r="AB5" i="6"/>
  <c r="L2" i="6"/>
  <c r="X2" i="6" s="1"/>
  <c r="AB4" i="6"/>
  <c r="AA3" i="6"/>
  <c r="AE3" i="6"/>
  <c r="L4" i="6"/>
  <c r="U4" i="6" s="1"/>
  <c r="I5" i="6"/>
  <c r="I2" i="6"/>
  <c r="L5" i="6"/>
  <c r="X5" i="6" s="1"/>
  <c r="AB2" i="6"/>
  <c r="I3" i="6"/>
  <c r="S3" i="6"/>
  <c r="AQ6" i="6"/>
  <c r="AR6" i="6" s="1"/>
  <c r="AS6" i="6" s="1"/>
  <c r="L6" i="6"/>
  <c r="AF6" i="6" s="1"/>
  <c r="I6" i="6"/>
  <c r="AB6" i="6"/>
  <c r="B16" i="6"/>
  <c r="M11" i="6" s="1"/>
  <c r="AK11" i="6" s="1"/>
  <c r="E3" i="6"/>
  <c r="L3" i="6"/>
  <c r="Z3" i="6"/>
  <c r="AD17" i="3"/>
  <c r="AE17" i="3" s="1"/>
  <c r="G17" i="3"/>
  <c r="H17" i="3"/>
  <c r="AD18" i="3"/>
  <c r="AE18" i="3" s="1"/>
  <c r="G18" i="3"/>
  <c r="H18" i="3"/>
  <c r="AD15" i="3"/>
  <c r="AE15" i="3" s="1"/>
  <c r="G15" i="3"/>
  <c r="H15" i="3"/>
  <c r="AH16" i="3"/>
  <c r="T16" i="3" s="1"/>
  <c r="AD16" i="3"/>
  <c r="AE16" i="3" s="1"/>
  <c r="G16" i="3"/>
  <c r="H16" i="3"/>
  <c r="AD13" i="3"/>
  <c r="AE13" i="3" s="1"/>
  <c r="G13" i="3"/>
  <c r="H13" i="3"/>
  <c r="H14" i="3"/>
  <c r="AD14" i="3"/>
  <c r="AE14" i="3" s="1"/>
  <c r="G14" i="3"/>
  <c r="T12" i="3"/>
  <c r="AE12" i="3"/>
  <c r="AE11" i="3"/>
  <c r="AD10" i="3"/>
  <c r="G10" i="3"/>
  <c r="H10" i="3"/>
  <c r="AD9" i="3"/>
  <c r="AE8" i="3"/>
  <c r="AF8" i="3" s="1"/>
  <c r="T3" i="3"/>
  <c r="T4" i="3"/>
  <c r="T5" i="3"/>
  <c r="T6" i="3"/>
  <c r="T7" i="3"/>
  <c r="T9" i="3"/>
  <c r="T10" i="3"/>
  <c r="AB10" i="3" s="1"/>
  <c r="T11" i="3"/>
  <c r="T13" i="3"/>
  <c r="T15" i="3"/>
  <c r="T18" i="3"/>
  <c r="T19" i="3"/>
  <c r="AB19" i="3" s="1"/>
  <c r="T21" i="3"/>
  <c r="AB21" i="3" s="1"/>
  <c r="AB24" i="3"/>
  <c r="AB26" i="3"/>
  <c r="AB28" i="3"/>
  <c r="AB31" i="3"/>
  <c r="AB32" i="3"/>
  <c r="AB30" i="3"/>
  <c r="AB33" i="3"/>
  <c r="AB34" i="3"/>
  <c r="AB35" i="3"/>
  <c r="T2" i="3"/>
  <c r="M29" i="3" l="1"/>
  <c r="AM29" i="3" s="1"/>
  <c r="M25" i="3"/>
  <c r="M20" i="3"/>
  <c r="M27" i="3"/>
  <c r="M23" i="3"/>
  <c r="AE10" i="4"/>
  <c r="U10" i="4"/>
  <c r="T5" i="4"/>
  <c r="U5" i="4"/>
  <c r="W5" i="4"/>
  <c r="AE5" i="4"/>
  <c r="AF10" i="6"/>
  <c r="AF9" i="6"/>
  <c r="U9" i="6"/>
  <c r="AB45" i="13"/>
  <c r="AC5" i="7"/>
  <c r="AH2" i="7"/>
  <c r="V3" i="7"/>
  <c r="O3" i="7"/>
  <c r="V6" i="7"/>
  <c r="T3" i="7"/>
  <c r="T5" i="7"/>
  <c r="S3" i="7"/>
  <c r="AK3" i="7" s="1"/>
  <c r="U5" i="7"/>
  <c r="AJ5" i="7" s="1"/>
  <c r="AI4" i="7"/>
  <c r="AC3" i="7"/>
  <c r="V5" i="7"/>
  <c r="AC6" i="7"/>
  <c r="T6" i="7"/>
  <c r="AH4" i="7"/>
  <c r="AN11" i="6"/>
  <c r="AJ11" i="6"/>
  <c r="B28" i="6"/>
  <c r="AL11" i="6"/>
  <c r="AM11" i="6"/>
  <c r="O6" i="6"/>
  <c r="O11" i="6"/>
  <c r="P11" i="6" s="1"/>
  <c r="B32" i="6"/>
  <c r="X10" i="6"/>
  <c r="X13" i="6"/>
  <c r="U13" i="6"/>
  <c r="AF8" i="6"/>
  <c r="X8" i="6"/>
  <c r="U10" i="6"/>
  <c r="AB10" i="6"/>
  <c r="AB12" i="6"/>
  <c r="W13" i="6"/>
  <c r="AF13" i="6"/>
  <c r="O10" i="6"/>
  <c r="O7" i="6"/>
  <c r="O13" i="6"/>
  <c r="M12" i="6"/>
  <c r="AJ12" i="6" s="1"/>
  <c r="M8" i="6"/>
  <c r="M13" i="6"/>
  <c r="M7" i="6"/>
  <c r="M5" i="6"/>
  <c r="O4" i="6"/>
  <c r="O5" i="6"/>
  <c r="O8" i="6"/>
  <c r="O12" i="6"/>
  <c r="O2" i="6"/>
  <c r="O3" i="6"/>
  <c r="O9" i="6"/>
  <c r="M9" i="6"/>
  <c r="AL9" i="6" s="1"/>
  <c r="M10" i="6"/>
  <c r="AK10" i="6" s="1"/>
  <c r="M3" i="3"/>
  <c r="M22" i="3"/>
  <c r="M6" i="3"/>
  <c r="M15" i="3"/>
  <c r="M11" i="3"/>
  <c r="M4" i="3"/>
  <c r="M5" i="3"/>
  <c r="M16" i="3"/>
  <c r="M12" i="3"/>
  <c r="M24" i="3"/>
  <c r="M28" i="3"/>
  <c r="M7" i="3"/>
  <c r="M33" i="3"/>
  <c r="M21" i="3"/>
  <c r="M34" i="3"/>
  <c r="M18" i="3"/>
  <c r="M17" i="3"/>
  <c r="M30" i="3"/>
  <c r="AL30" i="3" s="1"/>
  <c r="M9" i="3"/>
  <c r="M32" i="3"/>
  <c r="M13" i="3"/>
  <c r="M26" i="3"/>
  <c r="M19" i="3"/>
  <c r="M8" i="3"/>
  <c r="M31" i="3"/>
  <c r="M14" i="3"/>
  <c r="M35" i="3"/>
  <c r="M2" i="3"/>
  <c r="M10" i="3"/>
  <c r="U6" i="7"/>
  <c r="AJ6" i="7" s="1"/>
  <c r="W8" i="6"/>
  <c r="AB3" i="6"/>
  <c r="B26" i="6" s="1"/>
  <c r="AF5" i="6"/>
  <c r="V8" i="6"/>
  <c r="M3" i="6"/>
  <c r="AK3" i="6" s="1"/>
  <c r="W10" i="4"/>
  <c r="V10" i="4"/>
  <c r="U13" i="4"/>
  <c r="T13" i="4"/>
  <c r="AE4" i="4"/>
  <c r="AE13" i="4"/>
  <c r="T11" i="4"/>
  <c r="AE11" i="4"/>
  <c r="U2" i="4"/>
  <c r="V2" i="4"/>
  <c r="U4" i="4"/>
  <c r="W2" i="4"/>
  <c r="T2" i="4"/>
  <c r="B18" i="4"/>
  <c r="T8" i="4"/>
  <c r="U8" i="4"/>
  <c r="B31" i="4"/>
  <c r="B27" i="4"/>
  <c r="V3" i="4"/>
  <c r="W3" i="4"/>
  <c r="U3" i="4"/>
  <c r="T3" i="4"/>
  <c r="W9" i="4"/>
  <c r="V9" i="4"/>
  <c r="U9" i="4"/>
  <c r="T9" i="4"/>
  <c r="T12" i="4"/>
  <c r="U12" i="4"/>
  <c r="AE12" i="4"/>
  <c r="U6" i="4"/>
  <c r="T6" i="4"/>
  <c r="L8" i="4"/>
  <c r="AJ8" i="4" s="1"/>
  <c r="L13" i="4"/>
  <c r="L11" i="4"/>
  <c r="AJ11" i="4" s="1"/>
  <c r="L3" i="4"/>
  <c r="AJ3" i="4" s="1"/>
  <c r="L7" i="4"/>
  <c r="L9" i="4"/>
  <c r="L12" i="4"/>
  <c r="AJ12" i="4" s="1"/>
  <c r="L10" i="4"/>
  <c r="AJ10" i="4" s="1"/>
  <c r="L2" i="4"/>
  <c r="AJ2" i="4" s="1"/>
  <c r="L5" i="4"/>
  <c r="AJ5" i="4" s="1"/>
  <c r="L6" i="4"/>
  <c r="AJ6" i="4" s="1"/>
  <c r="L4" i="4"/>
  <c r="AE3" i="4"/>
  <c r="O2" i="7"/>
  <c r="O5" i="7"/>
  <c r="AI3" i="7"/>
  <c r="AI2" i="7"/>
  <c r="O4" i="7"/>
  <c r="AJ3" i="7"/>
  <c r="AG7" i="7"/>
  <c r="AH7" i="7"/>
  <c r="U7" i="7"/>
  <c r="AJ7" i="7" s="1"/>
  <c r="S7" i="7"/>
  <c r="V7" i="7"/>
  <c r="T7" i="7"/>
  <c r="AC7" i="7"/>
  <c r="AK5" i="7"/>
  <c r="AG5" i="7"/>
  <c r="O6" i="7"/>
  <c r="AI7" i="7"/>
  <c r="AH5" i="7"/>
  <c r="O7" i="7"/>
  <c r="B12" i="7"/>
  <c r="AK6" i="7"/>
  <c r="AG6" i="7"/>
  <c r="B21" i="7"/>
  <c r="AI6" i="7"/>
  <c r="AG3" i="7"/>
  <c r="T4" i="7"/>
  <c r="V4" i="7"/>
  <c r="U4" i="7"/>
  <c r="AJ4" i="7" s="1"/>
  <c r="S4" i="7"/>
  <c r="AK4" i="7" s="1"/>
  <c r="T2" i="7"/>
  <c r="V2" i="7"/>
  <c r="U2" i="7"/>
  <c r="AJ2" i="7" s="1"/>
  <c r="S2" i="7"/>
  <c r="AK2" i="7" s="1"/>
  <c r="AC4" i="7"/>
  <c r="AH6" i="7"/>
  <c r="B23" i="7"/>
  <c r="V2" i="6"/>
  <c r="U5" i="6"/>
  <c r="V5" i="6"/>
  <c r="W2" i="6"/>
  <c r="V4" i="6"/>
  <c r="W5" i="6"/>
  <c r="U2" i="6"/>
  <c r="AF2" i="6"/>
  <c r="W4" i="6"/>
  <c r="AF4" i="6"/>
  <c r="X4" i="6"/>
  <c r="M4" i="6"/>
  <c r="M2" i="6"/>
  <c r="M6" i="6"/>
  <c r="AL6" i="6" s="1"/>
  <c r="V6" i="6"/>
  <c r="X6" i="6"/>
  <c r="W6" i="6"/>
  <c r="U6" i="6"/>
  <c r="U3" i="6"/>
  <c r="W3" i="6"/>
  <c r="X3" i="6"/>
  <c r="V3" i="6"/>
  <c r="AF3" i="6"/>
  <c r="B17" i="6"/>
  <c r="AB9" i="3"/>
  <c r="AB13" i="3"/>
  <c r="AB14" i="3"/>
  <c r="AB17" i="3"/>
  <c r="AB11" i="3"/>
  <c r="AB18" i="3"/>
  <c r="AB12" i="3"/>
  <c r="AB16" i="3"/>
  <c r="AB15" i="3"/>
  <c r="AE7" i="3"/>
  <c r="B42" i="3"/>
  <c r="G7" i="3"/>
  <c r="H7" i="3"/>
  <c r="AE6" i="3"/>
  <c r="H6" i="3"/>
  <c r="I6" i="3" s="1"/>
  <c r="Z3" i="3"/>
  <c r="Z4" i="3"/>
  <c r="Z5" i="3"/>
  <c r="Z6" i="3"/>
  <c r="Z7" i="3"/>
  <c r="Z9" i="3"/>
  <c r="Z10" i="3"/>
  <c r="Z11" i="3"/>
  <c r="Z12" i="3"/>
  <c r="Z14" i="3"/>
  <c r="Z13" i="3"/>
  <c r="Z16" i="3"/>
  <c r="Z15" i="3"/>
  <c r="Z18" i="3"/>
  <c r="Z17" i="3"/>
  <c r="Z19" i="3"/>
  <c r="Z21" i="3"/>
  <c r="Z2" i="3"/>
  <c r="AD5" i="3"/>
  <c r="AE5" i="3" s="1"/>
  <c r="G5" i="3"/>
  <c r="H5" i="3"/>
  <c r="AE4" i="3"/>
  <c r="AD3" i="3"/>
  <c r="AE3" i="3" s="1"/>
  <c r="AE2" i="3"/>
  <c r="G2" i="3"/>
  <c r="H2" i="3"/>
  <c r="AP32" i="3"/>
  <c r="AP31" i="3"/>
  <c r="AP16" i="3"/>
  <c r="AP15" i="3"/>
  <c r="AA16" i="3"/>
  <c r="E16" i="3"/>
  <c r="H30" i="3"/>
  <c r="I30" i="3" s="1"/>
  <c r="AA18" i="3"/>
  <c r="AA9" i="3"/>
  <c r="AA11" i="3"/>
  <c r="AA30" i="3"/>
  <c r="AA14" i="3"/>
  <c r="AA12" i="3"/>
  <c r="E9" i="3"/>
  <c r="E11" i="3"/>
  <c r="E30" i="3"/>
  <c r="E14" i="3"/>
  <c r="E12" i="3"/>
  <c r="E18" i="3"/>
  <c r="L10" i="3"/>
  <c r="AF10" i="3" s="1"/>
  <c r="G3" i="3"/>
  <c r="H3" i="3"/>
  <c r="E6" i="3"/>
  <c r="E7" i="3"/>
  <c r="E3" i="3"/>
  <c r="E5" i="3"/>
  <c r="E10" i="3"/>
  <c r="E4" i="3"/>
  <c r="E13" i="3"/>
  <c r="E2" i="3"/>
  <c r="AA13" i="3"/>
  <c r="AA2" i="3"/>
  <c r="AA6" i="3"/>
  <c r="AA7" i="3"/>
  <c r="AA3" i="3"/>
  <c r="AA5" i="3"/>
  <c r="AA10" i="3"/>
  <c r="AA4" i="3"/>
  <c r="AA35" i="3"/>
  <c r="H35" i="3"/>
  <c r="L35" i="3" s="1"/>
  <c r="AF35" i="3" s="1"/>
  <c r="E35" i="3"/>
  <c r="AA15" i="3"/>
  <c r="E15" i="3"/>
  <c r="AA31" i="3"/>
  <c r="H31" i="3"/>
  <c r="G31" i="3"/>
  <c r="E31" i="3"/>
  <c r="AA32" i="3"/>
  <c r="H32" i="3"/>
  <c r="G32" i="3"/>
  <c r="E32" i="3"/>
  <c r="AA21" i="3"/>
  <c r="E21" i="3"/>
  <c r="AA33" i="3"/>
  <c r="H33" i="3"/>
  <c r="G33" i="3"/>
  <c r="E33" i="3"/>
  <c r="AA17" i="3"/>
  <c r="E17" i="3"/>
  <c r="AA19" i="3"/>
  <c r="E19" i="3"/>
  <c r="AA24" i="3"/>
  <c r="E24" i="3"/>
  <c r="AA28" i="3"/>
  <c r="H28" i="3"/>
  <c r="G28" i="3"/>
  <c r="E28" i="3"/>
  <c r="AA26" i="3"/>
  <c r="H26" i="3"/>
  <c r="I26" i="3" s="1"/>
  <c r="E26" i="3"/>
  <c r="AA34" i="3"/>
  <c r="H34" i="3"/>
  <c r="G34" i="3"/>
  <c r="AJ29" i="3" l="1"/>
  <c r="AK29" i="3"/>
  <c r="AL29" i="3"/>
  <c r="AN29" i="3"/>
  <c r="AJ20" i="3"/>
  <c r="T20" i="3" s="1"/>
  <c r="AN20" i="3"/>
  <c r="AK20" i="3"/>
  <c r="AM20" i="3"/>
  <c r="AN23" i="3"/>
  <c r="AJ23" i="3"/>
  <c r="AK23" i="3"/>
  <c r="AM23" i="3"/>
  <c r="AN25" i="3"/>
  <c r="AJ25" i="3"/>
  <c r="AK25" i="3"/>
  <c r="AM25" i="3"/>
  <c r="AN27" i="3"/>
  <c r="AJ27" i="3"/>
  <c r="AK27" i="3"/>
  <c r="AM27" i="3"/>
  <c r="O4" i="4"/>
  <c r="AJ4" i="4"/>
  <c r="O9" i="4"/>
  <c r="AJ9" i="4"/>
  <c r="O13" i="4"/>
  <c r="AJ13" i="4"/>
  <c r="O7" i="4"/>
  <c r="AJ7" i="4"/>
  <c r="X35" i="3"/>
  <c r="Y35" i="3"/>
  <c r="V35" i="3"/>
  <c r="P4" i="6"/>
  <c r="AM12" i="6"/>
  <c r="L34" i="3"/>
  <c r="AF34" i="3" s="1"/>
  <c r="I34" i="3"/>
  <c r="AN12" i="6"/>
  <c r="AK12" i="6"/>
  <c r="P12" i="6"/>
  <c r="P9" i="6"/>
  <c r="AL7" i="6"/>
  <c r="AM7" i="6"/>
  <c r="AJ7" i="6"/>
  <c r="AK7" i="6"/>
  <c r="P7" i="6"/>
  <c r="AN7" i="6"/>
  <c r="AN13" i="6"/>
  <c r="AL13" i="6"/>
  <c r="AJ13" i="6"/>
  <c r="P13" i="6"/>
  <c r="AK13" i="6"/>
  <c r="AM13" i="6"/>
  <c r="AL12" i="6"/>
  <c r="AL8" i="6"/>
  <c r="AM8" i="6"/>
  <c r="AJ8" i="6"/>
  <c r="AK8" i="6"/>
  <c r="AL5" i="6"/>
  <c r="AJ5" i="6"/>
  <c r="AM5" i="6"/>
  <c r="AK5" i="6"/>
  <c r="P3" i="6"/>
  <c r="P10" i="6"/>
  <c r="AN10" i="6"/>
  <c r="AL10" i="6"/>
  <c r="AJ10" i="6"/>
  <c r="AM10" i="6"/>
  <c r="AJ9" i="6"/>
  <c r="AK9" i="6"/>
  <c r="AN9" i="6"/>
  <c r="AM9" i="6"/>
  <c r="AL3" i="6"/>
  <c r="AN22" i="3"/>
  <c r="AK22" i="3"/>
  <c r="AL22" i="3"/>
  <c r="AJ22" i="3"/>
  <c r="AM22" i="3"/>
  <c r="B24" i="6"/>
  <c r="P8" i="6"/>
  <c r="AN8" i="6"/>
  <c r="AJ3" i="6"/>
  <c r="AM3" i="6"/>
  <c r="B24" i="4"/>
  <c r="B34" i="4"/>
  <c r="AM2" i="4"/>
  <c r="AL9" i="4"/>
  <c r="AM3" i="4"/>
  <c r="AM9" i="4"/>
  <c r="AN7" i="4"/>
  <c r="AI7" i="4"/>
  <c r="AM7" i="4"/>
  <c r="AK7" i="4"/>
  <c r="AL7" i="4"/>
  <c r="B25" i="4"/>
  <c r="AN6" i="4"/>
  <c r="AI6" i="4"/>
  <c r="AM6" i="4"/>
  <c r="AL6" i="4"/>
  <c r="AK6" i="4"/>
  <c r="AN3" i="4"/>
  <c r="AI3" i="4"/>
  <c r="AK3" i="4"/>
  <c r="AK10" i="4"/>
  <c r="AI10" i="4"/>
  <c r="AN10" i="4"/>
  <c r="O10" i="4"/>
  <c r="AL10" i="4"/>
  <c r="AI4" i="4"/>
  <c r="AN4" i="4"/>
  <c r="AM4" i="4"/>
  <c r="AL4" i="4"/>
  <c r="AK4" i="4"/>
  <c r="AN12" i="4"/>
  <c r="AI12" i="4"/>
  <c r="AM12" i="4"/>
  <c r="AK12" i="4"/>
  <c r="AL12" i="4"/>
  <c r="O12" i="4"/>
  <c r="AM10" i="4"/>
  <c r="AK5" i="4"/>
  <c r="O5" i="4"/>
  <c r="AN5" i="4"/>
  <c r="AI5" i="4"/>
  <c r="AM5" i="4"/>
  <c r="AN11" i="4"/>
  <c r="AI11" i="4"/>
  <c r="AM11" i="4"/>
  <c r="O11" i="4"/>
  <c r="AK11" i="4"/>
  <c r="AM8" i="4"/>
  <c r="AN8" i="4"/>
  <c r="AI8" i="4"/>
  <c r="AK8" i="4"/>
  <c r="AL8" i="4"/>
  <c r="O6" i="4"/>
  <c r="AL11" i="4"/>
  <c r="O3" i="4"/>
  <c r="AL3" i="4"/>
  <c r="AK2" i="4"/>
  <c r="AN2" i="4"/>
  <c r="AI2" i="4"/>
  <c r="O2" i="4"/>
  <c r="AL2" i="4"/>
  <c r="AN9" i="4"/>
  <c r="AI9" i="4"/>
  <c r="AK9" i="4"/>
  <c r="AN13" i="4"/>
  <c r="AI13" i="4"/>
  <c r="AM13" i="4"/>
  <c r="AK13" i="4"/>
  <c r="AL13" i="4"/>
  <c r="AL5" i="4"/>
  <c r="O8" i="4"/>
  <c r="B26" i="7"/>
  <c r="B18" i="7"/>
  <c r="B19" i="7"/>
  <c r="B24" i="7"/>
  <c r="B22" i="7"/>
  <c r="B20" i="7"/>
  <c r="B17" i="7"/>
  <c r="AK7" i="7"/>
  <c r="AM4" i="6"/>
  <c r="P5" i="6"/>
  <c r="AM6" i="6"/>
  <c r="AN3" i="6"/>
  <c r="AN5" i="6"/>
  <c r="AN2" i="6"/>
  <c r="AJ2" i="6"/>
  <c r="AK2" i="6"/>
  <c r="AL2" i="6"/>
  <c r="P2" i="6"/>
  <c r="B23" i="6"/>
  <c r="AJ4" i="6"/>
  <c r="AN4" i="6"/>
  <c r="AK4" i="6"/>
  <c r="AL4" i="6"/>
  <c r="B31" i="6"/>
  <c r="AM2" i="6"/>
  <c r="AN6" i="6"/>
  <c r="AJ6" i="6"/>
  <c r="P6" i="6"/>
  <c r="AK6" i="6"/>
  <c r="AB3" i="3"/>
  <c r="AB5" i="3"/>
  <c r="AB6" i="3"/>
  <c r="AB7" i="3"/>
  <c r="AB2" i="3"/>
  <c r="AB4" i="3"/>
  <c r="V10" i="3"/>
  <c r="Y10" i="3"/>
  <c r="T8" i="3"/>
  <c r="AB8" i="3" s="1"/>
  <c r="I10" i="3"/>
  <c r="Z8" i="3"/>
  <c r="X10" i="3"/>
  <c r="L11" i="3"/>
  <c r="AF11" i="3" s="1"/>
  <c r="I16" i="3"/>
  <c r="AQ31" i="3"/>
  <c r="AR31" i="3" s="1"/>
  <c r="AS31" i="3" s="1"/>
  <c r="AQ32" i="3"/>
  <c r="AR32" i="3" s="1"/>
  <c r="AS32" i="3" s="1"/>
  <c r="I14" i="3"/>
  <c r="AQ16" i="3"/>
  <c r="AR16" i="3" s="1"/>
  <c r="AS16" i="3" s="1"/>
  <c r="L12" i="3"/>
  <c r="AF12" i="3" s="1"/>
  <c r="AQ15" i="3"/>
  <c r="AR15" i="3" s="1"/>
  <c r="AS15" i="3" s="1"/>
  <c r="L30" i="3"/>
  <c r="AF30" i="3" s="1"/>
  <c r="L16" i="3"/>
  <c r="AF16" i="3" s="1"/>
  <c r="B41" i="3"/>
  <c r="I11" i="3"/>
  <c r="I12" i="3"/>
  <c r="L14" i="3"/>
  <c r="AF14" i="3" s="1"/>
  <c r="AA8" i="3"/>
  <c r="B55" i="3" s="1"/>
  <c r="I18" i="3"/>
  <c r="L21" i="3"/>
  <c r="AF21" i="3" s="1"/>
  <c r="L32" i="3"/>
  <c r="AF32" i="3" s="1"/>
  <c r="L31" i="3"/>
  <c r="AF31" i="3" s="1"/>
  <c r="I2" i="3"/>
  <c r="I8" i="3"/>
  <c r="I13" i="3"/>
  <c r="L9" i="3"/>
  <c r="AF9" i="3" s="1"/>
  <c r="I9" i="3"/>
  <c r="L18" i="3"/>
  <c r="AF18" i="3" s="1"/>
  <c r="I3" i="3"/>
  <c r="L26" i="3"/>
  <c r="AF26" i="3" s="1"/>
  <c r="I28" i="3"/>
  <c r="L17" i="3"/>
  <c r="I15" i="3"/>
  <c r="L3" i="3"/>
  <c r="AF3" i="3" s="1"/>
  <c r="I7" i="3"/>
  <c r="L5" i="3"/>
  <c r="AF5" i="3" s="1"/>
  <c r="L24" i="3"/>
  <c r="AF24" i="3" s="1"/>
  <c r="L19" i="3"/>
  <c r="AF19" i="3" s="1"/>
  <c r="L6" i="3"/>
  <c r="AF6" i="3" s="1"/>
  <c r="I33" i="3"/>
  <c r="L28" i="3"/>
  <c r="AF28" i="3" s="1"/>
  <c r="L33" i="3"/>
  <c r="AF33" i="3" s="1"/>
  <c r="L15" i="3"/>
  <c r="I17" i="3"/>
  <c r="I31" i="3"/>
  <c r="I4" i="3"/>
  <c r="L13" i="3"/>
  <c r="AF13" i="3" s="1"/>
  <c r="I24" i="3"/>
  <c r="I21" i="3"/>
  <c r="I19" i="3"/>
  <c r="I32" i="3"/>
  <c r="L2" i="3"/>
  <c r="AF2" i="3" s="1"/>
  <c r="L4" i="3"/>
  <c r="AF4" i="3" s="1"/>
  <c r="W10" i="3"/>
  <c r="I5" i="3"/>
  <c r="L7" i="3"/>
  <c r="AF7" i="3" s="1"/>
  <c r="W35" i="3"/>
  <c r="Y17" i="3" l="1"/>
  <c r="AF17" i="3"/>
  <c r="Y15" i="3"/>
  <c r="AF15" i="3"/>
  <c r="AB27" i="3"/>
  <c r="AL27" i="3" s="1"/>
  <c r="Y27" i="3"/>
  <c r="Y25" i="3"/>
  <c r="AB25" i="3"/>
  <c r="AL25" i="3" s="1"/>
  <c r="Y23" i="3"/>
  <c r="AL23" i="3"/>
  <c r="AB20" i="3"/>
  <c r="AL20" i="3" s="1"/>
  <c r="Y20" i="3"/>
  <c r="O29" i="3"/>
  <c r="P29" i="3" s="1"/>
  <c r="O20" i="3"/>
  <c r="P20" i="3" s="1"/>
  <c r="O27" i="3"/>
  <c r="P27" i="3" s="1"/>
  <c r="O23" i="3"/>
  <c r="P23" i="3" s="1"/>
  <c r="O25" i="3"/>
  <c r="P25" i="3" s="1"/>
  <c r="B30" i="4"/>
  <c r="W26" i="3"/>
  <c r="Y26" i="3"/>
  <c r="X26" i="3"/>
  <c r="X34" i="3"/>
  <c r="Y34" i="3"/>
  <c r="X32" i="3"/>
  <c r="Y32" i="3"/>
  <c r="X30" i="3"/>
  <c r="Y30" i="3"/>
  <c r="X31" i="3"/>
  <c r="Y31" i="3"/>
  <c r="Y33" i="3"/>
  <c r="X33" i="3"/>
  <c r="X28" i="3"/>
  <c r="Y28" i="3"/>
  <c r="X24" i="3"/>
  <c r="Y24" i="3"/>
  <c r="Y21" i="3"/>
  <c r="X21" i="3"/>
  <c r="Y19" i="3"/>
  <c r="X19" i="3"/>
  <c r="Y18" i="3"/>
  <c r="X18" i="3"/>
  <c r="O6" i="3"/>
  <c r="O22" i="3"/>
  <c r="P22" i="3" s="1"/>
  <c r="B22" i="6"/>
  <c r="B28" i="4"/>
  <c r="B23" i="4"/>
  <c r="B26" i="4"/>
  <c r="B32" i="4"/>
  <c r="B27" i="6"/>
  <c r="B25" i="6"/>
  <c r="B29" i="6"/>
  <c r="X13" i="3"/>
  <c r="X15" i="3"/>
  <c r="X17" i="3"/>
  <c r="X16" i="3"/>
  <c r="Y12" i="3"/>
  <c r="B51" i="3"/>
  <c r="Y6" i="3"/>
  <c r="Y5" i="3"/>
  <c r="Y16" i="3"/>
  <c r="Y14" i="3"/>
  <c r="X4" i="3"/>
  <c r="Y4" i="3"/>
  <c r="X3" i="3"/>
  <c r="Y3" i="3"/>
  <c r="V8" i="3"/>
  <c r="Y8" i="3"/>
  <c r="W11" i="3"/>
  <c r="Y11" i="3"/>
  <c r="X7" i="3"/>
  <c r="Y7" i="3"/>
  <c r="X2" i="3"/>
  <c r="Y2" i="3"/>
  <c r="X9" i="3"/>
  <c r="Y9" i="3"/>
  <c r="Y13" i="3"/>
  <c r="W28" i="3"/>
  <c r="W24" i="3"/>
  <c r="W21" i="3"/>
  <c r="V30" i="3"/>
  <c r="W5" i="3"/>
  <c r="X5" i="3"/>
  <c r="V11" i="3"/>
  <c r="X11" i="3"/>
  <c r="V15" i="3"/>
  <c r="X8" i="3"/>
  <c r="V32" i="3"/>
  <c r="W14" i="3"/>
  <c r="X14" i="3"/>
  <c r="W16" i="3"/>
  <c r="V12" i="3"/>
  <c r="X12" i="3"/>
  <c r="W6" i="3"/>
  <c r="X6" i="3"/>
  <c r="O21" i="3"/>
  <c r="O8" i="3"/>
  <c r="O9" i="3"/>
  <c r="O33" i="3"/>
  <c r="O35" i="3"/>
  <c r="O2" i="3"/>
  <c r="O4" i="3"/>
  <c r="O12" i="3"/>
  <c r="O18" i="3"/>
  <c r="O16" i="3"/>
  <c r="W12" i="3"/>
  <c r="W30" i="3"/>
  <c r="V26" i="3"/>
  <c r="O17" i="3"/>
  <c r="O15" i="3"/>
  <c r="O32" i="3"/>
  <c r="O5" i="3"/>
  <c r="V16" i="3"/>
  <c r="O31" i="3"/>
  <c r="O14" i="3"/>
  <c r="O3" i="3"/>
  <c r="O24" i="3"/>
  <c r="O10" i="3"/>
  <c r="O34" i="3"/>
  <c r="O11" i="3"/>
  <c r="O26" i="3"/>
  <c r="V21" i="3"/>
  <c r="B40" i="3"/>
  <c r="O7" i="3"/>
  <c r="O28" i="3"/>
  <c r="O13" i="3"/>
  <c r="O19" i="3"/>
  <c r="O30" i="3"/>
  <c r="V14" i="3"/>
  <c r="W8" i="3"/>
  <c r="V13" i="3"/>
  <c r="V4" i="3"/>
  <c r="V6" i="3"/>
  <c r="W17" i="3"/>
  <c r="W34" i="3"/>
  <c r="W32" i="3"/>
  <c r="V7" i="3"/>
  <c r="W19" i="3"/>
  <c r="W33" i="3"/>
  <c r="V9" i="3"/>
  <c r="W18" i="3"/>
  <c r="W31" i="3"/>
  <c r="V31" i="3"/>
  <c r="W9" i="3"/>
  <c r="V17" i="3"/>
  <c r="V34" i="3"/>
  <c r="V18" i="3"/>
  <c r="V24" i="3"/>
  <c r="V5" i="3"/>
  <c r="W3" i="3"/>
  <c r="V3" i="3"/>
  <c r="V19" i="3"/>
  <c r="W13" i="3"/>
  <c r="W15" i="3"/>
  <c r="V33" i="3"/>
  <c r="V28" i="3"/>
  <c r="W4" i="3"/>
  <c r="V2" i="3"/>
  <c r="W2" i="3"/>
  <c r="W7" i="3"/>
  <c r="K8" i="2"/>
  <c r="K17" i="2"/>
  <c r="K18" i="2"/>
  <c r="K19" i="2"/>
  <c r="K6" i="2"/>
  <c r="C8" i="2"/>
  <c r="D8" i="2"/>
  <c r="E8" i="2"/>
  <c r="F8" i="2"/>
  <c r="G8" i="2"/>
  <c r="H8" i="2"/>
  <c r="I8" i="2"/>
  <c r="J8" i="2"/>
  <c r="B6" i="2"/>
  <c r="B17" i="2" s="1"/>
  <c r="C6" i="2"/>
  <c r="C17" i="2" s="1"/>
  <c r="AD5" i="2"/>
  <c r="AE5" i="2"/>
  <c r="AC5" i="2"/>
  <c r="N4" i="2"/>
  <c r="O4" i="2"/>
  <c r="P4" i="2"/>
  <c r="R4" i="2"/>
  <c r="S4" i="2"/>
  <c r="T4" i="2"/>
  <c r="U4" i="2"/>
  <c r="W4" i="2"/>
  <c r="X4" i="2"/>
  <c r="Y4" i="2"/>
  <c r="Z4" i="2"/>
  <c r="AB4" i="2"/>
  <c r="AC4" i="2"/>
  <c r="AD4" i="2"/>
  <c r="AE4" i="2"/>
  <c r="N5" i="2"/>
  <c r="O5" i="2"/>
  <c r="P5" i="2"/>
  <c r="R5" i="2"/>
  <c r="S5" i="2"/>
  <c r="T5" i="2"/>
  <c r="U5" i="2"/>
  <c r="W5" i="2"/>
  <c r="X5" i="2"/>
  <c r="Y5" i="2"/>
  <c r="Z5" i="2"/>
  <c r="AB5" i="2"/>
  <c r="M4" i="2"/>
  <c r="M5" i="2"/>
  <c r="F5" i="2"/>
  <c r="G5" i="2"/>
  <c r="H5" i="2"/>
  <c r="I5" i="2"/>
  <c r="J5" i="2"/>
  <c r="K10" i="2" s="1"/>
  <c r="E4" i="2"/>
  <c r="F4" i="2"/>
  <c r="G4" i="2"/>
  <c r="H4" i="2"/>
  <c r="I4" i="2"/>
  <c r="J4" i="2"/>
  <c r="K9" i="2" s="1"/>
  <c r="E5" i="2"/>
  <c r="E10" i="2" s="1"/>
  <c r="D4" i="2"/>
  <c r="D6" i="2" s="1"/>
  <c r="D17" i="2" s="1"/>
  <c r="D10" i="2"/>
  <c r="C10" i="2"/>
  <c r="C9" i="2"/>
  <c r="C1" i="2"/>
  <c r="D1" i="2" s="1"/>
  <c r="E1" i="2" s="1"/>
  <c r="F1" i="2" s="1"/>
  <c r="G1" i="2" s="1"/>
  <c r="H1" i="2" s="1"/>
  <c r="I1" i="2" s="1"/>
  <c r="J1" i="2" s="1"/>
  <c r="AD6" i="1"/>
  <c r="AE6" i="1"/>
  <c r="AC6" i="1"/>
  <c r="N6" i="1"/>
  <c r="O6" i="1"/>
  <c r="P6" i="1"/>
  <c r="R6" i="1"/>
  <c r="S6" i="1"/>
  <c r="T6" i="1"/>
  <c r="U6" i="1"/>
  <c r="W6" i="1"/>
  <c r="X6" i="1"/>
  <c r="Y6" i="1"/>
  <c r="Z6" i="1"/>
  <c r="AB6" i="1"/>
  <c r="M6" i="1"/>
  <c r="N4" i="1"/>
  <c r="O4" i="1"/>
  <c r="P4" i="1"/>
  <c r="R4" i="1"/>
  <c r="S4" i="1"/>
  <c r="S13" i="1" s="1"/>
  <c r="T4" i="1"/>
  <c r="U4" i="1"/>
  <c r="U13" i="1" s="1"/>
  <c r="W4" i="1"/>
  <c r="X4" i="1"/>
  <c r="Y4" i="1"/>
  <c r="Z4" i="1"/>
  <c r="AB4" i="1"/>
  <c r="AB13" i="1" s="1"/>
  <c r="AC4" i="1"/>
  <c r="AD4" i="1"/>
  <c r="AE4" i="1"/>
  <c r="M4" i="1"/>
  <c r="D11" i="1"/>
  <c r="C10" i="1"/>
  <c r="C11" i="1"/>
  <c r="N5" i="1"/>
  <c r="AE5" i="1"/>
  <c r="AB5" i="1"/>
  <c r="F6" i="1"/>
  <c r="G6" i="1"/>
  <c r="H6" i="1"/>
  <c r="I6" i="1"/>
  <c r="J6" i="1"/>
  <c r="E6" i="1"/>
  <c r="E11" i="1" s="1"/>
  <c r="Z13" i="1" l="1"/>
  <c r="B46" i="3"/>
  <c r="B49" i="3"/>
  <c r="AE13" i="1"/>
  <c r="W13" i="1"/>
  <c r="AC9" i="1"/>
  <c r="AE6" i="2"/>
  <c r="X9" i="1"/>
  <c r="N9" i="1"/>
  <c r="AD6" i="2"/>
  <c r="AB11" i="1"/>
  <c r="I11" i="1"/>
  <c r="Z9" i="1"/>
  <c r="AE9" i="1"/>
  <c r="U9" i="1"/>
  <c r="R13" i="1"/>
  <c r="AD15" i="1"/>
  <c r="O9" i="1"/>
  <c r="Z11" i="1"/>
  <c r="AE11" i="1"/>
  <c r="B54" i="3"/>
  <c r="B47" i="3"/>
  <c r="P9" i="1"/>
  <c r="J11" i="1"/>
  <c r="X13" i="1"/>
  <c r="AC13" i="1"/>
  <c r="AE15" i="1"/>
  <c r="S9" i="1"/>
  <c r="Y9" i="1"/>
  <c r="AD9" i="1"/>
  <c r="R9" i="1"/>
  <c r="T13" i="1"/>
  <c r="Y13" i="1"/>
  <c r="AD13" i="1"/>
  <c r="T9" i="1"/>
  <c r="W9" i="1"/>
  <c r="AB9" i="1"/>
  <c r="AD11" i="1"/>
  <c r="Z6" i="2"/>
  <c r="U6" i="2"/>
  <c r="AO6" i="3"/>
  <c r="AP6" i="3" s="1"/>
  <c r="AQ6" i="3" s="1"/>
  <c r="AR6" i="3" s="1"/>
  <c r="AS6" i="3" s="1"/>
  <c r="AO7" i="3"/>
  <c r="AP7" i="3" s="1"/>
  <c r="AQ7" i="3" s="1"/>
  <c r="AR7" i="3" s="1"/>
  <c r="AS7" i="3" s="1"/>
  <c r="AO5" i="3"/>
  <c r="AP5" i="3" s="1"/>
  <c r="AQ5" i="3" s="1"/>
  <c r="AR5" i="3" s="1"/>
  <c r="AS5" i="3" s="1"/>
  <c r="AE7" i="1"/>
  <c r="AE18" i="1" s="1"/>
  <c r="AD5" i="1"/>
  <c r="AE10" i="1" s="1"/>
  <c r="Y5" i="1"/>
  <c r="T5" i="1"/>
  <c r="O5" i="1"/>
  <c r="O10" i="1" s="1"/>
  <c r="S5" i="1"/>
  <c r="S7" i="1" s="1"/>
  <c r="S20" i="1" s="1"/>
  <c r="M5" i="1"/>
  <c r="N10" i="1" s="1"/>
  <c r="W5" i="1"/>
  <c r="R5" i="1"/>
  <c r="R7" i="1" s="1"/>
  <c r="Z5" i="1"/>
  <c r="AE14" i="1" s="1"/>
  <c r="U5" i="1"/>
  <c r="P5" i="1"/>
  <c r="AE20" i="1"/>
  <c r="X11" i="1"/>
  <c r="X15" i="1"/>
  <c r="N7" i="1"/>
  <c r="N20" i="1" s="1"/>
  <c r="W15" i="1"/>
  <c r="AB7" i="1"/>
  <c r="AB20" i="1" s="1"/>
  <c r="Z15" i="1"/>
  <c r="AB15" i="1"/>
  <c r="G6" i="2"/>
  <c r="G17" i="2" s="1"/>
  <c r="G11" i="1"/>
  <c r="AC15" i="1"/>
  <c r="Y11" i="1"/>
  <c r="AC11" i="1"/>
  <c r="J6" i="2"/>
  <c r="J17" i="2" s="1"/>
  <c r="F6" i="2"/>
  <c r="F17" i="2" s="1"/>
  <c r="AB6" i="2"/>
  <c r="W6" i="2"/>
  <c r="R6" i="2"/>
  <c r="M6" i="2"/>
  <c r="AC6" i="2"/>
  <c r="X6" i="2"/>
  <c r="S6" i="2"/>
  <c r="N6" i="2"/>
  <c r="C18" i="2"/>
  <c r="I6" i="2"/>
  <c r="I17" i="2" s="1"/>
  <c r="E6" i="2"/>
  <c r="E17" i="2" s="1"/>
  <c r="H6" i="2"/>
  <c r="H17" i="2" s="1"/>
  <c r="P6" i="2"/>
  <c r="Y6" i="2"/>
  <c r="T6" i="2"/>
  <c r="O6" i="2"/>
  <c r="AD9" i="2"/>
  <c r="W14" i="2"/>
  <c r="R14" i="2"/>
  <c r="AB14" i="2"/>
  <c r="P9" i="2"/>
  <c r="N10" i="2"/>
  <c r="R9" i="2"/>
  <c r="H10" i="2"/>
  <c r="W9" i="2"/>
  <c r="AB9" i="2"/>
  <c r="O10" i="2"/>
  <c r="Y14" i="2"/>
  <c r="E9" i="2"/>
  <c r="I9" i="2"/>
  <c r="O9" i="2"/>
  <c r="R10" i="2"/>
  <c r="W10" i="2"/>
  <c r="AB10" i="2"/>
  <c r="AE14" i="2"/>
  <c r="T14" i="2"/>
  <c r="X9" i="2"/>
  <c r="U10" i="2"/>
  <c r="Z14" i="2"/>
  <c r="AD14" i="2"/>
  <c r="S9" i="2"/>
  <c r="T13" i="2"/>
  <c r="Y13" i="2"/>
  <c r="AD13" i="2"/>
  <c r="T9" i="2"/>
  <c r="Z10" i="2"/>
  <c r="H9" i="2"/>
  <c r="P10" i="2"/>
  <c r="N9" i="2"/>
  <c r="AC9" i="2"/>
  <c r="U13" i="2"/>
  <c r="Z13" i="2"/>
  <c r="AE13" i="2"/>
  <c r="S14" i="2"/>
  <c r="X14" i="2"/>
  <c r="AC14" i="2"/>
  <c r="D9" i="2"/>
  <c r="Y9" i="2"/>
  <c r="AE10" i="2"/>
  <c r="U14" i="2"/>
  <c r="B19" i="2"/>
  <c r="B18" i="2"/>
  <c r="I10" i="2"/>
  <c r="C19" i="2"/>
  <c r="U9" i="2"/>
  <c r="Z9" i="2"/>
  <c r="AE9" i="2"/>
  <c r="F10" i="2"/>
  <c r="J10" i="2"/>
  <c r="R13" i="2"/>
  <c r="W13" i="2"/>
  <c r="AB13" i="2"/>
  <c r="F9" i="2"/>
  <c r="J9" i="2"/>
  <c r="G10" i="2"/>
  <c r="S10" i="2"/>
  <c r="X10" i="2"/>
  <c r="AC10" i="2"/>
  <c r="S13" i="2"/>
  <c r="X13" i="2"/>
  <c r="AC13" i="2"/>
  <c r="G9" i="2"/>
  <c r="T10" i="2"/>
  <c r="Y10" i="2"/>
  <c r="AD10" i="2"/>
  <c r="U11" i="1"/>
  <c r="W11" i="1"/>
  <c r="S11" i="1"/>
  <c r="U15" i="1"/>
  <c r="N11" i="1"/>
  <c r="O11" i="1"/>
  <c r="T15" i="1"/>
  <c r="P11" i="1"/>
  <c r="R11" i="1"/>
  <c r="R15" i="1"/>
  <c r="S15" i="1"/>
  <c r="Y15" i="1"/>
  <c r="T11" i="1"/>
  <c r="F11" i="1"/>
  <c r="H11" i="1"/>
  <c r="AE15" i="2" l="1"/>
  <c r="U15" i="2"/>
  <c r="AD15" i="2"/>
  <c r="P10" i="1"/>
  <c r="AD7" i="1"/>
  <c r="AD18" i="1" s="1"/>
  <c r="AE19" i="1"/>
  <c r="M7" i="1"/>
  <c r="M18" i="1" s="1"/>
  <c r="O7" i="1"/>
  <c r="AL10" i="3"/>
  <c r="P10" i="3"/>
  <c r="AL7" i="3"/>
  <c r="P7" i="3"/>
  <c r="AL31" i="3"/>
  <c r="P31" i="3"/>
  <c r="AL12" i="3"/>
  <c r="P12" i="3"/>
  <c r="AL17" i="3"/>
  <c r="P17" i="3"/>
  <c r="AL5" i="3"/>
  <c r="P5" i="3"/>
  <c r="AL3" i="3"/>
  <c r="P3" i="3"/>
  <c r="AL13" i="3"/>
  <c r="P13" i="3"/>
  <c r="AL35" i="3"/>
  <c r="P35" i="3"/>
  <c r="AL15" i="3"/>
  <c r="P15" i="3"/>
  <c r="AL33" i="3"/>
  <c r="P33" i="3"/>
  <c r="AL2" i="3"/>
  <c r="P2" i="3"/>
  <c r="AL6" i="3"/>
  <c r="P6" i="3"/>
  <c r="AL21" i="3"/>
  <c r="P21" i="3"/>
  <c r="P30" i="3"/>
  <c r="AL18" i="3"/>
  <c r="P18" i="3"/>
  <c r="AL9" i="3"/>
  <c r="P9" i="3"/>
  <c r="AL4" i="3"/>
  <c r="P4" i="3"/>
  <c r="AL19" i="3"/>
  <c r="P19" i="3"/>
  <c r="AL26" i="3"/>
  <c r="P26" i="3"/>
  <c r="AL11" i="3"/>
  <c r="P11" i="3"/>
  <c r="AL14" i="3"/>
  <c r="P14" i="3"/>
  <c r="AL8" i="3"/>
  <c r="P8" i="3"/>
  <c r="AL24" i="3"/>
  <c r="P24" i="3"/>
  <c r="AL32" i="3"/>
  <c r="P32" i="3"/>
  <c r="AL28" i="3"/>
  <c r="P28" i="3"/>
  <c r="AL34" i="3"/>
  <c r="P34" i="3"/>
  <c r="AL16" i="3"/>
  <c r="P16" i="3"/>
  <c r="AM30" i="3"/>
  <c r="AK30" i="3"/>
  <c r="AM11" i="3"/>
  <c r="AK11" i="3"/>
  <c r="AM3" i="3"/>
  <c r="AK3" i="3"/>
  <c r="AM13" i="3"/>
  <c r="AK13" i="3"/>
  <c r="AM10" i="3"/>
  <c r="AK10" i="3"/>
  <c r="AM35" i="3"/>
  <c r="AK35" i="3"/>
  <c r="AM7" i="3"/>
  <c r="AK7" i="3"/>
  <c r="AM15" i="3"/>
  <c r="AK15" i="3"/>
  <c r="AM31" i="3"/>
  <c r="AK31" i="3"/>
  <c r="AM33" i="3"/>
  <c r="AK33" i="3"/>
  <c r="AM2" i="3"/>
  <c r="AK2" i="3"/>
  <c r="AM6" i="3"/>
  <c r="AK6" i="3"/>
  <c r="AM21" i="3"/>
  <c r="AK21" i="3"/>
  <c r="AM18" i="3"/>
  <c r="AK18" i="3"/>
  <c r="AM9" i="3"/>
  <c r="AK9" i="3"/>
  <c r="AM4" i="3"/>
  <c r="AK4" i="3"/>
  <c r="AM19" i="3"/>
  <c r="AK19" i="3"/>
  <c r="AM17" i="3"/>
  <c r="AK17" i="3"/>
  <c r="AM26" i="3"/>
  <c r="AK26" i="3"/>
  <c r="AM12" i="3"/>
  <c r="AK12" i="3"/>
  <c r="AM5" i="3"/>
  <c r="AK5" i="3"/>
  <c r="AM14" i="3"/>
  <c r="AK14" i="3"/>
  <c r="AM8" i="3"/>
  <c r="AK8" i="3"/>
  <c r="AM24" i="3"/>
  <c r="AK24" i="3"/>
  <c r="AM32" i="3"/>
  <c r="AK32" i="3"/>
  <c r="AM28" i="3"/>
  <c r="AK28" i="3"/>
  <c r="AM34" i="3"/>
  <c r="AK34" i="3"/>
  <c r="AM16" i="3"/>
  <c r="AK16" i="3"/>
  <c r="AB10" i="1"/>
  <c r="F18" i="2"/>
  <c r="Z15" i="2"/>
  <c r="I18" i="2"/>
  <c r="AN6" i="3"/>
  <c r="AJ6" i="3"/>
  <c r="AN21" i="3"/>
  <c r="AJ21" i="3"/>
  <c r="AN30" i="3"/>
  <c r="AJ30" i="3"/>
  <c r="AN18" i="3"/>
  <c r="AJ18" i="3"/>
  <c r="AN9" i="3"/>
  <c r="AJ9" i="3"/>
  <c r="AN4" i="3"/>
  <c r="AJ4" i="3"/>
  <c r="AN19" i="3"/>
  <c r="AJ19" i="3"/>
  <c r="AN26" i="3"/>
  <c r="AJ26" i="3"/>
  <c r="AN11" i="3"/>
  <c r="AJ11" i="3"/>
  <c r="AN12" i="3"/>
  <c r="AJ12" i="3"/>
  <c r="AN17" i="3"/>
  <c r="AJ17" i="3"/>
  <c r="AN5" i="3"/>
  <c r="AJ5" i="3"/>
  <c r="AN3" i="3"/>
  <c r="AJ3" i="3"/>
  <c r="AN14" i="3"/>
  <c r="AJ14" i="3"/>
  <c r="AN8" i="3"/>
  <c r="AJ8" i="3"/>
  <c r="AN24" i="3"/>
  <c r="AJ24" i="3"/>
  <c r="AN32" i="3"/>
  <c r="AJ32" i="3"/>
  <c r="AN28" i="3"/>
  <c r="AJ28" i="3"/>
  <c r="AN34" i="3"/>
  <c r="AJ34" i="3"/>
  <c r="AN16" i="3"/>
  <c r="AJ16" i="3"/>
  <c r="AN13" i="3"/>
  <c r="AJ13" i="3"/>
  <c r="AN10" i="3"/>
  <c r="AJ10" i="3"/>
  <c r="AN35" i="3"/>
  <c r="AJ35" i="3"/>
  <c r="AN7" i="3"/>
  <c r="AJ7" i="3"/>
  <c r="AN15" i="3"/>
  <c r="AJ15" i="3"/>
  <c r="AN31" i="3"/>
  <c r="AJ31" i="3"/>
  <c r="AN33" i="3"/>
  <c r="AJ33" i="3"/>
  <c r="AN2" i="3"/>
  <c r="AJ2" i="3"/>
  <c r="W14" i="1"/>
  <c r="W10" i="1"/>
  <c r="X15" i="2"/>
  <c r="W15" i="2"/>
  <c r="U10" i="1"/>
  <c r="U14" i="1"/>
  <c r="U7" i="1"/>
  <c r="T7" i="1"/>
  <c r="P7" i="1"/>
  <c r="AD14" i="1"/>
  <c r="Y14" i="1"/>
  <c r="J19" i="2"/>
  <c r="W7" i="1"/>
  <c r="W18" i="1" s="1"/>
  <c r="Z10" i="1"/>
  <c r="Z14" i="1"/>
  <c r="Z7" i="1"/>
  <c r="Y7" i="1"/>
  <c r="AB14" i="1"/>
  <c r="R14" i="1"/>
  <c r="R10" i="1"/>
  <c r="S10" i="1"/>
  <c r="S14" i="1"/>
  <c r="T14" i="1"/>
  <c r="T10" i="1"/>
  <c r="R19" i="1"/>
  <c r="R18" i="1"/>
  <c r="J18" i="2"/>
  <c r="G18" i="2"/>
  <c r="R15" i="2"/>
  <c r="AB15" i="2"/>
  <c r="R20" i="1"/>
  <c r="M19" i="1"/>
  <c r="AC15" i="2"/>
  <c r="AB19" i="1"/>
  <c r="AB18" i="1"/>
  <c r="N19" i="1"/>
  <c r="N18" i="1"/>
  <c r="S19" i="1"/>
  <c r="S18" i="1"/>
  <c r="S16" i="1"/>
  <c r="S15" i="2"/>
  <c r="H18" i="2"/>
  <c r="T15" i="2"/>
  <c r="E18" i="2"/>
  <c r="Y15" i="2"/>
  <c r="E19" i="2"/>
  <c r="G19" i="2"/>
  <c r="H19" i="2"/>
  <c r="F19" i="2"/>
  <c r="D19" i="2"/>
  <c r="D18" i="2"/>
  <c r="I19" i="2"/>
  <c r="C4" i="1"/>
  <c r="D4" i="1"/>
  <c r="E4" i="1"/>
  <c r="F4" i="1"/>
  <c r="G4" i="1"/>
  <c r="H4" i="1"/>
  <c r="I4" i="1"/>
  <c r="J4" i="1"/>
  <c r="B4" i="1"/>
  <c r="B45" i="3" l="1"/>
  <c r="AD19" i="1"/>
  <c r="AD20" i="1"/>
  <c r="M20" i="1"/>
  <c r="R16" i="1"/>
  <c r="W20" i="1"/>
  <c r="O19" i="1"/>
  <c r="O18" i="1"/>
  <c r="O20" i="1"/>
  <c r="B50" i="3"/>
  <c r="B48" i="3"/>
  <c r="B52" i="3"/>
  <c r="Y16" i="1"/>
  <c r="Y20" i="1"/>
  <c r="Y18" i="1"/>
  <c r="AB16" i="1"/>
  <c r="W16" i="1"/>
  <c r="U16" i="1"/>
  <c r="U20" i="1"/>
  <c r="U18" i="1"/>
  <c r="U19" i="1"/>
  <c r="AD16" i="1"/>
  <c r="W19" i="1"/>
  <c r="Z19" i="1"/>
  <c r="Z18" i="1"/>
  <c r="Z16" i="1"/>
  <c r="Z20" i="1"/>
  <c r="P18" i="1"/>
  <c r="P20" i="1"/>
  <c r="P19" i="1"/>
  <c r="Y19" i="1"/>
  <c r="T16" i="1"/>
  <c r="T20" i="1"/>
  <c r="T18" i="1"/>
  <c r="AE16" i="1"/>
  <c r="T19" i="1"/>
  <c r="F9" i="1"/>
  <c r="J9" i="1"/>
  <c r="H9" i="1"/>
  <c r="D9" i="1"/>
  <c r="G9" i="1"/>
  <c r="I9" i="1"/>
  <c r="E9" i="1"/>
  <c r="C9" i="1"/>
  <c r="B7" i="1"/>
  <c r="B18" i="1" s="1"/>
  <c r="C7" i="1"/>
  <c r="C19" i="1" l="1"/>
  <c r="C20" i="1"/>
  <c r="B19" i="1"/>
  <c r="B20" i="1"/>
  <c r="C18" i="1"/>
  <c r="C1" i="1"/>
  <c r="D1" i="1" l="1"/>
  <c r="E1" i="1" l="1"/>
  <c r="F1" i="1" l="1"/>
  <c r="G1" i="1" l="1"/>
  <c r="H1" i="1" l="1"/>
  <c r="I1" i="1" l="1"/>
  <c r="J1" i="1" l="1"/>
  <c r="AC5" i="1" l="1"/>
  <c r="X5" i="1" l="1"/>
  <c r="AC14" i="1" s="1"/>
  <c r="AC10" i="1"/>
  <c r="AC7" i="1"/>
  <c r="AC19" i="1" s="1"/>
  <c r="AD10" i="1"/>
  <c r="X10" i="1" l="1"/>
  <c r="X14" i="1"/>
  <c r="X7" i="1"/>
  <c r="AC16" i="1" s="1"/>
  <c r="Y10" i="1"/>
  <c r="AC20" i="1"/>
  <c r="AC18" i="1"/>
  <c r="X16" i="1" l="1"/>
  <c r="X20" i="1"/>
  <c r="X18" i="1"/>
  <c r="X19" i="1"/>
  <c r="D5" i="1" l="1"/>
  <c r="E5" i="1"/>
  <c r="F5" i="1"/>
  <c r="G5" i="1"/>
  <c r="H5" i="1"/>
  <c r="I5" i="1"/>
  <c r="J5" i="1"/>
  <c r="G10" i="1" l="1"/>
  <c r="G7" i="1"/>
  <c r="G19" i="1" s="1"/>
  <c r="F10" i="1"/>
  <c r="F7" i="1"/>
  <c r="I10" i="1"/>
  <c r="I7" i="1"/>
  <c r="E10" i="1"/>
  <c r="E7" i="1"/>
  <c r="J7" i="1"/>
  <c r="J10" i="1"/>
  <c r="H7" i="1"/>
  <c r="H19" i="1" s="1"/>
  <c r="H10" i="1"/>
  <c r="D10" i="1"/>
  <c r="D7" i="1"/>
  <c r="I19" i="1" l="1"/>
  <c r="I20" i="1"/>
  <c r="I18" i="1"/>
  <c r="J19" i="1"/>
  <c r="J20" i="1"/>
  <c r="J18" i="1"/>
  <c r="E19" i="1"/>
  <c r="E20" i="1"/>
  <c r="E18" i="1"/>
  <c r="F19" i="1"/>
  <c r="F18" i="1"/>
  <c r="F20" i="1"/>
  <c r="G20" i="1"/>
  <c r="G18" i="1"/>
  <c r="D19" i="1"/>
  <c r="D18" i="1"/>
  <c r="D20" i="1"/>
  <c r="H18" i="1"/>
  <c r="H20" i="1"/>
</calcChain>
</file>

<file path=xl/sharedStrings.xml><?xml version="1.0" encoding="utf-8"?>
<sst xmlns="http://schemas.openxmlformats.org/spreadsheetml/2006/main" count="684" uniqueCount="197">
  <si>
    <t>META</t>
  </si>
  <si>
    <t xml:space="preserve">Advertisement revenues: </t>
  </si>
  <si>
    <t>ALPHABET</t>
  </si>
  <si>
    <t>AMAZON</t>
  </si>
  <si>
    <t>Total</t>
  </si>
  <si>
    <t>Market Share</t>
  </si>
  <si>
    <t xml:space="preserve">2024 E </t>
  </si>
  <si>
    <t>21FY Q1</t>
  </si>
  <si>
    <t>21FY Q2</t>
  </si>
  <si>
    <t>21FY Q3</t>
  </si>
  <si>
    <t>21FY Q4</t>
  </si>
  <si>
    <t>22FY Q1</t>
  </si>
  <si>
    <t>22FY Q2</t>
  </si>
  <si>
    <t>22FY Q3</t>
  </si>
  <si>
    <t>22FY Q4</t>
  </si>
  <si>
    <t>23FY Q1</t>
  </si>
  <si>
    <t>23FY Q2</t>
  </si>
  <si>
    <t>23FY Q3</t>
  </si>
  <si>
    <t>23FY Q4</t>
  </si>
  <si>
    <t>24FY Q1</t>
  </si>
  <si>
    <t>24FY Q2</t>
  </si>
  <si>
    <t>24FY Q3 E</t>
  </si>
  <si>
    <t>24FY Q4 E</t>
  </si>
  <si>
    <t>Sequential Growth Rate</t>
  </si>
  <si>
    <t>Quarterly Growth Rate</t>
  </si>
  <si>
    <t xml:space="preserve">Cloud Computing Revenues: </t>
  </si>
  <si>
    <t>MICROSOFT</t>
  </si>
  <si>
    <t>Company ($ Billions)</t>
  </si>
  <si>
    <t>Ticker</t>
  </si>
  <si>
    <t xml:space="preserve">Share Price </t>
  </si>
  <si>
    <t>Shares Outstanding</t>
  </si>
  <si>
    <t xml:space="preserve">Market Cap </t>
  </si>
  <si>
    <t>Debt</t>
  </si>
  <si>
    <t xml:space="preserve">Cash </t>
  </si>
  <si>
    <t>Cash/Debt Ratio</t>
  </si>
  <si>
    <t>Revenue</t>
  </si>
  <si>
    <t>OFCF</t>
  </si>
  <si>
    <t>EV/OFCF</t>
  </si>
  <si>
    <t>EV/Revenue</t>
  </si>
  <si>
    <t>OFCF/Revenue</t>
  </si>
  <si>
    <t>Target Multiple</t>
  </si>
  <si>
    <t xml:space="preserve"> Est. EV</t>
  </si>
  <si>
    <t>Est. Market Cap</t>
  </si>
  <si>
    <t>Est. Share Price</t>
  </si>
  <si>
    <t>Potential Return</t>
  </si>
  <si>
    <t>CyberArk</t>
  </si>
  <si>
    <t>CYBR</t>
  </si>
  <si>
    <t>Cloudflare</t>
  </si>
  <si>
    <t>NET</t>
  </si>
  <si>
    <t>Zscaler</t>
  </si>
  <si>
    <t>ZS</t>
  </si>
  <si>
    <t xml:space="preserve">Datadog </t>
  </si>
  <si>
    <t>DDOG</t>
  </si>
  <si>
    <t>Crowdstrike</t>
  </si>
  <si>
    <t>CRWD</t>
  </si>
  <si>
    <t>Palo Alto Networks</t>
  </si>
  <si>
    <t>PANW</t>
  </si>
  <si>
    <t>Okta</t>
  </si>
  <si>
    <t>OKTA</t>
  </si>
  <si>
    <t>Fortinet</t>
  </si>
  <si>
    <t>FTNT</t>
  </si>
  <si>
    <t>Akamai</t>
  </si>
  <si>
    <t>AKAM</t>
  </si>
  <si>
    <t>Gen Digital</t>
  </si>
  <si>
    <t>GEN</t>
  </si>
  <si>
    <t>Cisco</t>
  </si>
  <si>
    <t>CSCO</t>
  </si>
  <si>
    <t>SentinelOne</t>
  </si>
  <si>
    <t>S</t>
  </si>
  <si>
    <t>Amazon</t>
  </si>
  <si>
    <t>Microsoft</t>
  </si>
  <si>
    <t>Alphabet</t>
  </si>
  <si>
    <t>Tesla</t>
  </si>
  <si>
    <t>Nvidia</t>
  </si>
  <si>
    <t>AMD</t>
  </si>
  <si>
    <t>Apple</t>
  </si>
  <si>
    <t>AMZN</t>
  </si>
  <si>
    <t>MSFT</t>
  </si>
  <si>
    <t>TSLA</t>
  </si>
  <si>
    <t>NVDA</t>
  </si>
  <si>
    <t>Advanced Micro Devices</t>
  </si>
  <si>
    <t>Meta Platforms</t>
  </si>
  <si>
    <t>GOOG/GOOGL</t>
  </si>
  <si>
    <t xml:space="preserve">S&amp;P P/E </t>
  </si>
  <si>
    <t>Avg EV/OFCF</t>
  </si>
  <si>
    <t>Avg EV/Revenue</t>
  </si>
  <si>
    <t>OCFC/Revenue</t>
  </si>
  <si>
    <t>Intel</t>
  </si>
  <si>
    <t>Oracle</t>
  </si>
  <si>
    <t>Snap Inc</t>
  </si>
  <si>
    <t>Adobe</t>
  </si>
  <si>
    <t>CRM</t>
  </si>
  <si>
    <t>Salesforce</t>
  </si>
  <si>
    <t>Broadcom</t>
  </si>
  <si>
    <t>INTC</t>
  </si>
  <si>
    <t xml:space="preserve">Taiwan Semiconductor </t>
  </si>
  <si>
    <t>Currency</t>
  </si>
  <si>
    <t>USD</t>
  </si>
  <si>
    <t>TWD</t>
  </si>
  <si>
    <t xml:space="preserve">AVGO </t>
  </si>
  <si>
    <t>Size</t>
  </si>
  <si>
    <t>Enterprise Value (USD)</t>
  </si>
  <si>
    <t>Exchange Rate</t>
  </si>
  <si>
    <t>Total Enterprise Value ($ Billions)</t>
  </si>
  <si>
    <t>Total Revenue  ($ Billions)</t>
  </si>
  <si>
    <t>Revenue Share</t>
  </si>
  <si>
    <t>ORCL</t>
  </si>
  <si>
    <t>SNAP</t>
  </si>
  <si>
    <t>Total Market Cap ($ Billions)</t>
  </si>
  <si>
    <t>ADBE</t>
  </si>
  <si>
    <t>Qualcomm</t>
  </si>
  <si>
    <t>QCOM</t>
  </si>
  <si>
    <t>EV/OFCF (Adj. Size)</t>
  </si>
  <si>
    <t>P/E (TTM)</t>
  </si>
  <si>
    <t>TSM</t>
  </si>
  <si>
    <t>Weighted P/E</t>
  </si>
  <si>
    <t>P/E (Adj. Size)</t>
  </si>
  <si>
    <t>AAPL</t>
  </si>
  <si>
    <t>Net Working Capital ($ Billions)</t>
  </si>
  <si>
    <t>Change in Working Capital ($ Billions)</t>
  </si>
  <si>
    <t>Operating Income</t>
  </si>
  <si>
    <t>Operating Margin</t>
  </si>
  <si>
    <t>EV/OI</t>
  </si>
  <si>
    <t>D&amp;A ($ Billions)</t>
  </si>
  <si>
    <t>Non current Assets</t>
  </si>
  <si>
    <t>Invested Capital</t>
  </si>
  <si>
    <t>Capex ($ Billions)</t>
  </si>
  <si>
    <t>Average P/E (TTM)</t>
  </si>
  <si>
    <t>Adj. OI</t>
  </si>
  <si>
    <t>Total Operating Income  ($ Billions)</t>
  </si>
  <si>
    <t>EV/Adj. OI</t>
  </si>
  <si>
    <t>EV/OI (Adj. Size)</t>
  </si>
  <si>
    <t>Weighted Operating Margin</t>
  </si>
  <si>
    <t>Avg EV/OI</t>
  </si>
  <si>
    <t>Weighted EV/OI</t>
  </si>
  <si>
    <t>Adj. OI/IC</t>
  </si>
  <si>
    <t>Avg Adj. OI/IC</t>
  </si>
  <si>
    <t>Weighted Adj. OI/IC</t>
  </si>
  <si>
    <t>Operating Margin (Adj. Size)</t>
  </si>
  <si>
    <t>Adj. OI/IC (Adj. Size)</t>
  </si>
  <si>
    <t>IC/EV</t>
  </si>
  <si>
    <t>Revenue Share/Size</t>
  </si>
  <si>
    <t>Gross Profit</t>
  </si>
  <si>
    <t>Gross Margin</t>
  </si>
  <si>
    <t>Weighted Gross Margin</t>
  </si>
  <si>
    <t>Gross Margin (adj. Size)</t>
  </si>
  <si>
    <t>Autodesk</t>
  </si>
  <si>
    <t>ADSK</t>
  </si>
  <si>
    <t>Texas Instruments</t>
  </si>
  <si>
    <t>NXP Semiconductors</t>
  </si>
  <si>
    <t>Infineon Technologies</t>
  </si>
  <si>
    <t>Renesas Electronics</t>
  </si>
  <si>
    <t>STMicroelectronics</t>
  </si>
  <si>
    <t>NXPI</t>
  </si>
  <si>
    <t>IFNNY</t>
  </si>
  <si>
    <t>EUR</t>
  </si>
  <si>
    <t>RNECY</t>
  </si>
  <si>
    <t>JPY</t>
  </si>
  <si>
    <t>TXN</t>
  </si>
  <si>
    <t>STM</t>
  </si>
  <si>
    <t>Zoom Video Communications</t>
  </si>
  <si>
    <t>ZM</t>
  </si>
  <si>
    <t xml:space="preserve">ON Semiconductor </t>
  </si>
  <si>
    <t>ON</t>
  </si>
  <si>
    <t>Profitability:</t>
  </si>
  <si>
    <t>Growth Rate</t>
  </si>
  <si>
    <t>%</t>
  </si>
  <si>
    <t>Revenue ($ Billions USD)</t>
  </si>
  <si>
    <t>GM</t>
  </si>
  <si>
    <t>OM</t>
  </si>
  <si>
    <t>NM</t>
  </si>
  <si>
    <t>B/S Assessment</t>
  </si>
  <si>
    <t>Revenue in Automobile</t>
  </si>
  <si>
    <t xml:space="preserve">CCE </t>
  </si>
  <si>
    <t>C/D Ratio</t>
  </si>
  <si>
    <t>Capital Intensity</t>
  </si>
  <si>
    <t>Non-current assets</t>
  </si>
  <si>
    <t>Net working capital</t>
  </si>
  <si>
    <t>D&amp;A</t>
  </si>
  <si>
    <t>Change in NWC</t>
  </si>
  <si>
    <t>Change in CAPEX</t>
  </si>
  <si>
    <t>2024 E</t>
  </si>
  <si>
    <t>Total IC</t>
  </si>
  <si>
    <t>Q1</t>
  </si>
  <si>
    <t>Q2</t>
  </si>
  <si>
    <t>Q3</t>
  </si>
  <si>
    <t>Q4</t>
  </si>
  <si>
    <t>Infineon Technologies (EUR) *</t>
  </si>
  <si>
    <t>14,15%</t>
  </si>
  <si>
    <t>13.2%%</t>
  </si>
  <si>
    <t>Adj. Operating Income</t>
  </si>
  <si>
    <t>Adj. Operating Income/IC</t>
  </si>
  <si>
    <t xml:space="preserve">TTM </t>
  </si>
  <si>
    <t>Gross Income</t>
  </si>
  <si>
    <t>EV/IC</t>
  </si>
  <si>
    <t>Net Income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</si>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</sst>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HK$&quot;* #,##0.00_);_(&quot;HK$&quot;* \(#,##0.00\);_(&quot;HK$&quot;* &quot;-&quot;??_);_(@_)"/>
    <numFmt numFmtId="164" formatCode="_([$$-409]* #,##0_);_([$$-409]* \(#,##0\);_([$$-409]* &quot;-&quot;??_);_(@_)"/>
    <numFmt numFmtId="165" formatCode="0.0"/>
    <numFmt numFmtId="166" formatCode="0.0%"/>
    <numFmt numFmtId="167" formatCode="_([$$-409]* #,##0.00_);_([$$-409]* \(#,##0.00\);_([$$-409]* &quot;-&quot;??_);_(@_)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B050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92D050"/>
      <name val="Aptos Narrow"/>
      <family val="2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rgb="FF202124"/>
      <name val="Aptos Narrow"/>
      <scheme val="minor"/>
    </font>
    <font>
      <b/>
      <u/>
      <sz val="12"/>
      <color theme="1"/>
      <name val="Aptos Narrow (Body)"/>
    </font>
    <font>
      <b/>
      <u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u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9" fontId="2" fillId="0" borderId="0" xfId="1" applyFont="1"/>
    <xf numFmtId="9" fontId="4" fillId="0" borderId="0" xfId="1" applyFont="1"/>
    <xf numFmtId="0" fontId="5" fillId="0" borderId="0" xfId="0" applyFont="1" applyAlignment="1">
      <alignment horizontal="center" wrapText="1"/>
    </xf>
    <xf numFmtId="164" fontId="1" fillId="0" borderId="0" xfId="1" applyNumberFormat="1" applyFont="1"/>
    <xf numFmtId="164" fontId="1" fillId="0" borderId="0" xfId="1" applyNumberFormat="1" applyFont="1" applyAlignment="1"/>
    <xf numFmtId="9" fontId="7" fillId="0" borderId="0" xfId="1" applyFont="1"/>
    <xf numFmtId="0" fontId="8" fillId="0" borderId="0" xfId="0" applyFont="1" applyAlignment="1">
      <alignment horizontal="right" wrapText="1"/>
    </xf>
    <xf numFmtId="164" fontId="8" fillId="0" borderId="0" xfId="0" applyNumberFormat="1" applyFont="1"/>
    <xf numFmtId="164" fontId="0" fillId="2" borderId="0" xfId="0" applyNumberFormat="1" applyFill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9" fontId="0" fillId="0" borderId="0" xfId="0" applyNumberFormat="1"/>
    <xf numFmtId="2" fontId="0" fillId="3" borderId="0" xfId="0" applyNumberFormat="1" applyFill="1"/>
    <xf numFmtId="1" fontId="0" fillId="0" borderId="0" xfId="0" applyNumberFormat="1"/>
    <xf numFmtId="2" fontId="0" fillId="0" borderId="0" xfId="0" applyNumberFormat="1" applyAlignment="1">
      <alignment horizontal="right"/>
    </xf>
    <xf numFmtId="167" fontId="0" fillId="0" borderId="0" xfId="0" applyNumberFormat="1"/>
    <xf numFmtId="0" fontId="0" fillId="4" borderId="0" xfId="0" applyFill="1" applyAlignment="1">
      <alignment wrapText="1"/>
    </xf>
    <xf numFmtId="2" fontId="0" fillId="0" borderId="0" xfId="1" applyNumberFormat="1" applyFont="1"/>
    <xf numFmtId="167" fontId="0" fillId="0" borderId="0" xfId="1" applyNumberFormat="1" applyFont="1"/>
    <xf numFmtId="9" fontId="0" fillId="5" borderId="0" xfId="1" applyFont="1" applyFill="1"/>
    <xf numFmtId="167" fontId="0" fillId="0" borderId="0" xfId="1" applyNumberFormat="1" applyFont="1" applyAlignment="1">
      <alignment wrapText="1"/>
    </xf>
    <xf numFmtId="0" fontId="3" fillId="2" borderId="0" xfId="0" applyFont="1" applyFill="1" applyAlignment="1">
      <alignment wrapText="1"/>
    </xf>
    <xf numFmtId="9" fontId="0" fillId="2" borderId="0" xfId="1" applyFont="1" applyFill="1"/>
    <xf numFmtId="0" fontId="0" fillId="2" borderId="0" xfId="0" applyFill="1"/>
    <xf numFmtId="166" fontId="0" fillId="6" borderId="0" xfId="1" applyNumberFormat="1" applyFont="1" applyFill="1"/>
    <xf numFmtId="2" fontId="0" fillId="7" borderId="0" xfId="0" applyNumberFormat="1" applyFill="1"/>
    <xf numFmtId="167" fontId="0" fillId="7" borderId="0" xfId="1" applyNumberFormat="1" applyFont="1" applyFill="1"/>
    <xf numFmtId="165" fontId="0" fillId="0" borderId="0" xfId="1" applyNumberFormat="1" applyFont="1" applyFill="1"/>
    <xf numFmtId="9" fontId="0" fillId="0" borderId="0" xfId="1" applyFont="1" applyFill="1"/>
    <xf numFmtId="167" fontId="0" fillId="7" borderId="0" xfId="0" applyNumberFormat="1" applyFill="1"/>
    <xf numFmtId="167" fontId="0" fillId="7" borderId="0" xfId="2" applyNumberFormat="1" applyFont="1" applyFill="1"/>
    <xf numFmtId="9" fontId="0" fillId="2" borderId="0" xfId="0" applyNumberFormat="1" applyFill="1"/>
    <xf numFmtId="165" fontId="9" fillId="2" borderId="0" xfId="0" applyNumberFormat="1" applyFont="1" applyFill="1" applyAlignment="1">
      <alignment horizontal="center"/>
    </xf>
    <xf numFmtId="0" fontId="10" fillId="0" borderId="0" xfId="0" applyFont="1"/>
    <xf numFmtId="165" fontId="0" fillId="7" borderId="0" xfId="1" applyNumberFormat="1" applyFont="1" applyFill="1"/>
    <xf numFmtId="9" fontId="0" fillId="7" borderId="0" xfId="1" applyFont="1" applyFill="1"/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10" fontId="13" fillId="0" borderId="0" xfId="0" applyNumberFormat="1" applyFont="1" applyAlignment="1">
      <alignment horizontal="right" wrapText="1"/>
    </xf>
    <xf numFmtId="10" fontId="13" fillId="0" borderId="0" xfId="0" applyNumberFormat="1" applyFont="1" applyAlignment="1">
      <alignment horizontal="center" wrapText="1"/>
    </xf>
    <xf numFmtId="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0" fontId="0" fillId="0" borderId="0" xfId="0" applyNumberFormat="1"/>
    <xf numFmtId="9" fontId="13" fillId="0" borderId="0" xfId="0" applyNumberFormat="1" applyFont="1" applyAlignment="1">
      <alignment horizontal="right" wrapText="1"/>
    </xf>
    <xf numFmtId="0" fontId="8" fillId="0" borderId="0" xfId="0" applyFont="1"/>
    <xf numFmtId="10" fontId="13" fillId="0" borderId="0" xfId="1" applyNumberFormat="1" applyFont="1" applyAlignment="1">
      <alignment horizontal="right" wrapText="1"/>
    </xf>
    <xf numFmtId="10" fontId="0" fillId="0" borderId="0" xfId="1" applyNumberFormat="1" applyFont="1"/>
    <xf numFmtId="2" fontId="16" fillId="0" borderId="0" xfId="0" applyNumberFormat="1" applyFont="1" applyAlignment="1">
      <alignment horizontal="left" wrapText="1"/>
    </xf>
    <xf numFmtId="2" fontId="16" fillId="0" borderId="0" xfId="0" applyNumberFormat="1" applyFont="1" applyAlignment="1">
      <alignment horizontal="left"/>
    </xf>
    <xf numFmtId="9" fontId="16" fillId="0" borderId="0" xfId="1" applyFont="1" applyAlignment="1">
      <alignment horizontal="left" wrapText="1"/>
    </xf>
    <xf numFmtId="9" fontId="16" fillId="0" borderId="0" xfId="1" applyFont="1" applyAlignment="1">
      <alignment horizontal="left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9" fontId="0" fillId="5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165" fontId="3" fillId="2" borderId="0" xfId="0" applyNumberFormat="1" applyFont="1" applyFill="1"/>
    <xf numFmtId="167" fontId="0" fillId="0" borderId="0" xfId="0" applyNumberFormat="1" applyAlignment="1">
      <alignment wrapText="1"/>
    </xf>
    <xf numFmtId="167" fontId="0" fillId="0" borderId="0" xfId="1" applyNumberFormat="1" applyFont="1" applyFill="1"/>
    <xf numFmtId="165" fontId="3" fillId="8" borderId="0" xfId="1" applyNumberFormat="1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META.xlsx" TargetMode="External"/><Relationship Id="rId1" Type="http://schemas.openxmlformats.org/officeDocument/2006/relationships/externalLinkPath" Target="ME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GOOG.xlsx" TargetMode="External"/><Relationship Id="rId1" Type="http://schemas.openxmlformats.org/officeDocument/2006/relationships/externalLinkPath" Target="GOO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Technology/Amazon.com%20Final.xlsx" TargetMode="External"/><Relationship Id="rId1" Type="http://schemas.openxmlformats.org/officeDocument/2006/relationships/externalLinkPath" Target="Amazon.com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ation &amp; Forecasting"/>
      <sheetName val="Balance Sheet"/>
      <sheetName val="Statement of Income"/>
      <sheetName val="Statement of Cashflow"/>
    </sheetNames>
    <sheetDataSet>
      <sheetData sheetId="0">
        <row r="6">
          <cell r="B6">
            <v>17079</v>
          </cell>
          <cell r="C6">
            <v>26885</v>
          </cell>
          <cell r="D6">
            <v>39942</v>
          </cell>
          <cell r="E6">
            <v>55013</v>
          </cell>
          <cell r="F6">
            <v>69655</v>
          </cell>
          <cell r="G6">
            <v>84169</v>
          </cell>
          <cell r="H6">
            <v>114934</v>
          </cell>
          <cell r="I6">
            <v>113642</v>
          </cell>
          <cell r="J6">
            <v>131948</v>
          </cell>
          <cell r="M6">
            <v>25439</v>
          </cell>
          <cell r="N6">
            <v>28580</v>
          </cell>
          <cell r="O6">
            <v>28276</v>
          </cell>
          <cell r="P6">
            <v>32639</v>
          </cell>
          <cell r="R6">
            <v>26998</v>
          </cell>
          <cell r="S6">
            <v>28152</v>
          </cell>
          <cell r="T6">
            <v>27237</v>
          </cell>
          <cell r="U6">
            <v>31254</v>
          </cell>
          <cell r="W6">
            <v>28101</v>
          </cell>
          <cell r="X6">
            <v>31498</v>
          </cell>
          <cell r="Y6">
            <v>33643</v>
          </cell>
          <cell r="Z6">
            <v>38706</v>
          </cell>
          <cell r="AB6">
            <v>35635</v>
          </cell>
          <cell r="AC6">
            <v>38329</v>
          </cell>
          <cell r="AD6"/>
          <cell r="AE6"/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ation &amp; Forecasting"/>
      <sheetName val="Balance Sheet"/>
      <sheetName val="Statement of Operations"/>
      <sheetName val="Statement of Cashflow"/>
    </sheetNames>
    <sheetDataSet>
      <sheetData sheetId="0">
        <row r="8">
          <cell r="B8">
            <v>95577</v>
          </cell>
          <cell r="C8">
            <v>116461</v>
          </cell>
          <cell r="D8">
            <v>134811</v>
          </cell>
          <cell r="E8">
            <v>146924</v>
          </cell>
          <cell r="F8">
            <v>209497</v>
          </cell>
          <cell r="G8">
            <v>224473</v>
          </cell>
          <cell r="H8">
            <v>237855</v>
          </cell>
          <cell r="K8">
            <v>44684</v>
          </cell>
          <cell r="L8">
            <v>50444</v>
          </cell>
          <cell r="M8">
            <v>53130</v>
          </cell>
          <cell r="N8">
            <v>61239</v>
          </cell>
          <cell r="P8">
            <v>54661</v>
          </cell>
          <cell r="Q8">
            <v>56288</v>
          </cell>
          <cell r="R8">
            <v>54482</v>
          </cell>
          <cell r="S8">
            <v>59042</v>
          </cell>
          <cell r="U8">
            <v>54548</v>
          </cell>
          <cell r="V8">
            <v>58143</v>
          </cell>
          <cell r="W8">
            <v>59647</v>
          </cell>
          <cell r="X8">
            <v>65517</v>
          </cell>
          <cell r="Z8">
            <v>61659</v>
          </cell>
          <cell r="AA8">
            <v>64616</v>
          </cell>
          <cell r="AB8">
            <v>0</v>
          </cell>
          <cell r="AC8">
            <v>0</v>
          </cell>
        </row>
        <row r="11">
          <cell r="B11">
            <v>4056</v>
          </cell>
          <cell r="C11">
            <v>5838</v>
          </cell>
          <cell r="D11">
            <v>8918</v>
          </cell>
          <cell r="E11">
            <v>13059</v>
          </cell>
          <cell r="F11">
            <v>19206</v>
          </cell>
          <cell r="G11">
            <v>26280</v>
          </cell>
          <cell r="H11">
            <v>33088</v>
          </cell>
          <cell r="K11">
            <v>4047</v>
          </cell>
          <cell r="L11">
            <v>4628</v>
          </cell>
          <cell r="M11">
            <v>4990</v>
          </cell>
          <cell r="N11">
            <v>5541</v>
          </cell>
          <cell r="P11">
            <v>5821</v>
          </cell>
          <cell r="Q11">
            <v>6276</v>
          </cell>
          <cell r="R11">
            <v>6868</v>
          </cell>
          <cell r="S11">
            <v>7315</v>
          </cell>
          <cell r="U11">
            <v>7454</v>
          </cell>
          <cell r="V11">
            <v>8031</v>
          </cell>
          <cell r="W11">
            <v>8411</v>
          </cell>
          <cell r="X11">
            <v>9192</v>
          </cell>
          <cell r="Z11">
            <v>9574</v>
          </cell>
          <cell r="AA11">
            <v>10347</v>
          </cell>
          <cell r="AB11"/>
          <cell r="AC11"/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00000"/>
      <sheetName val="Forecasting"/>
      <sheetName val="Statement of Operations"/>
      <sheetName val="Balance Sheet"/>
      <sheetName val="Funds Flow"/>
    </sheetNames>
    <sheetDataSet>
      <sheetData sheetId="0"/>
      <sheetData sheetId="1">
        <row r="13">
          <cell r="B13">
            <v>10108</v>
          </cell>
          <cell r="C13">
            <v>14085</v>
          </cell>
          <cell r="D13">
            <v>21453</v>
          </cell>
          <cell r="E13">
            <v>31160</v>
          </cell>
          <cell r="F13">
            <v>37739</v>
          </cell>
          <cell r="G13">
            <v>46906</v>
          </cell>
          <cell r="L13">
            <v>6381</v>
          </cell>
          <cell r="M13">
            <v>7451</v>
          </cell>
          <cell r="N13">
            <v>7612</v>
          </cell>
          <cell r="O13">
            <v>9716</v>
          </cell>
          <cell r="Q13">
            <v>7877</v>
          </cell>
          <cell r="R13">
            <v>8757</v>
          </cell>
          <cell r="S13">
            <v>9548</v>
          </cell>
          <cell r="T13">
            <v>11557</v>
          </cell>
          <cell r="V13">
            <v>9509</v>
          </cell>
          <cell r="W13">
            <v>10683</v>
          </cell>
          <cell r="X13">
            <v>12060</v>
          </cell>
          <cell r="Y13">
            <v>14654</v>
          </cell>
          <cell r="AA13">
            <v>11824</v>
          </cell>
          <cell r="AC13">
            <v>12771</v>
          </cell>
          <cell r="AD13"/>
          <cell r="AE13"/>
        </row>
        <row r="15">
          <cell r="B15">
            <v>25655</v>
          </cell>
          <cell r="C15">
            <v>35026</v>
          </cell>
          <cell r="D15">
            <v>45370</v>
          </cell>
          <cell r="E15">
            <v>62202</v>
          </cell>
          <cell r="F15">
            <v>80096</v>
          </cell>
          <cell r="G15">
            <v>90757</v>
          </cell>
          <cell r="L15">
            <v>13503</v>
          </cell>
          <cell r="M15">
            <v>14809</v>
          </cell>
          <cell r="N15">
            <v>16110</v>
          </cell>
          <cell r="O15">
            <v>17780</v>
          </cell>
          <cell r="Q15">
            <v>18441</v>
          </cell>
          <cell r="R15">
            <v>19739</v>
          </cell>
          <cell r="S15">
            <v>20538</v>
          </cell>
          <cell r="T15">
            <v>21378</v>
          </cell>
          <cell r="V15">
            <v>21354</v>
          </cell>
          <cell r="W15">
            <v>22140</v>
          </cell>
          <cell r="X15">
            <v>23059</v>
          </cell>
          <cell r="Y15">
            <v>24204</v>
          </cell>
          <cell r="AA15">
            <v>25037</v>
          </cell>
          <cell r="AC15">
            <v>26281</v>
          </cell>
          <cell r="AD15"/>
          <cell r="AE15"/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CA24-5F06-4D48-91CB-5885C2EA1C24}">
  <dimension ref="A1:AW55"/>
  <sheetViews>
    <sheetView tabSelected="1" workbookViewId="0">
      <pane xSplit="4" ySplit="1" topLeftCell="F9" activePane="bottomRight" state="frozen"/>
      <selection pane="topRight" activeCell="E1" sqref="E1"/>
      <selection pane="bottomLeft" activeCell="A2" sqref="A2"/>
      <selection pane="bottomRight" activeCell="N13" sqref="N13"/>
    </sheetView>
  </sheetViews>
  <sheetFormatPr baseColWidth="10" defaultRowHeight="16" outlineLevelCol="1" x14ac:dyDescent="0.2"/>
  <cols>
    <col min="1" max="1" width="29.33203125" style="2" bestFit="1" customWidth="1"/>
    <col min="2" max="2" width="13.33203125" bestFit="1" customWidth="1"/>
    <col min="3" max="3" width="11" bestFit="1" customWidth="1"/>
    <col min="4" max="4" width="8.83203125" bestFit="1" customWidth="1"/>
    <col min="5" max="5" width="10.5" bestFit="1" customWidth="1"/>
    <col min="6" max="6" width="17.5" bestFit="1" customWidth="1"/>
    <col min="7" max="7" width="11.1640625" customWidth="1"/>
    <col min="8" max="8" width="10.5" customWidth="1"/>
    <col min="9" max="9" width="14.83203125" bestFit="1" customWidth="1"/>
    <col min="10" max="10" width="8.6640625" bestFit="1" customWidth="1"/>
    <col min="11" max="11" width="9.1640625" bestFit="1" customWidth="1"/>
    <col min="12" max="12" width="14.6640625" bestFit="1" customWidth="1"/>
    <col min="13" max="13" width="6.5" bestFit="1" customWidth="1"/>
    <col min="14" max="14" width="10.1640625" customWidth="1"/>
    <col min="15" max="15" width="13.1640625" bestFit="1" customWidth="1"/>
    <col min="16" max="16" width="10.33203125" bestFit="1" customWidth="1"/>
    <col min="17" max="17" width="13" customWidth="1"/>
    <col min="18" max="18" width="15.83203125" bestFit="1" customWidth="1"/>
    <col min="19" max="19" width="15.83203125" customWidth="1"/>
    <col min="20" max="20" width="11.33203125" customWidth="1"/>
    <col min="21" max="21" width="7.1640625" bestFit="1" customWidth="1"/>
    <col min="22" max="22" width="8.6640625" bestFit="1" customWidth="1"/>
    <col min="23" max="23" width="12.33203125" customWidth="1"/>
    <col min="24" max="24" width="15.1640625" customWidth="1"/>
    <col min="25" max="25" width="9.5" bestFit="1" customWidth="1"/>
    <col min="26" max="26" width="9.33203125" bestFit="1" customWidth="1"/>
    <col min="27" max="27" width="15" customWidth="1"/>
    <col min="28" max="28" width="9" bestFit="1" customWidth="1"/>
    <col min="29" max="29" width="11.33203125" style="2" customWidth="1" outlineLevel="1"/>
    <col min="30" max="30" width="16.33203125" customWidth="1" outlineLevel="1"/>
    <col min="31" max="31" width="14.5" customWidth="1" outlineLevel="1"/>
    <col min="32" max="32" width="8" customWidth="1" outlineLevel="1"/>
    <col min="33" max="33" width="14" customWidth="1" outlineLevel="1"/>
    <col min="34" max="34" width="12.6640625" customWidth="1" outlineLevel="1"/>
    <col min="35" max="35" width="16.6640625" customWidth="1" outlineLevel="1"/>
    <col min="36" max="36" width="12.5" customWidth="1" outlineLevel="1"/>
    <col min="37" max="37" width="15.33203125" customWidth="1" outlineLevel="1"/>
    <col min="38" max="38" width="13.1640625" customWidth="1" outlineLevel="1"/>
    <col min="39" max="39" width="10" customWidth="1" outlineLevel="1"/>
    <col min="40" max="40" width="9.5" customWidth="1" outlineLevel="1"/>
    <col min="41" max="42" width="8.1640625" bestFit="1" customWidth="1"/>
    <col min="43" max="43" width="14.1640625" bestFit="1" customWidth="1"/>
    <col min="44" max="44" width="14" bestFit="1" customWidth="1"/>
    <col min="45" max="45" width="14.5" bestFit="1" customWidth="1"/>
  </cols>
  <sheetData>
    <row r="1" spans="1:49" s="2" customFormat="1" ht="51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102</v>
      </c>
      <c r="L1" s="3" t="s">
        <v>101</v>
      </c>
      <c r="M1" s="3" t="s">
        <v>100</v>
      </c>
      <c r="N1" s="3" t="s">
        <v>35</v>
      </c>
      <c r="O1" s="3" t="s">
        <v>105</v>
      </c>
      <c r="P1" s="3" t="s">
        <v>141</v>
      </c>
      <c r="Q1" s="3" t="s">
        <v>193</v>
      </c>
      <c r="R1" s="3" t="s">
        <v>120</v>
      </c>
      <c r="S1" s="3" t="s">
        <v>195</v>
      </c>
      <c r="T1" s="3" t="s">
        <v>128</v>
      </c>
      <c r="U1" s="3" t="s">
        <v>36</v>
      </c>
      <c r="V1" s="3" t="s">
        <v>37</v>
      </c>
      <c r="W1" s="3" t="s">
        <v>38</v>
      </c>
      <c r="X1" s="3" t="s">
        <v>122</v>
      </c>
      <c r="Y1" s="3" t="s">
        <v>130</v>
      </c>
      <c r="Z1" s="3" t="s">
        <v>121</v>
      </c>
      <c r="AA1" s="3" t="s">
        <v>39</v>
      </c>
      <c r="AB1" s="3" t="s">
        <v>135</v>
      </c>
      <c r="AC1" s="3" t="s">
        <v>124</v>
      </c>
      <c r="AD1" s="3" t="s">
        <v>118</v>
      </c>
      <c r="AE1" s="3" t="s">
        <v>125</v>
      </c>
      <c r="AF1" s="3" t="s">
        <v>194</v>
      </c>
      <c r="AG1" s="3" t="s">
        <v>123</v>
      </c>
      <c r="AH1" s="3" t="s">
        <v>126</v>
      </c>
      <c r="AI1" s="3" t="s">
        <v>119</v>
      </c>
      <c r="AJ1" s="3" t="s">
        <v>116</v>
      </c>
      <c r="AK1" s="3" t="s">
        <v>138</v>
      </c>
      <c r="AL1" s="3" t="s">
        <v>139</v>
      </c>
      <c r="AM1" s="3" t="s">
        <v>131</v>
      </c>
      <c r="AN1" s="3" t="s">
        <v>112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/>
      <c r="AV1" s="3"/>
      <c r="AW1" s="3"/>
    </row>
    <row r="2" spans="1:49" ht="19" x14ac:dyDescent="0.25">
      <c r="A2" s="2" t="s">
        <v>75</v>
      </c>
      <c r="B2" t="s">
        <v>117</v>
      </c>
      <c r="C2" s="24">
        <v>3520</v>
      </c>
      <c r="D2" s="17">
        <f>C2/S2</f>
        <v>34.523342487249899</v>
      </c>
      <c r="E2" s="24">
        <f t="shared" ref="E2:E7" si="0">C2/F2</f>
        <v>231.57894736842107</v>
      </c>
      <c r="F2" s="17">
        <v>15.2</v>
      </c>
      <c r="G2" s="24">
        <f>15.11+86.2</f>
        <v>101.31</v>
      </c>
      <c r="H2" s="24">
        <f>61.8+91.24</f>
        <v>153.04</v>
      </c>
      <c r="I2" s="17">
        <f t="shared" ref="I2:I28" si="1">H2/G2</f>
        <v>1.5106109959530154</v>
      </c>
      <c r="J2" s="17" t="s">
        <v>97</v>
      </c>
      <c r="K2" s="17"/>
      <c r="L2" s="24">
        <f t="shared" ref="L2:L7" si="2">G2-H2+C2</f>
        <v>3468.27</v>
      </c>
      <c r="M2" s="33">
        <f t="shared" ref="M2:M35" si="3">C2/B$39</f>
        <v>0.17238694208092584</v>
      </c>
      <c r="N2" s="34">
        <f>296.11+89.5</f>
        <v>385.61</v>
      </c>
      <c r="O2" s="33">
        <f t="shared" ref="O2:O35" si="4">N2/B$41</f>
        <v>0.16155959289993915</v>
      </c>
      <c r="P2" s="36">
        <f t="shared" ref="P2:P35" si="5">O2/M2</f>
        <v>0.93719159322459666</v>
      </c>
      <c r="Q2" s="36">
        <f>136.8+40.43</f>
        <v>177.23000000000002</v>
      </c>
      <c r="R2" s="35">
        <f>93.63+26.97</f>
        <v>120.6</v>
      </c>
      <c r="S2" s="35">
        <f>79+22.96</f>
        <v>101.96000000000001</v>
      </c>
      <c r="T2" s="35">
        <f t="shared" ref="T2:T19" si="6">R2+AG2+AH2+AI2</f>
        <v>112.41</v>
      </c>
      <c r="U2" s="34">
        <f>91.44+21.6</f>
        <v>113.03999999999999</v>
      </c>
      <c r="V2" s="17">
        <f t="shared" ref="V2:V35" si="7">L2/U2</f>
        <v>30.681794055201699</v>
      </c>
      <c r="W2" s="41">
        <f t="shared" ref="W2:W35" si="8">L2/N2</f>
        <v>8.994242887891911</v>
      </c>
      <c r="X2" s="41">
        <f t="shared" ref="X2:X35" si="9">L2/R2</f>
        <v>28.758457711442787</v>
      </c>
      <c r="Y2" s="41">
        <f t="shared" ref="Y2:Y35" si="10">L2/T2</f>
        <v>30.853749666399786</v>
      </c>
      <c r="Z2" s="28">
        <f t="shared" ref="Z2:Z35" si="11">R2/N2</f>
        <v>0.31275122533129324</v>
      </c>
      <c r="AA2" s="19">
        <f t="shared" ref="AA2:AA35" si="12">U2/N2</f>
        <v>0.29314592463888384</v>
      </c>
      <c r="AB2" s="28">
        <f t="shared" ref="AB2:AB35" si="13">T2/AE2</f>
        <v>-3.8990634755463041</v>
      </c>
      <c r="AC2" s="29">
        <f>44.5</f>
        <v>44.5</v>
      </c>
      <c r="AD2" s="27">
        <f>125.44-67.15-131.62</f>
        <v>-73.330000000000013</v>
      </c>
      <c r="AE2" s="27">
        <f t="shared" ref="AE2:AE8" si="14">SUM(AC2:AD2)</f>
        <v>-28.830000000000013</v>
      </c>
      <c r="AF2" s="79">
        <f>L2/AE2</f>
        <v>-120.30072840790838</v>
      </c>
      <c r="AG2" s="27">
        <f>8.53</f>
        <v>8.5299999999999994</v>
      </c>
      <c r="AH2" s="27">
        <f>-6.54-2.16</f>
        <v>-8.6999999999999993</v>
      </c>
      <c r="AI2" s="27">
        <f>-1.96-6.06</f>
        <v>-8.02</v>
      </c>
      <c r="AJ2" s="26">
        <f t="shared" ref="AJ2:AJ35" si="15">D2*M2</f>
        <v>5.9513734417895146</v>
      </c>
      <c r="AK2" s="26">
        <f t="shared" ref="AK2:AK35" si="16">Z2*M2</f>
        <v>5.3914227366924229E-2</v>
      </c>
      <c r="AL2" s="26">
        <f t="shared" ref="AL2:AL35" si="17">AB2*M2</f>
        <v>-0.6721476295288541</v>
      </c>
      <c r="AM2" s="26">
        <f t="shared" ref="AM2:AM35" si="18">X2*M2</f>
        <v>4.9575825838392431</v>
      </c>
      <c r="AN2" s="17">
        <f t="shared" ref="AN2:AN35" si="19">M2*V2</f>
        <v>5.2891406547329503</v>
      </c>
      <c r="AU2" s="17"/>
      <c r="AV2" s="17"/>
      <c r="AW2" s="19"/>
    </row>
    <row r="3" spans="1:49" ht="19" x14ac:dyDescent="0.25">
      <c r="A3" s="2" t="s">
        <v>70</v>
      </c>
      <c r="B3" t="s">
        <v>77</v>
      </c>
      <c r="C3" s="24">
        <v>3120</v>
      </c>
      <c r="D3" s="17">
        <f>C3/S3</f>
        <v>35.398230088495573</v>
      </c>
      <c r="E3" s="24">
        <f t="shared" si="0"/>
        <v>419.91924629878872</v>
      </c>
      <c r="F3" s="17">
        <v>7.43</v>
      </c>
      <c r="G3" s="24">
        <f>8.94+42.69</f>
        <v>51.629999999999995</v>
      </c>
      <c r="H3" s="24">
        <f>75.53+14.6</f>
        <v>90.13</v>
      </c>
      <c r="I3" s="17">
        <f t="shared" si="1"/>
        <v>1.7456904900251793</v>
      </c>
      <c r="J3" s="17" t="s">
        <v>97</v>
      </c>
      <c r="K3" s="17"/>
      <c r="L3" s="24">
        <f t="shared" si="2"/>
        <v>3081.5</v>
      </c>
      <c r="M3" s="33">
        <f t="shared" si="3"/>
        <v>0.152797516844457</v>
      </c>
      <c r="N3" s="34">
        <v>245.12</v>
      </c>
      <c r="O3" s="33">
        <f t="shared" si="4"/>
        <v>0.10269828949361552</v>
      </c>
      <c r="P3" s="36">
        <f t="shared" si="5"/>
        <v>0.67212014707123224</v>
      </c>
      <c r="Q3" s="36">
        <v>171.01</v>
      </c>
      <c r="R3" s="35">
        <v>109.43</v>
      </c>
      <c r="S3" s="35">
        <v>88.14</v>
      </c>
      <c r="T3" s="35">
        <f t="shared" si="6"/>
        <v>89.06</v>
      </c>
      <c r="U3" s="34">
        <v>118.548</v>
      </c>
      <c r="V3" s="17">
        <f t="shared" si="7"/>
        <v>25.993690319533016</v>
      </c>
      <c r="W3" s="41">
        <f t="shared" si="8"/>
        <v>12.57139360313316</v>
      </c>
      <c r="X3" s="41">
        <f t="shared" si="9"/>
        <v>28.159554052819153</v>
      </c>
      <c r="Y3" s="41">
        <f t="shared" si="10"/>
        <v>34.600269481248596</v>
      </c>
      <c r="Z3" s="28">
        <f t="shared" si="11"/>
        <v>0.44643439947780683</v>
      </c>
      <c r="AA3" s="19">
        <f t="shared" si="12"/>
        <v>0.48363250652741513</v>
      </c>
      <c r="AB3" s="28">
        <f t="shared" si="13"/>
        <v>0.34231464042741289</v>
      </c>
      <c r="AC3" s="29">
        <f>154.44+146.82</f>
        <v>301.26</v>
      </c>
      <c r="AD3" s="27">
        <f>159.73-75.53-125.29</f>
        <v>-41.090000000000018</v>
      </c>
      <c r="AE3" s="27">
        <f t="shared" si="14"/>
        <v>260.16999999999996</v>
      </c>
      <c r="AF3" s="79">
        <f t="shared" ref="AF3:AF35" si="20">L3/AE3</f>
        <v>11.844178806165202</v>
      </c>
      <c r="AG3" s="27">
        <v>22.29</v>
      </c>
      <c r="AH3" s="27">
        <v>-44.48</v>
      </c>
      <c r="AI3" s="27">
        <v>1.82</v>
      </c>
      <c r="AJ3" s="26">
        <f t="shared" si="15"/>
        <v>5.4087616582108673</v>
      </c>
      <c r="AK3" s="26">
        <f t="shared" si="16"/>
        <v>6.8214067674155235E-2</v>
      </c>
      <c r="AL3" s="26">
        <f t="shared" si="17"/>
        <v>5.2304827036811864E-2</v>
      </c>
      <c r="AM3" s="26">
        <f t="shared" si="18"/>
        <v>4.302709934718032</v>
      </c>
      <c r="AN3" s="17">
        <f t="shared" si="19"/>
        <v>3.9717713344484449</v>
      </c>
      <c r="AU3" s="17"/>
      <c r="AV3" s="17"/>
      <c r="AW3" s="19"/>
    </row>
    <row r="4" spans="1:49" ht="19" x14ac:dyDescent="0.25">
      <c r="A4" s="2" t="s">
        <v>73</v>
      </c>
      <c r="B4" t="s">
        <v>79</v>
      </c>
      <c r="C4" s="24">
        <v>3390</v>
      </c>
      <c r="D4" s="17">
        <f>C4/S4</f>
        <v>53.84371029224905</v>
      </c>
      <c r="E4" s="24">
        <f t="shared" si="0"/>
        <v>137.80487804878047</v>
      </c>
      <c r="F4" s="17">
        <v>24.6</v>
      </c>
      <c r="G4" s="24">
        <f>8.46</f>
        <v>8.4600000000000009</v>
      </c>
      <c r="H4" s="24">
        <f>34.8+1.82</f>
        <v>36.619999999999997</v>
      </c>
      <c r="I4" s="17">
        <f t="shared" si="1"/>
        <v>4.328605200945626</v>
      </c>
      <c r="J4" s="17" t="s">
        <v>97</v>
      </c>
      <c r="K4" s="17"/>
      <c r="L4" s="24">
        <f t="shared" si="2"/>
        <v>3361.84</v>
      </c>
      <c r="M4" s="33">
        <f t="shared" si="3"/>
        <v>0.16602037887907348</v>
      </c>
      <c r="N4" s="34">
        <f>56.08+30.04+26.04</f>
        <v>112.16</v>
      </c>
      <c r="O4" s="33">
        <f t="shared" si="4"/>
        <v>4.699184134139979E-2</v>
      </c>
      <c r="P4" s="36">
        <f t="shared" si="5"/>
        <v>0.28304863329837282</v>
      </c>
      <c r="Q4" s="36">
        <f>42.98+22.57+20.41</f>
        <v>85.96</v>
      </c>
      <c r="R4" s="35">
        <f>35.55+18.64+16.91</f>
        <v>71.099999999999994</v>
      </c>
      <c r="S4" s="35">
        <f>31.48+16.6+14.88</f>
        <v>62.96</v>
      </c>
      <c r="T4" s="35">
        <f t="shared" si="6"/>
        <v>64.798000000000002</v>
      </c>
      <c r="U4" s="34">
        <f>29.83+11.5+7.33</f>
        <v>48.66</v>
      </c>
      <c r="V4" s="17">
        <f t="shared" si="7"/>
        <v>69.088368269625988</v>
      </c>
      <c r="W4" s="41">
        <f t="shared" si="8"/>
        <v>29.973609129814552</v>
      </c>
      <c r="X4" s="41">
        <f t="shared" si="9"/>
        <v>47.283263009845292</v>
      </c>
      <c r="Y4" s="41">
        <f t="shared" si="10"/>
        <v>51.881848205191517</v>
      </c>
      <c r="Z4" s="28">
        <f t="shared" si="11"/>
        <v>0.6339158345221112</v>
      </c>
      <c r="AA4" s="19">
        <f t="shared" si="12"/>
        <v>0.43384450784593437</v>
      </c>
      <c r="AB4" s="28">
        <f t="shared" si="13"/>
        <v>2.8333187581985126</v>
      </c>
      <c r="AC4" s="29">
        <f>6.44+5.57</f>
        <v>12.010000000000002</v>
      </c>
      <c r="AD4" s="27">
        <f>59.63-34.8-13.97</f>
        <v>10.860000000000005</v>
      </c>
      <c r="AE4" s="27">
        <f t="shared" si="14"/>
        <v>22.870000000000005</v>
      </c>
      <c r="AF4" s="79">
        <f t="shared" si="20"/>
        <v>146.99781372977696</v>
      </c>
      <c r="AG4" s="27">
        <f>0.843+0.387+0.372</f>
        <v>1.6019999999999999</v>
      </c>
      <c r="AH4" s="27">
        <f>-1.35-0.746-0.254-0.278</f>
        <v>-2.6280000000000001</v>
      </c>
      <c r="AI4" s="27">
        <f>-0.826-1.72-2.73</f>
        <v>-5.2759999999999998</v>
      </c>
      <c r="AJ4" s="26">
        <f t="shared" si="15"/>
        <v>8.9391531829742554</v>
      </c>
      <c r="AK4" s="26">
        <f t="shared" si="16"/>
        <v>0.10524294702480495</v>
      </c>
      <c r="AL4" s="26">
        <f t="shared" si="17"/>
        <v>0.47038865372130306</v>
      </c>
      <c r="AM4" s="26">
        <f t="shared" si="18"/>
        <v>7.849985239533396</v>
      </c>
      <c r="AN4" s="17">
        <f t="shared" si="19"/>
        <v>11.470077076260264</v>
      </c>
      <c r="AU4" s="17"/>
      <c r="AV4" s="17"/>
      <c r="AW4" s="19"/>
    </row>
    <row r="5" spans="1:49" ht="19" x14ac:dyDescent="0.25">
      <c r="A5" s="2" t="s">
        <v>71</v>
      </c>
      <c r="B5" t="s">
        <v>82</v>
      </c>
      <c r="C5" s="24">
        <v>2050</v>
      </c>
      <c r="D5" s="17">
        <f>C5/S5</f>
        <v>23.242630385487526</v>
      </c>
      <c r="E5" s="24">
        <f t="shared" si="0"/>
        <v>166.53127538586514</v>
      </c>
      <c r="F5" s="17">
        <v>12.31</v>
      </c>
      <c r="G5" s="24">
        <f>11.88</f>
        <v>11.88</v>
      </c>
      <c r="H5" s="24">
        <f>100.73+34.17</f>
        <v>134.9</v>
      </c>
      <c r="I5" s="17">
        <f t="shared" si="1"/>
        <v>11.355218855218855</v>
      </c>
      <c r="J5" s="17" t="s">
        <v>97</v>
      </c>
      <c r="K5" s="17"/>
      <c r="L5" s="24">
        <f t="shared" si="2"/>
        <v>1926.98</v>
      </c>
      <c r="M5" s="33">
        <f t="shared" si="3"/>
        <v>0.10039580433690283</v>
      </c>
      <c r="N5" s="34">
        <f>165.28+86.31+76.69</f>
        <v>328.28</v>
      </c>
      <c r="O5" s="33">
        <f t="shared" si="4"/>
        <v>0.13753995787762768</v>
      </c>
      <c r="P5" s="36">
        <f t="shared" si="5"/>
        <v>1.3699771498027797</v>
      </c>
      <c r="Q5" s="36">
        <f>96.06+48.74+43.46</f>
        <v>188.26000000000002</v>
      </c>
      <c r="R5" s="35">
        <f>52.9+23.7+21.34</f>
        <v>97.94</v>
      </c>
      <c r="S5" s="35">
        <f>47.82+20.69+19.69</f>
        <v>88.2</v>
      </c>
      <c r="T5" s="35">
        <f t="shared" si="6"/>
        <v>51.137999999999991</v>
      </c>
      <c r="U5" s="34">
        <f>26.64+28.85+18.92+30.66</f>
        <v>105.07</v>
      </c>
      <c r="V5" s="17">
        <f t="shared" si="7"/>
        <v>18.339963833634719</v>
      </c>
      <c r="W5" s="41">
        <f t="shared" si="8"/>
        <v>5.869928110149873</v>
      </c>
      <c r="X5" s="41">
        <f t="shared" si="9"/>
        <v>19.675107208494996</v>
      </c>
      <c r="Y5" s="41">
        <f t="shared" si="10"/>
        <v>37.681958621768558</v>
      </c>
      <c r="Z5" s="28">
        <f t="shared" si="11"/>
        <v>0.29834287803094922</v>
      </c>
      <c r="AA5" s="19">
        <f t="shared" si="12"/>
        <v>0.32006214207383943</v>
      </c>
      <c r="AB5" s="28">
        <f t="shared" si="13"/>
        <v>0.288410129152332</v>
      </c>
      <c r="AC5" s="29">
        <f>164.76+29.19</f>
        <v>193.95</v>
      </c>
      <c r="AD5" s="27">
        <f>162-100.73-77.91</f>
        <v>-16.64</v>
      </c>
      <c r="AE5" s="27">
        <f t="shared" si="14"/>
        <v>177.31</v>
      </c>
      <c r="AF5" s="79">
        <f t="shared" si="20"/>
        <v>10.867858552817101</v>
      </c>
      <c r="AG5" s="27">
        <f>3.71+3.41+1.56+4.92</f>
        <v>13.6</v>
      </c>
      <c r="AH5" s="27">
        <f>-13.19-12.01-11.02-8.06-0.026-0.061-0.029-0.126</f>
        <v>-44.522000000000006</v>
      </c>
      <c r="AI5" s="27">
        <f>-5.27-2.46-10.27+2.12</f>
        <v>-15.879999999999999</v>
      </c>
      <c r="AJ5" s="26">
        <f t="shared" si="15"/>
        <v>2.3334625724563582</v>
      </c>
      <c r="AK5" s="26">
        <f t="shared" si="16"/>
        <v>2.9952373208103643E-2</v>
      </c>
      <c r="AL5" s="26">
        <f t="shared" si="17"/>
        <v>2.8955166895158396E-2</v>
      </c>
      <c r="AM5" s="26">
        <f t="shared" si="18"/>
        <v>1.9752982136116501</v>
      </c>
      <c r="AN5" s="17">
        <f t="shared" si="19"/>
        <v>1.8412554205874656</v>
      </c>
      <c r="AO5" s="17">
        <f>AVERAGE(V6,V3,V11,V7)</f>
        <v>22.923467234410392</v>
      </c>
      <c r="AP5" s="17">
        <f>AO5*U5</f>
        <v>2408.5687023194996</v>
      </c>
      <c r="AQ5" s="22">
        <f>AP5-G5+H5</f>
        <v>2531.5887023194996</v>
      </c>
      <c r="AR5" s="17">
        <f>AQ5/F5</f>
        <v>205.65302212181149</v>
      </c>
      <c r="AS5" s="19">
        <f>AR5/E5-1</f>
        <v>0.23492131820463391</v>
      </c>
      <c r="AU5" s="17"/>
      <c r="AV5" s="17"/>
      <c r="AW5" s="19"/>
    </row>
    <row r="6" spans="1:49" ht="19" x14ac:dyDescent="0.25">
      <c r="A6" s="2" t="s">
        <v>69</v>
      </c>
      <c r="B6" t="s">
        <v>76</v>
      </c>
      <c r="C6" s="24">
        <v>1970</v>
      </c>
      <c r="D6" s="17">
        <f t="shared" ref="D6:D35" si="21">C6/S6</f>
        <v>44.349392165691128</v>
      </c>
      <c r="E6" s="24">
        <f t="shared" si="0"/>
        <v>187.61904761904762</v>
      </c>
      <c r="F6" s="17">
        <v>10.5</v>
      </c>
      <c r="G6" s="24">
        <v>54.89</v>
      </c>
      <c r="H6" s="24">
        <f>89.09</f>
        <v>89.09</v>
      </c>
      <c r="I6" s="17">
        <f t="shared" si="1"/>
        <v>1.6230643104390601</v>
      </c>
      <c r="J6" s="17" t="s">
        <v>97</v>
      </c>
      <c r="K6" s="17"/>
      <c r="L6" s="24">
        <f t="shared" si="2"/>
        <v>1935.8</v>
      </c>
      <c r="M6" s="33">
        <f t="shared" si="3"/>
        <v>9.6477919289609068E-2</v>
      </c>
      <c r="N6" s="34">
        <f>147+143.31+169.96+143.08</f>
        <v>603.35</v>
      </c>
      <c r="O6" s="33">
        <f t="shared" si="4"/>
        <v>0.25278644323585564</v>
      </c>
      <c r="P6" s="36">
        <f t="shared" si="5"/>
        <v>2.6201481654785379</v>
      </c>
      <c r="Q6" s="36">
        <f>28.32+27.94+29.28+24.54</f>
        <v>110.08000000000001</v>
      </c>
      <c r="R6" s="35">
        <f>14.67+15.31+13.21+11.19</f>
        <v>54.379999999999995</v>
      </c>
      <c r="S6" s="35">
        <f>13.49+10.43+10.62+9.88</f>
        <v>44.42</v>
      </c>
      <c r="T6" s="35">
        <f t="shared" si="6"/>
        <v>36.24799999999999</v>
      </c>
      <c r="U6" s="34">
        <f>25.28+18.99+42.47+21.22</f>
        <v>107.96</v>
      </c>
      <c r="V6" s="17">
        <f t="shared" si="7"/>
        <v>17.930715079659134</v>
      </c>
      <c r="W6" s="41">
        <f t="shared" si="8"/>
        <v>3.2084196569155545</v>
      </c>
      <c r="X6" s="41">
        <f t="shared" si="9"/>
        <v>35.597646193453478</v>
      </c>
      <c r="Y6" s="41">
        <f t="shared" si="10"/>
        <v>53.404325755903784</v>
      </c>
      <c r="Z6" s="28">
        <f t="shared" si="11"/>
        <v>9.0130106903124216E-2</v>
      </c>
      <c r="AA6" s="19">
        <f t="shared" si="12"/>
        <v>0.17893428358332641</v>
      </c>
      <c r="AB6" s="28">
        <f t="shared" si="13"/>
        <v>0.14842355253459991</v>
      </c>
      <c r="AC6" s="29">
        <f>295.29+22.88</f>
        <v>318.17</v>
      </c>
      <c r="AD6" s="27">
        <f>173.31-89.09-158.17</f>
        <v>-73.949999999999989</v>
      </c>
      <c r="AE6" s="27">
        <f t="shared" si="14"/>
        <v>244.22000000000003</v>
      </c>
      <c r="AF6" s="79">
        <f t="shared" si="20"/>
        <v>7.9264597494062716</v>
      </c>
      <c r="AG6" s="27">
        <f>12.04+11.68+13.82+12.13</f>
        <v>49.67</v>
      </c>
      <c r="AH6" s="27">
        <f>-16.39-13.94-13.35-11.3-0.571-3.35-0.381-1.63</f>
        <v>-60.912000000000006</v>
      </c>
      <c r="AI6" s="27">
        <f>-6.08-9.88+13.51-4.44</f>
        <v>-6.8900000000000015</v>
      </c>
      <c r="AJ6" s="26">
        <f t="shared" si="15"/>
        <v>4.2787370779047693</v>
      </c>
      <c r="AK6" s="26">
        <f t="shared" si="16"/>
        <v>8.6955651793634552E-3</v>
      </c>
      <c r="AL6" s="26">
        <f t="shared" si="17"/>
        <v>1.4319595522110181E-2</v>
      </c>
      <c r="AM6" s="26">
        <f t="shared" si="18"/>
        <v>3.434386836352064</v>
      </c>
      <c r="AN6" s="17">
        <f t="shared" si="19"/>
        <v>1.7299180822603302</v>
      </c>
      <c r="AO6" s="17">
        <f>AVERAGE(V5,V3,V7,V11)</f>
        <v>23.025779422904286</v>
      </c>
      <c r="AP6" s="17">
        <f>AO6*U6</f>
        <v>2485.8631464967466</v>
      </c>
      <c r="AQ6" s="22">
        <f>AP6-G6+H6</f>
        <v>2520.0631464967469</v>
      </c>
      <c r="AR6" s="17">
        <f>AQ6/F6</f>
        <v>240.00601395207113</v>
      </c>
      <c r="AS6" s="19">
        <f>AR6/E6-1</f>
        <v>0.27921987131814552</v>
      </c>
      <c r="AU6" s="17"/>
      <c r="AV6" s="17"/>
      <c r="AW6" s="19"/>
    </row>
    <row r="7" spans="1:49" ht="19" x14ac:dyDescent="0.25">
      <c r="A7" s="2" t="s">
        <v>81</v>
      </c>
      <c r="B7" t="s">
        <v>0</v>
      </c>
      <c r="C7" s="24">
        <v>1490</v>
      </c>
      <c r="D7" s="17">
        <f t="shared" si="21"/>
        <v>28.965785381026439</v>
      </c>
      <c r="E7" s="24">
        <f t="shared" si="0"/>
        <v>588.93280632411074</v>
      </c>
      <c r="F7" s="17">
        <v>2.5299999999999998</v>
      </c>
      <c r="G7" s="24">
        <f>18.39</f>
        <v>18.39</v>
      </c>
      <c r="H7" s="24">
        <f>58.08+6.21</f>
        <v>64.289999999999992</v>
      </c>
      <c r="I7" s="17">
        <f t="shared" si="1"/>
        <v>3.4959216965742246</v>
      </c>
      <c r="J7" s="17" t="s">
        <v>97</v>
      </c>
      <c r="K7" s="17"/>
      <c r="L7" s="24">
        <f t="shared" si="2"/>
        <v>1444.1</v>
      </c>
      <c r="M7" s="33">
        <f t="shared" si="3"/>
        <v>7.2970609005846454E-2</v>
      </c>
      <c r="N7" s="34">
        <f>39.07+36.46+40.11+34.15</f>
        <v>149.79</v>
      </c>
      <c r="O7" s="33">
        <f t="shared" si="4"/>
        <v>6.2757738182313436E-2</v>
      </c>
      <c r="P7" s="36">
        <f t="shared" si="5"/>
        <v>0.86004131029364494</v>
      </c>
      <c r="Q7" s="36">
        <f>31.76+29.82+32.42+27.94</f>
        <v>121.94</v>
      </c>
      <c r="R7" s="35">
        <f>14.85+13.82+16.38+13.75</f>
        <v>58.8</v>
      </c>
      <c r="S7" s="35">
        <f>13.47+12.37+14.02+11.58</f>
        <v>51.44</v>
      </c>
      <c r="T7" s="35">
        <f t="shared" si="6"/>
        <v>40.166000000000004</v>
      </c>
      <c r="U7" s="34">
        <f>19.37+19.25+19.4+20.4</f>
        <v>78.42</v>
      </c>
      <c r="V7" s="17">
        <f t="shared" si="7"/>
        <v>18.414945167049222</v>
      </c>
      <c r="W7" s="41">
        <f t="shared" si="8"/>
        <v>9.6408304960277729</v>
      </c>
      <c r="X7" s="41">
        <f t="shared" si="9"/>
        <v>24.55952380952381</v>
      </c>
      <c r="Y7" s="41">
        <f t="shared" si="10"/>
        <v>35.953293830602995</v>
      </c>
      <c r="Z7" s="28">
        <f t="shared" si="11"/>
        <v>0.39254956939715602</v>
      </c>
      <c r="AA7" s="19">
        <f t="shared" si="12"/>
        <v>0.52353294612457446</v>
      </c>
      <c r="AB7" s="28">
        <f t="shared" si="13"/>
        <v>0.31131607502712766</v>
      </c>
      <c r="AC7" s="29">
        <f>117.02+20.65</f>
        <v>137.66999999999999</v>
      </c>
      <c r="AD7" s="27">
        <f>76.43-58.08-27</f>
        <v>-8.6499999999999915</v>
      </c>
      <c r="AE7" s="27">
        <f t="shared" si="14"/>
        <v>129.01999999999998</v>
      </c>
      <c r="AF7" s="79">
        <f t="shared" si="20"/>
        <v>11.192838319640368</v>
      </c>
      <c r="AG7" s="27">
        <f>3.64+3.37+3.17+2.86</f>
        <v>13.04</v>
      </c>
      <c r="AH7" s="27">
        <f>-8.17-6.4-7.59-6.5-0.057-0.072-0.064-0.038</f>
        <v>-28.890999999999998</v>
      </c>
      <c r="AI7" s="27">
        <f>-0.741+0.223-1.27-0.995</f>
        <v>-2.7829999999999999</v>
      </c>
      <c r="AJ7" s="26">
        <f t="shared" si="15"/>
        <v>2.1136509995861434</v>
      </c>
      <c r="AK7" s="26">
        <f t="shared" si="16"/>
        <v>2.8644581143893261E-2</v>
      </c>
      <c r="AL7" s="26">
        <f t="shared" si="17"/>
        <v>2.2716923588039291E-2</v>
      </c>
      <c r="AM7" s="26">
        <f t="shared" si="18"/>
        <v>1.7921234092745386</v>
      </c>
      <c r="AN7" s="17">
        <f t="shared" si="19"/>
        <v>1.3437497636488507</v>
      </c>
      <c r="AO7" s="23">
        <f>AVERAGE(V2,V3,V5,V6)+(O25*V25)</f>
        <v>23.291156547736403</v>
      </c>
      <c r="AP7" s="17">
        <f>AO7*U7</f>
        <v>1826.4924964734887</v>
      </c>
      <c r="AQ7" s="22">
        <f>AP7-G7+H7</f>
        <v>1872.3924964734886</v>
      </c>
      <c r="AR7" s="17">
        <f>AQ7/F7</f>
        <v>740.07608556264381</v>
      </c>
      <c r="AS7" s="19">
        <f>AR7/E7-1</f>
        <v>0.25663925937818033</v>
      </c>
      <c r="AU7" s="17"/>
      <c r="AV7" s="17"/>
      <c r="AW7" s="19"/>
    </row>
    <row r="8" spans="1:49" ht="19" x14ac:dyDescent="0.25">
      <c r="A8" s="25" t="s">
        <v>95</v>
      </c>
      <c r="B8" t="s">
        <v>114</v>
      </c>
      <c r="C8" s="24">
        <v>996.8</v>
      </c>
      <c r="D8" s="17">
        <f t="shared" si="21"/>
        <v>34.585576049184709</v>
      </c>
      <c r="E8" s="24">
        <f>C8/F8</f>
        <v>192.06165703275528</v>
      </c>
      <c r="F8" s="17">
        <v>5.19</v>
      </c>
      <c r="G8" s="24">
        <f>(23.08+974.34)/K8</f>
        <v>30.737134052388289</v>
      </c>
      <c r="H8" s="24">
        <f>(2080+140.22)/K8</f>
        <v>68.419722650231108</v>
      </c>
      <c r="I8" s="17">
        <f t="shared" si="1"/>
        <v>2.2259629845000095</v>
      </c>
      <c r="J8" s="21" t="s">
        <v>98</v>
      </c>
      <c r="K8" s="17">
        <v>32.450000000000003</v>
      </c>
      <c r="L8" s="24">
        <f>(G8-H8+C8)</f>
        <v>959.11741140215713</v>
      </c>
      <c r="M8" s="33">
        <f t="shared" si="3"/>
        <v>4.8816847689280359E-2</v>
      </c>
      <c r="N8" s="34">
        <f>(673.51+592.64+625.53+546.73)/$K8</f>
        <v>75.14360554699536</v>
      </c>
      <c r="O8" s="33">
        <f t="shared" si="4"/>
        <v>3.1483027725438081E-2</v>
      </c>
      <c r="P8" s="36">
        <f t="shared" si="5"/>
        <v>0.64492135841764742</v>
      </c>
      <c r="Q8" s="36">
        <f>(358.12+314.51+331.77+296.64)/K8</f>
        <v>40.093682588597837</v>
      </c>
      <c r="R8" s="35">
        <f>(286.54+249.01+260.2+22.06)/K8</f>
        <v>25.202157164869025</v>
      </c>
      <c r="S8" s="35">
        <f>(247.66+225.22+251.57+210.8)/K8</f>
        <v>28.821263482280429</v>
      </c>
      <c r="T8" s="35">
        <f t="shared" si="6"/>
        <v>19.275808936825879</v>
      </c>
      <c r="U8" s="34">
        <f>(813.98+394.83+294.65)/K8</f>
        <v>46.331587057010786</v>
      </c>
      <c r="V8" s="17">
        <f t="shared" si="7"/>
        <v>20.701156000159632</v>
      </c>
      <c r="W8" s="41">
        <f t="shared" si="8"/>
        <v>12.763792799406174</v>
      </c>
      <c r="X8" s="41">
        <f t="shared" si="9"/>
        <v>38.056956994901022</v>
      </c>
      <c r="Y8" s="41">
        <f t="shared" si="10"/>
        <v>49.757569944044782</v>
      </c>
      <c r="Z8" s="28">
        <f t="shared" si="11"/>
        <v>0.33538658388047954</v>
      </c>
      <c r="AA8" s="19">
        <f t="shared" si="12"/>
        <v>0.6165739149691809</v>
      </c>
      <c r="AB8" s="28">
        <f t="shared" si="13"/>
        <v>0.23761315590538015</v>
      </c>
      <c r="AC8" s="29">
        <f>(3150+22.43)/K8</f>
        <v>97.763636363636351</v>
      </c>
      <c r="AD8" s="27">
        <f>(2590-2080-1050)/K8</f>
        <v>-16.640986132511554</v>
      </c>
      <c r="AE8" s="27">
        <f t="shared" si="14"/>
        <v>81.122650231124794</v>
      </c>
      <c r="AF8" s="79">
        <f t="shared" si="20"/>
        <v>11.82305322458717</v>
      </c>
      <c r="AG8" s="27">
        <f>(324.19+150.65+147.28)/K8</f>
        <v>19.171648690292756</v>
      </c>
      <c r="AH8" s="27">
        <f>(-386.51-5.01-169.86-226.49-2.13-1.17)/K8</f>
        <v>-24.381201848998455</v>
      </c>
      <c r="AI8" s="27">
        <f>(36.18+23.58-83.02)/K8</f>
        <v>-0.71679506933744208</v>
      </c>
      <c r="AJ8" s="26">
        <f t="shared" si="15"/>
        <v>1.6883587982390726</v>
      </c>
      <c r="AK8" s="26">
        <f t="shared" si="16"/>
        <v>1.637251578232142E-2</v>
      </c>
      <c r="AL8" s="26">
        <f t="shared" si="17"/>
        <v>1.1599525240802171E-2</v>
      </c>
      <c r="AM8" s="26">
        <f t="shared" si="18"/>
        <v>1.8578206731375759</v>
      </c>
      <c r="AN8" s="17">
        <f t="shared" si="19"/>
        <v>1.0105651794518249</v>
      </c>
      <c r="AP8" s="17"/>
      <c r="AU8" s="17"/>
      <c r="AV8" s="17"/>
      <c r="AW8" s="19"/>
    </row>
    <row r="9" spans="1:49" ht="19" x14ac:dyDescent="0.25">
      <c r="A9" s="2" t="s">
        <v>93</v>
      </c>
      <c r="B9" t="s">
        <v>99</v>
      </c>
      <c r="C9" s="24">
        <v>851.49</v>
      </c>
      <c r="D9" s="17">
        <f t="shared" si="21"/>
        <v>167.286836935167</v>
      </c>
      <c r="E9" s="24">
        <f t="shared" ref="E9:E19" si="22">C9/F9</f>
        <v>183.11612903225804</v>
      </c>
      <c r="F9" s="17">
        <v>4.6500000000000004</v>
      </c>
      <c r="G9" s="24">
        <f>3.12+66.78</f>
        <v>69.900000000000006</v>
      </c>
      <c r="H9" s="24">
        <f>9.95</f>
        <v>9.9499999999999993</v>
      </c>
      <c r="I9" s="17">
        <f t="shared" si="1"/>
        <v>0.142346208869814</v>
      </c>
      <c r="J9" s="17" t="s">
        <v>97</v>
      </c>
      <c r="K9" s="17"/>
      <c r="L9" s="24">
        <f t="shared" ref="L9:L35" si="23">G9-H9+C9</f>
        <v>911.44</v>
      </c>
      <c r="M9" s="33">
        <f t="shared" si="3"/>
        <v>4.1700499236502146E-2</v>
      </c>
      <c r="N9" s="34">
        <f>13.07+12.49+11.96+9.3</f>
        <v>46.820000000000007</v>
      </c>
      <c r="O9" s="33">
        <f t="shared" si="4"/>
        <v>1.9616244753961648E-2</v>
      </c>
      <c r="P9" s="36">
        <f t="shared" si="5"/>
        <v>0.47040791149067945</v>
      </c>
      <c r="Q9" s="36">
        <f>8.36+7.78+7.38+6.41</f>
        <v>29.93</v>
      </c>
      <c r="R9" s="35">
        <f>4.09+3.26+2.7+4.25</f>
        <v>14.3</v>
      </c>
      <c r="S9" s="35">
        <f>-1.88+2.12+1.33+3.52</f>
        <v>5.09</v>
      </c>
      <c r="T9" s="35">
        <f t="shared" si="6"/>
        <v>16.047999999999998</v>
      </c>
      <c r="U9" s="34">
        <f>4.96+4.58+4.82+4.83</f>
        <v>19.189999999999998</v>
      </c>
      <c r="V9" s="17">
        <f t="shared" si="7"/>
        <v>47.495570609692557</v>
      </c>
      <c r="W9" s="41">
        <f t="shared" si="8"/>
        <v>19.466894489534386</v>
      </c>
      <c r="X9" s="41">
        <f t="shared" si="9"/>
        <v>63.737062937062937</v>
      </c>
      <c r="Y9" s="41">
        <f t="shared" si="10"/>
        <v>56.794616151545377</v>
      </c>
      <c r="Z9" s="28">
        <f t="shared" si="11"/>
        <v>0.30542503203759075</v>
      </c>
      <c r="AA9" s="19">
        <f t="shared" si="12"/>
        <v>0.40986757795813744</v>
      </c>
      <c r="AB9" s="28">
        <f t="shared" si="13"/>
        <v>0.10537097833223898</v>
      </c>
      <c r="AC9" s="29">
        <v>149.91</v>
      </c>
      <c r="AD9" s="27">
        <f>25.3-9.81-20.17</f>
        <v>-4.6800000000000015</v>
      </c>
      <c r="AE9" s="27">
        <v>152.30000000000001</v>
      </c>
      <c r="AF9" s="79">
        <f t="shared" si="20"/>
        <v>5.9845042678923175</v>
      </c>
      <c r="AG9" s="27">
        <v>3.84</v>
      </c>
      <c r="AH9" s="27">
        <v>-0.45200000000000001</v>
      </c>
      <c r="AI9" s="27">
        <v>-1.64</v>
      </c>
      <c r="AJ9" s="26">
        <f t="shared" si="15"/>
        <v>6.975944615891791</v>
      </c>
      <c r="AK9" s="26">
        <f t="shared" si="16"/>
        <v>1.2736376315292196E-2</v>
      </c>
      <c r="AL9" s="26">
        <f t="shared" si="17"/>
        <v>4.3940224014930159E-3</v>
      </c>
      <c r="AM9" s="26">
        <f t="shared" si="18"/>
        <v>2.6578673443438823</v>
      </c>
      <c r="AN9" s="17">
        <f t="shared" si="19"/>
        <v>1.9805890059467182</v>
      </c>
      <c r="AP9" s="17"/>
      <c r="AU9" s="17"/>
      <c r="AV9" s="17"/>
      <c r="AW9" s="19"/>
    </row>
    <row r="10" spans="1:49" ht="19" x14ac:dyDescent="0.25">
      <c r="A10" s="2" t="s">
        <v>72</v>
      </c>
      <c r="B10" t="s">
        <v>78</v>
      </c>
      <c r="C10" s="24">
        <v>700.14</v>
      </c>
      <c r="D10" s="17">
        <f t="shared" si="21"/>
        <v>56.145950280673624</v>
      </c>
      <c r="E10" s="24">
        <f t="shared" si="22"/>
        <v>219.47962382445141</v>
      </c>
      <c r="F10" s="17">
        <v>3.19</v>
      </c>
      <c r="G10" s="24">
        <f>2.02+5.34</f>
        <v>7.3599999999999994</v>
      </c>
      <c r="H10" s="24">
        <f>30.72+0.184</f>
        <v>30.904</v>
      </c>
      <c r="I10" s="17">
        <f t="shared" si="1"/>
        <v>4.1989130434782611</v>
      </c>
      <c r="J10" s="17" t="s">
        <v>97</v>
      </c>
      <c r="K10" s="17"/>
      <c r="L10" s="24">
        <f t="shared" si="23"/>
        <v>676.596</v>
      </c>
      <c r="M10" s="33">
        <f t="shared" si="3"/>
        <v>3.4288350462653244E-2</v>
      </c>
      <c r="N10" s="34">
        <f>25.5+21.3+25.17+23.35</f>
        <v>95.32</v>
      </c>
      <c r="O10" s="33">
        <f t="shared" si="4"/>
        <v>3.9936361596489195E-2</v>
      </c>
      <c r="P10" s="36">
        <f t="shared" si="5"/>
        <v>1.1647209929211306</v>
      </c>
      <c r="Q10" s="36">
        <f>4.58+3.7+4.44+4.18</f>
        <v>16.900000000000002</v>
      </c>
      <c r="R10" s="35">
        <f>2.23+1.17+2.06+1.176</f>
        <v>6.6360000000000001</v>
      </c>
      <c r="S10" s="35">
        <f>1.49+1.14+7.96+1.88</f>
        <v>12.469999999999999</v>
      </c>
      <c r="T10" s="35">
        <f t="shared" si="6"/>
        <v>4.0589999999999993</v>
      </c>
      <c r="U10" s="34">
        <f>3.61+0.242+4.37+3.31</f>
        <v>11.532</v>
      </c>
      <c r="V10" s="17">
        <f t="shared" si="7"/>
        <v>58.671175858480751</v>
      </c>
      <c r="W10" s="41">
        <f t="shared" si="8"/>
        <v>7.0981535879143944</v>
      </c>
      <c r="X10" s="41">
        <f t="shared" si="9"/>
        <v>101.95840867992767</v>
      </c>
      <c r="Y10" s="41">
        <f t="shared" si="10"/>
        <v>166.69031781226906</v>
      </c>
      <c r="Z10" s="28">
        <f t="shared" si="11"/>
        <v>6.9618128409567784E-2</v>
      </c>
      <c r="AA10" s="19">
        <f t="shared" si="12"/>
        <v>0.12098195551825432</v>
      </c>
      <c r="AB10" s="28">
        <f>T10/AE10</f>
        <v>5.6689944134078206E-2</v>
      </c>
      <c r="AC10" s="29">
        <f>48.11+0.413</f>
        <v>48.522999999999996</v>
      </c>
      <c r="AD10" s="27">
        <f>52.98-30.72-27.73</f>
        <v>-5.4700000000000024</v>
      </c>
      <c r="AE10" s="27">
        <v>71.599999999999994</v>
      </c>
      <c r="AF10" s="79">
        <f t="shared" si="20"/>
        <v>9.4496648044692737</v>
      </c>
      <c r="AG10" s="27">
        <f>1.28+1.25+1.23+1.24</f>
        <v>5</v>
      </c>
      <c r="AH10" s="27">
        <f>2.27-2.78-2.31-2.46</f>
        <v>-5.2799999999999994</v>
      </c>
      <c r="AI10" s="27">
        <f>0.183-2.66+0.798-0.618</f>
        <v>-2.2970000000000002</v>
      </c>
      <c r="AJ10" s="26">
        <f t="shared" si="15"/>
        <v>1.9251520202824415</v>
      </c>
      <c r="AK10" s="26">
        <f t="shared" si="16"/>
        <v>2.3870907854612565E-3</v>
      </c>
      <c r="AL10" s="26">
        <f t="shared" si="17"/>
        <v>1.9438046721775069E-3</v>
      </c>
      <c r="AM10" s="26">
        <f t="shared" si="18"/>
        <v>3.4959856494317867</v>
      </c>
      <c r="AN10" s="17">
        <f t="shared" si="19"/>
        <v>2.0117378398915484</v>
      </c>
      <c r="AP10" s="17"/>
      <c r="AU10" s="17"/>
      <c r="AV10" s="17"/>
      <c r="AW10" s="19"/>
    </row>
    <row r="11" spans="1:49" ht="19" x14ac:dyDescent="0.25">
      <c r="A11" s="25" t="s">
        <v>88</v>
      </c>
      <c r="B11" t="s">
        <v>106</v>
      </c>
      <c r="C11" s="24">
        <v>488.04</v>
      </c>
      <c r="D11" s="17">
        <f t="shared" si="21"/>
        <v>44.488605287146761</v>
      </c>
      <c r="E11" s="24">
        <f t="shared" si="22"/>
        <v>176.18772563176896</v>
      </c>
      <c r="F11" s="17">
        <v>2.77</v>
      </c>
      <c r="G11" s="24">
        <f>9.2+75.31</f>
        <v>84.51</v>
      </c>
      <c r="H11" s="24">
        <f>10.91</f>
        <v>10.91</v>
      </c>
      <c r="I11" s="17">
        <f t="shared" si="1"/>
        <v>0.12909714826647734</v>
      </c>
      <c r="J11" s="17" t="s">
        <v>97</v>
      </c>
      <c r="K11" s="17"/>
      <c r="L11" s="24">
        <f t="shared" si="23"/>
        <v>561.64</v>
      </c>
      <c r="M11" s="33">
        <f t="shared" si="3"/>
        <v>2.390105773101564E-2</v>
      </c>
      <c r="N11" s="34">
        <f>13.31+14.29+13.28+12.94</f>
        <v>53.82</v>
      </c>
      <c r="O11" s="33">
        <f t="shared" si="4"/>
        <v>2.2549045122986243E-2</v>
      </c>
      <c r="P11" s="36">
        <f t="shared" si="5"/>
        <v>0.94343293827222829</v>
      </c>
      <c r="Q11" s="36">
        <f>9.4+10.36+9.41+9.2</f>
        <v>38.369999999999997</v>
      </c>
      <c r="R11" s="35">
        <f>4.08+4.88+4+3.75</f>
        <v>16.71</v>
      </c>
      <c r="S11" s="35">
        <f>2.93+3.14+2.4+2.5</f>
        <v>10.97</v>
      </c>
      <c r="T11" s="35">
        <f t="shared" si="6"/>
        <v>13.966000000000001</v>
      </c>
      <c r="U11" s="34">
        <f>7.43+6.08+5.48+0.143</f>
        <v>19.133000000000003</v>
      </c>
      <c r="V11" s="17">
        <f t="shared" si="7"/>
        <v>29.354518371400193</v>
      </c>
      <c r="W11" s="41">
        <f t="shared" si="8"/>
        <v>10.435525826830174</v>
      </c>
      <c r="X11" s="41">
        <f t="shared" si="9"/>
        <v>33.611011370436863</v>
      </c>
      <c r="Y11" s="41">
        <f t="shared" si="10"/>
        <v>40.214807389374194</v>
      </c>
      <c r="Z11" s="28">
        <f t="shared" si="11"/>
        <v>0.31047937569676703</v>
      </c>
      <c r="AA11" s="19">
        <f t="shared" si="12"/>
        <v>0.35549981419546639</v>
      </c>
      <c r="AB11" s="28">
        <f t="shared" si="13"/>
        <v>0.19472950362520916</v>
      </c>
      <c r="AC11" s="29">
        <f>23.09+68.52</f>
        <v>91.61</v>
      </c>
      <c r="AD11" s="27">
        <f>23.07-10.91-32.05</f>
        <v>-19.889999999999997</v>
      </c>
      <c r="AE11" s="27">
        <f t="shared" ref="AE11:AE35" si="24">SUM(AC11:AD11)</f>
        <v>71.72</v>
      </c>
      <c r="AF11" s="79">
        <f t="shared" si="20"/>
        <v>7.8310094813162294</v>
      </c>
      <c r="AG11" s="27">
        <f>1.43+1.55+1.56+1.55</f>
        <v>6.09</v>
      </c>
      <c r="AH11" s="27">
        <f>-2.3-2.8-1.67-1.08</f>
        <v>-7.85</v>
      </c>
      <c r="AI11" s="27">
        <f>2.08+0.631+0.875-4.57</f>
        <v>-0.98399999999999999</v>
      </c>
      <c r="AJ11" s="26">
        <f t="shared" si="15"/>
        <v>1.0633247233404624</v>
      </c>
      <c r="AK11" s="26">
        <f t="shared" si="16"/>
        <v>7.4207854828181232E-3</v>
      </c>
      <c r="AL11" s="26">
        <f t="shared" si="17"/>
        <v>4.6542411080781436E-3</v>
      </c>
      <c r="AM11" s="26">
        <f t="shared" si="18"/>
        <v>0.80333872316263455</v>
      </c>
      <c r="AN11" s="17">
        <f t="shared" si="19"/>
        <v>0.70160403826099527</v>
      </c>
      <c r="AP11" s="17"/>
      <c r="AU11" s="17"/>
      <c r="AV11" s="17"/>
      <c r="AW11" s="19"/>
    </row>
    <row r="12" spans="1:49" ht="19" x14ac:dyDescent="0.25">
      <c r="A12" s="2" t="s">
        <v>92</v>
      </c>
      <c r="B12" t="s">
        <v>91</v>
      </c>
      <c r="C12" s="24">
        <v>275.66000000000003</v>
      </c>
      <c r="D12" s="17">
        <f t="shared" si="21"/>
        <v>48.96269982238011</v>
      </c>
      <c r="E12" s="24">
        <f t="shared" si="22"/>
        <v>288.34728033472805</v>
      </c>
      <c r="F12" s="17">
        <v>0.95599999999999996</v>
      </c>
      <c r="G12" s="24">
        <f>8.43</f>
        <v>8.43</v>
      </c>
      <c r="H12" s="24">
        <f>12.64+5.02</f>
        <v>17.66</v>
      </c>
      <c r="I12" s="17">
        <f t="shared" si="1"/>
        <v>2.0948991696322659</v>
      </c>
      <c r="J12" s="17" t="s">
        <v>97</v>
      </c>
      <c r="K12" s="17"/>
      <c r="L12" s="24">
        <f t="shared" si="23"/>
        <v>266.43</v>
      </c>
      <c r="M12" s="33">
        <f t="shared" si="3"/>
        <v>1.3500052401712506E-2</v>
      </c>
      <c r="N12" s="34">
        <f>9.33+9.13+9.29+8.72</f>
        <v>36.47</v>
      </c>
      <c r="O12" s="33">
        <f t="shared" si="4"/>
        <v>1.5279889922618138E-2</v>
      </c>
      <c r="P12" s="36">
        <f t="shared" si="5"/>
        <v>1.1318393046148367</v>
      </c>
      <c r="Q12" s="36">
        <f>7.17+6.97+7.14+6.57</f>
        <v>27.85</v>
      </c>
      <c r="R12" s="35">
        <f>1.88+1.72+1.8+1.56</f>
        <v>6.9599999999999991</v>
      </c>
      <c r="S12" s="35">
        <f>1.43+1.53+1.45+1.22</f>
        <v>5.63</v>
      </c>
      <c r="T12" s="35">
        <f t="shared" si="6"/>
        <v>7.7059999999999995</v>
      </c>
      <c r="U12" s="34">
        <f>0.892+6.25+3.4+1.53</f>
        <v>12.071999999999999</v>
      </c>
      <c r="V12" s="17">
        <f t="shared" si="7"/>
        <v>22.070079522862827</v>
      </c>
      <c r="W12" s="41">
        <f t="shared" si="8"/>
        <v>7.3054565396216073</v>
      </c>
      <c r="X12" s="41">
        <f t="shared" si="9"/>
        <v>38.28017241379311</v>
      </c>
      <c r="Y12" s="41">
        <f t="shared" si="10"/>
        <v>34.574357643394762</v>
      </c>
      <c r="Z12" s="28">
        <f t="shared" si="11"/>
        <v>0.19084178777077049</v>
      </c>
      <c r="AA12" s="19">
        <f t="shared" si="12"/>
        <v>0.3310117905127502</v>
      </c>
      <c r="AB12" s="28">
        <f t="shared" si="13"/>
        <v>0.16295199830831042</v>
      </c>
      <c r="AC12" s="29">
        <f>5.71+53.36</f>
        <v>59.07</v>
      </c>
      <c r="AD12" s="27">
        <f>21.86-12.64-21</f>
        <v>-11.780000000000001</v>
      </c>
      <c r="AE12" s="27">
        <f t="shared" si="24"/>
        <v>47.29</v>
      </c>
      <c r="AF12" s="79">
        <f t="shared" si="20"/>
        <v>5.633960668217382</v>
      </c>
      <c r="AG12" s="27">
        <f>0.907+0.879+0.953+0.862</f>
        <v>3.601</v>
      </c>
      <c r="AH12" s="78">
        <f>-0.137-0.163-0.147-0.166</f>
        <v>-0.6130000000000001</v>
      </c>
      <c r="AI12" s="27">
        <f>-2.85+2.61-0.202-1.8</f>
        <v>-2.2420000000000004</v>
      </c>
      <c r="AJ12" s="26">
        <f t="shared" si="15"/>
        <v>0.66099901333145106</v>
      </c>
      <c r="AK12" s="26">
        <f t="shared" si="16"/>
        <v>2.5763741353418985E-3</v>
      </c>
      <c r="AL12" s="26">
        <f t="shared" si="17"/>
        <v>2.199860516125958E-3</v>
      </c>
      <c r="AM12" s="26">
        <f t="shared" si="18"/>
        <v>0.51678433353279651</v>
      </c>
      <c r="AN12" s="17">
        <f t="shared" si="19"/>
        <v>0.29794723006861029</v>
      </c>
      <c r="AP12" s="17"/>
      <c r="AU12" s="17"/>
      <c r="AV12" s="17"/>
      <c r="AW12" s="19"/>
    </row>
    <row r="13" spans="1:49" ht="19" x14ac:dyDescent="0.25">
      <c r="A13" s="25" t="s">
        <v>80</v>
      </c>
      <c r="B13" t="s">
        <v>74</v>
      </c>
      <c r="C13" s="24">
        <v>253.52</v>
      </c>
      <c r="D13" s="17" t="e">
        <f t="shared" si="21"/>
        <v>#DIV/0!</v>
      </c>
      <c r="E13" s="24">
        <f t="shared" si="22"/>
        <v>156.49382716049382</v>
      </c>
      <c r="F13" s="17">
        <v>1.62</v>
      </c>
      <c r="G13" s="24">
        <f>1.72</f>
        <v>1.72</v>
      </c>
      <c r="H13" s="24">
        <f>5.34+0.113</f>
        <v>5.4530000000000003</v>
      </c>
      <c r="I13" s="17">
        <f t="shared" si="1"/>
        <v>3.1703488372093025</v>
      </c>
      <c r="J13" s="17" t="s">
        <v>97</v>
      </c>
      <c r="K13" s="17"/>
      <c r="L13" s="24">
        <f t="shared" si="23"/>
        <v>249.78700000000001</v>
      </c>
      <c r="M13" s="33">
        <f t="shared" si="3"/>
        <v>1.2415777714873955E-2</v>
      </c>
      <c r="N13" s="34" t="s">
        <v>196</v>
      </c>
      <c r="O13" s="33" t="e">
        <f t="shared" si="4"/>
        <v>#VALUE!</v>
      </c>
      <c r="P13" s="36" t="e">
        <f t="shared" si="5"/>
        <v>#VALUE!</v>
      </c>
      <c r="Q13" s="36"/>
      <c r="R13" s="35">
        <v>0.40100000000000002</v>
      </c>
      <c r="S13" s="35"/>
      <c r="T13" s="35">
        <f t="shared" si="6"/>
        <v>0.35499999999999954</v>
      </c>
      <c r="U13" s="34">
        <v>1.667</v>
      </c>
      <c r="V13" s="17">
        <f t="shared" si="7"/>
        <v>149.84223155368926</v>
      </c>
      <c r="W13" s="41" t="e">
        <f t="shared" si="8"/>
        <v>#VALUE!</v>
      </c>
      <c r="X13" s="41">
        <f t="shared" si="9"/>
        <v>622.91022443890267</v>
      </c>
      <c r="Y13" s="41">
        <f t="shared" si="10"/>
        <v>703.62535211267698</v>
      </c>
      <c r="Z13" s="28" t="e">
        <f t="shared" si="11"/>
        <v>#VALUE!</v>
      </c>
      <c r="AA13" s="19" t="e">
        <f t="shared" si="12"/>
        <v>#VALUE!</v>
      </c>
      <c r="AB13" s="28">
        <f t="shared" si="13"/>
        <v>6.2999112688553599E-3</v>
      </c>
      <c r="AC13" s="29">
        <v>50.42</v>
      </c>
      <c r="AD13" s="27">
        <f>17.47-5.34-6.2</f>
        <v>5.9299999999999988</v>
      </c>
      <c r="AE13" s="27">
        <f t="shared" si="24"/>
        <v>56.35</v>
      </c>
      <c r="AF13" s="79">
        <f t="shared" si="20"/>
        <v>4.4327772848269742</v>
      </c>
      <c r="AG13" s="27">
        <v>3.55</v>
      </c>
      <c r="AH13" s="27">
        <v>-0.54600000000000004</v>
      </c>
      <c r="AI13" s="27">
        <v>-3.05</v>
      </c>
      <c r="AJ13" s="26" t="e">
        <f t="shared" si="15"/>
        <v>#DIV/0!</v>
      </c>
      <c r="AK13" s="26" t="e">
        <f t="shared" si="16"/>
        <v>#VALUE!</v>
      </c>
      <c r="AL13" s="26">
        <f t="shared" si="17"/>
        <v>7.821829793753768E-5</v>
      </c>
      <c r="AM13" s="26">
        <f t="shared" si="18"/>
        <v>7.733914882955661</v>
      </c>
      <c r="AN13" s="17">
        <f t="shared" si="19"/>
        <v>1.860407839271278</v>
      </c>
      <c r="AP13" s="17"/>
      <c r="AU13" s="17"/>
      <c r="AV13" s="17"/>
      <c r="AW13" s="19"/>
    </row>
    <row r="14" spans="1:49" ht="19" x14ac:dyDescent="0.25">
      <c r="A14" s="2" t="s">
        <v>90</v>
      </c>
      <c r="B14" t="s">
        <v>109</v>
      </c>
      <c r="C14" s="24">
        <v>218.08</v>
      </c>
      <c r="D14" s="17" t="e">
        <f t="shared" si="21"/>
        <v>#DIV/0!</v>
      </c>
      <c r="E14" s="24">
        <f t="shared" si="22"/>
        <v>491.83581416328371</v>
      </c>
      <c r="F14" s="17">
        <v>0.44340000000000002</v>
      </c>
      <c r="G14" s="24">
        <f>1.5+4.13</f>
        <v>5.63</v>
      </c>
      <c r="H14" s="24">
        <f>8.07</f>
        <v>8.07</v>
      </c>
      <c r="I14" s="17">
        <f t="shared" si="1"/>
        <v>1.433392539964476</v>
      </c>
      <c r="J14" s="17" t="s">
        <v>97</v>
      </c>
      <c r="K14" s="17"/>
      <c r="L14" s="24">
        <f t="shared" si="23"/>
        <v>215.64000000000001</v>
      </c>
      <c r="M14" s="33">
        <f t="shared" si="3"/>
        <v>1.0680154638922815E-2</v>
      </c>
      <c r="N14" s="34">
        <v>19.41</v>
      </c>
      <c r="O14" s="33">
        <f t="shared" si="4"/>
        <v>8.1322364518239126E-3</v>
      </c>
      <c r="P14" s="36">
        <f t="shared" si="5"/>
        <v>0.76143433562157847</v>
      </c>
      <c r="Q14" s="36"/>
      <c r="R14" s="35">
        <v>6.65</v>
      </c>
      <c r="S14" s="35"/>
      <c r="T14" s="35">
        <f t="shared" si="6"/>
        <v>6.8070000000000004</v>
      </c>
      <c r="U14" s="34">
        <v>7.3019999999999996</v>
      </c>
      <c r="V14" s="17">
        <f t="shared" si="7"/>
        <v>29.531635168447004</v>
      </c>
      <c r="W14" s="41">
        <f t="shared" si="8"/>
        <v>11.109737248840805</v>
      </c>
      <c r="X14" s="41">
        <f t="shared" si="9"/>
        <v>32.427067669172935</v>
      </c>
      <c r="Y14" s="41">
        <f t="shared" si="10"/>
        <v>31.679153812252093</v>
      </c>
      <c r="Z14" s="28">
        <f t="shared" si="11"/>
        <v>0.3426069036579083</v>
      </c>
      <c r="AA14" s="19">
        <f t="shared" si="12"/>
        <v>0.37619783616692426</v>
      </c>
      <c r="AB14" s="28">
        <f t="shared" si="13"/>
        <v>0.54630818619582666</v>
      </c>
      <c r="AC14" s="29">
        <v>18.98</v>
      </c>
      <c r="AD14" s="27">
        <f>11.02-8.07-9.47</f>
        <v>-6.5200000000000014</v>
      </c>
      <c r="AE14" s="27">
        <f t="shared" si="24"/>
        <v>12.459999999999999</v>
      </c>
      <c r="AF14" s="79">
        <f t="shared" si="20"/>
        <v>17.306581059390052</v>
      </c>
      <c r="AG14" s="27">
        <v>0.872</v>
      </c>
      <c r="AH14" s="27">
        <v>-0.36</v>
      </c>
      <c r="AI14" s="27">
        <v>-0.35499999999999998</v>
      </c>
      <c r="AJ14" s="26" t="e">
        <f t="shared" si="15"/>
        <v>#DIV/0!</v>
      </c>
      <c r="AK14" s="26">
        <f t="shared" si="16"/>
        <v>3.6590947114289911E-3</v>
      </c>
      <c r="AL14" s="26">
        <f t="shared" si="17"/>
        <v>5.8346559090808672E-3</v>
      </c>
      <c r="AM14" s="26">
        <f t="shared" si="18"/>
        <v>0.34632609719358137</v>
      </c>
      <c r="AN14" s="17">
        <f t="shared" si="19"/>
        <v>0.3154024303392654</v>
      </c>
      <c r="AP14" s="17"/>
    </row>
    <row r="15" spans="1:49" ht="19" x14ac:dyDescent="0.25">
      <c r="A15" s="25" t="s">
        <v>65</v>
      </c>
      <c r="B15" t="s">
        <v>66</v>
      </c>
      <c r="C15" s="24">
        <v>210.91</v>
      </c>
      <c r="D15" s="17" t="e">
        <f t="shared" si="21"/>
        <v>#DIV/0!</v>
      </c>
      <c r="E15" s="24">
        <f t="shared" si="22"/>
        <v>52.334987593052105</v>
      </c>
      <c r="F15" s="17">
        <v>4.03</v>
      </c>
      <c r="G15" s="24">
        <f>11.89+20.1</f>
        <v>31.990000000000002</v>
      </c>
      <c r="H15" s="24">
        <f>18.77</f>
        <v>18.77</v>
      </c>
      <c r="I15" s="17">
        <f t="shared" si="1"/>
        <v>0.58674585808065016</v>
      </c>
      <c r="J15" s="17" t="s">
        <v>97</v>
      </c>
      <c r="K15" s="17"/>
      <c r="L15" s="24">
        <f t="shared" si="23"/>
        <v>224.13</v>
      </c>
      <c r="M15" s="33">
        <f t="shared" si="3"/>
        <v>1.032901419155911E-2</v>
      </c>
      <c r="N15" s="34">
        <v>57</v>
      </c>
      <c r="O15" s="33">
        <f t="shared" si="4"/>
        <v>2.3881374433485987E-2</v>
      </c>
      <c r="P15" s="36">
        <f t="shared" si="5"/>
        <v>2.3120671528365109</v>
      </c>
      <c r="Q15" s="36"/>
      <c r="R15" s="35">
        <v>15.56</v>
      </c>
      <c r="S15" s="35"/>
      <c r="T15" s="35">
        <f t="shared" si="6"/>
        <v>21.483999999999998</v>
      </c>
      <c r="U15" s="34">
        <v>19.885999999999999</v>
      </c>
      <c r="V15" s="17">
        <f t="shared" si="7"/>
        <v>11.270743236447752</v>
      </c>
      <c r="W15" s="41">
        <f t="shared" si="8"/>
        <v>3.9321052631578945</v>
      </c>
      <c r="X15" s="41">
        <f t="shared" si="9"/>
        <v>14.404241645244214</v>
      </c>
      <c r="Y15" s="41">
        <f t="shared" si="10"/>
        <v>10.43241482033141</v>
      </c>
      <c r="Z15" s="28">
        <f t="shared" si="11"/>
        <v>0.27298245614035088</v>
      </c>
      <c r="AA15" s="19">
        <f t="shared" si="12"/>
        <v>0.34887719298245612</v>
      </c>
      <c r="AB15" s="28">
        <f t="shared" si="13"/>
        <v>0.3350592638802245</v>
      </c>
      <c r="AC15" s="29">
        <v>87.11</v>
      </c>
      <c r="AD15" s="27">
        <f>35.89-18.77-40.11</f>
        <v>-22.99</v>
      </c>
      <c r="AE15" s="27">
        <f t="shared" si="24"/>
        <v>64.12</v>
      </c>
      <c r="AF15" s="79">
        <f t="shared" si="20"/>
        <v>3.4954772301933872</v>
      </c>
      <c r="AG15" s="27">
        <v>1.73</v>
      </c>
      <c r="AH15" s="27">
        <v>-0.84599999999999997</v>
      </c>
      <c r="AI15" s="27">
        <v>5.04</v>
      </c>
      <c r="AJ15" s="26" t="e">
        <f t="shared" si="15"/>
        <v>#DIV/0!</v>
      </c>
      <c r="AK15" s="26">
        <f t="shared" si="16"/>
        <v>2.8196396635203464E-3</v>
      </c>
      <c r="AL15" s="26">
        <f t="shared" si="17"/>
        <v>3.4608318916321875E-3</v>
      </c>
      <c r="AM15" s="26">
        <f t="shared" si="18"/>
        <v>0.14878161637237422</v>
      </c>
      <c r="AN15" s="17">
        <f t="shared" si="19"/>
        <v>0.11641566683868768</v>
      </c>
      <c r="AO15">
        <v>20</v>
      </c>
      <c r="AP15" s="17">
        <f>AO15*U15</f>
        <v>397.71999999999997</v>
      </c>
      <c r="AQ15" s="22">
        <f>AP15-G15+H15</f>
        <v>384.49999999999994</v>
      </c>
      <c r="AR15" s="17">
        <f>AQ15/F15</f>
        <v>95.409429280397006</v>
      </c>
      <c r="AS15" s="19">
        <f>AR15/E15-1</f>
        <v>0.82305248684272891</v>
      </c>
    </row>
    <row r="16" spans="1:49" ht="19" x14ac:dyDescent="0.25">
      <c r="A16" s="25" t="s">
        <v>110</v>
      </c>
      <c r="B16" t="s">
        <v>111</v>
      </c>
      <c r="C16" s="24">
        <v>191.81</v>
      </c>
      <c r="D16" s="17" t="e">
        <f t="shared" si="21"/>
        <v>#DIV/0!</v>
      </c>
      <c r="E16" s="24">
        <f t="shared" si="22"/>
        <v>172.80180180180179</v>
      </c>
      <c r="F16" s="17">
        <v>1.1100000000000001</v>
      </c>
      <c r="G16" s="24">
        <f>1.36+13.19</f>
        <v>14.549999999999999</v>
      </c>
      <c r="H16" s="24">
        <f>13.03</f>
        <v>13.03</v>
      </c>
      <c r="I16" s="17">
        <f t="shared" si="1"/>
        <v>0.89553264604811</v>
      </c>
      <c r="J16" s="17" t="s">
        <v>97</v>
      </c>
      <c r="K16" s="17"/>
      <c r="L16" s="24">
        <f t="shared" si="23"/>
        <v>193.33</v>
      </c>
      <c r="M16" s="33">
        <f t="shared" si="3"/>
        <v>9.3936191365177231E-3</v>
      </c>
      <c r="N16" s="34">
        <v>35.82</v>
      </c>
      <c r="O16" s="33">
        <f t="shared" si="4"/>
        <v>1.500755845978014E-2</v>
      </c>
      <c r="P16" s="36">
        <f t="shared" si="5"/>
        <v>1.5976332701672149</v>
      </c>
      <c r="Q16" s="36"/>
      <c r="R16" s="35">
        <v>7.79</v>
      </c>
      <c r="S16" s="35"/>
      <c r="T16" s="35">
        <f t="shared" si="6"/>
        <v>9.4269999999999996</v>
      </c>
      <c r="U16" s="34">
        <v>11.298999999999999</v>
      </c>
      <c r="V16" s="17">
        <f t="shared" si="7"/>
        <v>17.110363749004339</v>
      </c>
      <c r="W16" s="41">
        <f t="shared" si="8"/>
        <v>5.3972640982691233</v>
      </c>
      <c r="X16" s="41">
        <f t="shared" si="9"/>
        <v>24.817715019255456</v>
      </c>
      <c r="Y16" s="41">
        <f t="shared" si="10"/>
        <v>20.508114988861781</v>
      </c>
      <c r="Z16" s="28">
        <f t="shared" si="11"/>
        <v>0.21747627024008934</v>
      </c>
      <c r="AA16" s="19">
        <f t="shared" si="12"/>
        <v>0.31543830262423228</v>
      </c>
      <c r="AB16" s="28">
        <f t="shared" si="13"/>
        <v>0.80987972508591077</v>
      </c>
      <c r="AC16" s="29">
        <v>29.41</v>
      </c>
      <c r="AD16" s="27">
        <f>23.33-13.03-28.07</f>
        <v>-17.770000000000003</v>
      </c>
      <c r="AE16" s="27">
        <f t="shared" si="24"/>
        <v>11.639999999999997</v>
      </c>
      <c r="AF16" s="79">
        <f t="shared" si="20"/>
        <v>16.609106529209626</v>
      </c>
      <c r="AG16" s="27">
        <v>1.81</v>
      </c>
      <c r="AH16" s="27">
        <f>-1.45+0.127</f>
        <v>-1.323</v>
      </c>
      <c r="AI16" s="27">
        <v>1.1499999999999999</v>
      </c>
      <c r="AJ16" s="26" t="e">
        <f t="shared" si="15"/>
        <v>#DIV/0!</v>
      </c>
      <c r="AK16" s="26">
        <f t="shared" si="16"/>
        <v>2.0428892538658029E-3</v>
      </c>
      <c r="AL16" s="26">
        <f t="shared" si="17"/>
        <v>7.6077016838447245E-3</v>
      </c>
      <c r="AM16" s="26">
        <f t="shared" si="18"/>
        <v>0.23312816272952136</v>
      </c>
      <c r="AN16" s="17">
        <f t="shared" si="19"/>
        <v>0.16072824034542629</v>
      </c>
      <c r="AO16" s="17">
        <v>25</v>
      </c>
      <c r="AP16" s="17">
        <f>AO16*U16</f>
        <v>282.47499999999997</v>
      </c>
      <c r="AQ16" s="22">
        <f>AP16-G16+H16</f>
        <v>280.95499999999993</v>
      </c>
      <c r="AR16" s="17">
        <f>AQ16/F16</f>
        <v>253.11261261261254</v>
      </c>
      <c r="AS16" s="19">
        <f>AR16/E16-1</f>
        <v>0.46475679057400532</v>
      </c>
    </row>
    <row r="17" spans="1:45" ht="19" x14ac:dyDescent="0.25">
      <c r="A17" s="2" t="s">
        <v>55</v>
      </c>
      <c r="B17" t="s">
        <v>56</v>
      </c>
      <c r="C17" s="24">
        <v>110.29</v>
      </c>
      <c r="D17" s="17" t="e">
        <f t="shared" si="21"/>
        <v>#DIV/0!</v>
      </c>
      <c r="E17" s="24">
        <f t="shared" si="22"/>
        <v>340.61148857319336</v>
      </c>
      <c r="F17" s="17">
        <v>0.32379999999999998</v>
      </c>
      <c r="G17" s="24">
        <f>1.16</f>
        <v>1.1599999999999999</v>
      </c>
      <c r="H17" s="24">
        <f>2.89+3.5</f>
        <v>6.3900000000000006</v>
      </c>
      <c r="I17" s="17">
        <f t="shared" si="1"/>
        <v>5.5086206896551735</v>
      </c>
      <c r="J17" s="17" t="s">
        <v>97</v>
      </c>
      <c r="K17" s="17"/>
      <c r="L17" s="24">
        <f t="shared" si="23"/>
        <v>105.06</v>
      </c>
      <c r="M17" s="33">
        <f t="shared" si="3"/>
        <v>5.4012942733253728E-3</v>
      </c>
      <c r="N17" s="34">
        <v>6.89</v>
      </c>
      <c r="O17" s="33">
        <f t="shared" si="4"/>
        <v>2.8867135060827794E-3</v>
      </c>
      <c r="P17" s="36">
        <f t="shared" si="5"/>
        <v>0.53444847845802312</v>
      </c>
      <c r="Q17" s="36"/>
      <c r="R17" s="35">
        <v>0.38729999999999998</v>
      </c>
      <c r="S17" s="35"/>
      <c r="T17" s="35">
        <f t="shared" si="6"/>
        <v>1.0865</v>
      </c>
      <c r="U17" s="34">
        <v>2.778</v>
      </c>
      <c r="V17" s="17">
        <f t="shared" si="7"/>
        <v>37.818574514038879</v>
      </c>
      <c r="W17" s="41">
        <f t="shared" si="8"/>
        <v>15.248185776487665</v>
      </c>
      <c r="X17" s="41">
        <f t="shared" si="9"/>
        <v>271.2625871417506</v>
      </c>
      <c r="Y17" s="41">
        <f t="shared" si="10"/>
        <v>96.695812241141283</v>
      </c>
      <c r="Z17" s="28">
        <f t="shared" si="11"/>
        <v>5.621190130624093E-2</v>
      </c>
      <c r="AA17" s="19">
        <f t="shared" si="12"/>
        <v>0.40319303338171264</v>
      </c>
      <c r="AB17" s="28">
        <f t="shared" si="13"/>
        <v>0.13649497487437187</v>
      </c>
      <c r="AC17" s="29">
        <v>12.01</v>
      </c>
      <c r="AD17" s="27">
        <f>5.92-2.89-7.08</f>
        <v>-4.0500000000000007</v>
      </c>
      <c r="AE17" s="27">
        <f t="shared" si="24"/>
        <v>7.9599999999999991</v>
      </c>
      <c r="AF17" s="79">
        <f t="shared" si="20"/>
        <v>13.19849246231156</v>
      </c>
      <c r="AG17" s="27">
        <v>0.28220000000000001</v>
      </c>
      <c r="AH17" s="27">
        <v>-0.14630000000000001</v>
      </c>
      <c r="AI17" s="27">
        <v>0.56330000000000002</v>
      </c>
      <c r="AJ17" s="26" t="e">
        <f t="shared" si="15"/>
        <v>#DIV/0!</v>
      </c>
      <c r="AK17" s="26">
        <f t="shared" si="16"/>
        <v>3.036170206181302E-4</v>
      </c>
      <c r="AL17" s="26">
        <f t="shared" si="17"/>
        <v>7.3724952612663546E-4</v>
      </c>
      <c r="AM17" s="26">
        <f t="shared" si="18"/>
        <v>1.4651690584961625</v>
      </c>
      <c r="AN17" s="17">
        <f t="shared" si="19"/>
        <v>0.2042692499480071</v>
      </c>
      <c r="AO17" s="17"/>
      <c r="AP17" s="17"/>
      <c r="AQ17" s="22"/>
      <c r="AR17" s="17"/>
      <c r="AS17" s="19"/>
    </row>
    <row r="18" spans="1:45" ht="19" x14ac:dyDescent="0.25">
      <c r="A18" s="2" t="s">
        <v>87</v>
      </c>
      <c r="B18" t="s">
        <v>94</v>
      </c>
      <c r="C18" s="24">
        <v>102.28</v>
      </c>
      <c r="D18" s="17" t="e">
        <f t="shared" si="21"/>
        <v>#DIV/0!</v>
      </c>
      <c r="E18" s="24">
        <f t="shared" si="22"/>
        <v>23.897196261682243</v>
      </c>
      <c r="F18" s="17">
        <v>4.28</v>
      </c>
      <c r="G18" s="24">
        <f>4.7+48.33</f>
        <v>53.03</v>
      </c>
      <c r="H18" s="24">
        <f>29.27+5.82</f>
        <v>35.090000000000003</v>
      </c>
      <c r="I18" s="17">
        <f t="shared" si="1"/>
        <v>0.66170092400528013</v>
      </c>
      <c r="J18" s="17" t="s">
        <v>97</v>
      </c>
      <c r="K18" s="17"/>
      <c r="L18" s="24">
        <f t="shared" si="23"/>
        <v>120.22</v>
      </c>
      <c r="M18" s="33">
        <f t="shared" si="3"/>
        <v>5.0090160329650836E-3</v>
      </c>
      <c r="N18" s="34">
        <v>54.23</v>
      </c>
      <c r="O18" s="33">
        <f t="shared" si="4"/>
        <v>2.2720823430314823E-2</v>
      </c>
      <c r="P18" s="36">
        <f t="shared" si="5"/>
        <v>4.5359853673427448</v>
      </c>
      <c r="Q18" s="36"/>
      <c r="R18" s="35">
        <v>3.1E-2</v>
      </c>
      <c r="S18" s="35"/>
      <c r="T18" s="35">
        <f t="shared" si="6"/>
        <v>-18.689</v>
      </c>
      <c r="U18" s="34">
        <v>11.471</v>
      </c>
      <c r="V18" s="17">
        <f t="shared" si="7"/>
        <v>10.480341731322465</v>
      </c>
      <c r="W18" s="41">
        <f t="shared" si="8"/>
        <v>2.2168541397750325</v>
      </c>
      <c r="X18" s="41">
        <f t="shared" si="9"/>
        <v>3878.0645161290322</v>
      </c>
      <c r="Y18" s="41">
        <f t="shared" si="10"/>
        <v>-6.4326609235379095</v>
      </c>
      <c r="Z18" s="28">
        <f t="shared" si="11"/>
        <v>5.7163931403282316E-4</v>
      </c>
      <c r="AA18" s="19">
        <f t="shared" si="12"/>
        <v>0.21152498617001661</v>
      </c>
      <c r="AB18" s="28">
        <f t="shared" si="13"/>
        <v>-0.12896970533434546</v>
      </c>
      <c r="AC18" s="29">
        <v>155.38</v>
      </c>
      <c r="AD18" s="27">
        <f>50.83-29.27-32.03</f>
        <v>-10.470000000000002</v>
      </c>
      <c r="AE18" s="27">
        <f t="shared" si="24"/>
        <v>144.91</v>
      </c>
      <c r="AF18" s="79">
        <f t="shared" si="20"/>
        <v>0.82961838382444275</v>
      </c>
      <c r="AG18" s="27">
        <v>9.6</v>
      </c>
      <c r="AH18" s="27">
        <v>-25.75</v>
      </c>
      <c r="AI18" s="27">
        <v>-2.57</v>
      </c>
      <c r="AJ18" s="26" t="e">
        <f t="shared" si="15"/>
        <v>#DIV/0!</v>
      </c>
      <c r="AK18" s="26">
        <f t="shared" si="16"/>
        <v>2.8633504890635735E-6</v>
      </c>
      <c r="AL18" s="26">
        <f t="shared" si="17"/>
        <v>-6.4601132178651892E-4</v>
      </c>
      <c r="AM18" s="26">
        <f t="shared" si="18"/>
        <v>19.425287338163301</v>
      </c>
      <c r="AN18" s="17">
        <f t="shared" si="19"/>
        <v>5.2496199763147268E-2</v>
      </c>
      <c r="AO18" s="17"/>
      <c r="AP18" s="17"/>
    </row>
    <row r="19" spans="1:45" ht="19" x14ac:dyDescent="0.25">
      <c r="A19" s="2" t="s">
        <v>53</v>
      </c>
      <c r="B19" t="s">
        <v>54</v>
      </c>
      <c r="C19" s="24">
        <v>69</v>
      </c>
      <c r="D19" s="17" t="e">
        <f t="shared" si="21"/>
        <v>#DIV/0!</v>
      </c>
      <c r="E19" s="24">
        <f t="shared" si="22"/>
        <v>283.53057199211048</v>
      </c>
      <c r="F19" s="17">
        <v>0.24335999999999999</v>
      </c>
      <c r="G19" s="24">
        <f>0.74287</f>
        <v>0.74287000000000003</v>
      </c>
      <c r="H19" s="24">
        <f>3.7+0.05842</f>
        <v>3.7584200000000001</v>
      </c>
      <c r="I19" s="17">
        <f t="shared" si="1"/>
        <v>5.059323973238925</v>
      </c>
      <c r="J19" s="17" t="s">
        <v>97</v>
      </c>
      <c r="K19" s="17"/>
      <c r="L19" s="24">
        <f t="shared" si="23"/>
        <v>65.984449999999995</v>
      </c>
      <c r="M19" s="33">
        <f t="shared" si="3"/>
        <v>3.3791758532908758E-3</v>
      </c>
      <c r="N19" s="34">
        <v>3.06</v>
      </c>
      <c r="O19" s="33">
        <f t="shared" si="4"/>
        <v>1.2820527327450371E-3</v>
      </c>
      <c r="P19" s="36">
        <f t="shared" si="5"/>
        <v>0.37939805100598278</v>
      </c>
      <c r="Q19" s="36"/>
      <c r="R19" s="35">
        <v>-2E-3</v>
      </c>
      <c r="S19" s="35"/>
      <c r="T19" s="35">
        <f t="shared" si="6"/>
        <v>-3.1210000000000009E-2</v>
      </c>
      <c r="U19" s="34">
        <v>1.1659999999999999</v>
      </c>
      <c r="V19" s="17">
        <f t="shared" si="7"/>
        <v>56.590437392795884</v>
      </c>
      <c r="W19" s="41">
        <f t="shared" si="8"/>
        <v>21.563545751633985</v>
      </c>
      <c r="X19" s="41">
        <f t="shared" si="9"/>
        <v>-32992.224999999999</v>
      </c>
      <c r="Y19" s="41">
        <f t="shared" si="10"/>
        <v>-2114.2085869913481</v>
      </c>
      <c r="Z19" s="28">
        <f t="shared" si="11"/>
        <v>-6.5359477124183002E-4</v>
      </c>
      <c r="AA19" s="19">
        <f t="shared" si="12"/>
        <v>0.38104575163398691</v>
      </c>
      <c r="AB19" s="28">
        <f t="shared" si="13"/>
        <v>-6.7847826086956609E-2</v>
      </c>
      <c r="AC19" s="29">
        <v>2</v>
      </c>
      <c r="AD19" s="27">
        <f>4.84-3.7-2.68</f>
        <v>-1.5400000000000005</v>
      </c>
      <c r="AE19" s="27">
        <f t="shared" si="24"/>
        <v>0.45999999999999952</v>
      </c>
      <c r="AF19" s="79">
        <f t="shared" si="20"/>
        <v>143.44445652173928</v>
      </c>
      <c r="AG19" s="27">
        <v>0.14524999999999999</v>
      </c>
      <c r="AH19" s="27">
        <f>-0.04946-0.17653</f>
        <v>-0.22599</v>
      </c>
      <c r="AI19" s="27">
        <v>5.1529999999999999E-2</v>
      </c>
      <c r="AJ19" s="26" t="e">
        <f t="shared" si="15"/>
        <v>#DIV/0!</v>
      </c>
      <c r="AK19" s="26">
        <f t="shared" si="16"/>
        <v>-2.2086116688175658E-6</v>
      </c>
      <c r="AL19" s="26">
        <f t="shared" si="17"/>
        <v>-2.2926973561132255E-4</v>
      </c>
      <c r="AM19" s="26">
        <f t="shared" si="18"/>
        <v>-111.48653006633955</v>
      </c>
      <c r="AN19" s="17">
        <f t="shared" si="19"/>
        <v>0.19122903956490492</v>
      </c>
      <c r="AO19" s="17"/>
      <c r="AP19" s="17"/>
      <c r="AQ19" s="22"/>
      <c r="AR19" s="17"/>
      <c r="AS19" s="19"/>
    </row>
    <row r="20" spans="1:45" ht="19" x14ac:dyDescent="0.25">
      <c r="A20" t="s">
        <v>149</v>
      </c>
      <c r="B20" t="s">
        <v>153</v>
      </c>
      <c r="C20" s="24">
        <v>60.16</v>
      </c>
      <c r="D20" s="17" t="e">
        <f t="shared" si="21"/>
        <v>#DIV/0!</v>
      </c>
      <c r="E20" s="24">
        <v>236.17163270914298</v>
      </c>
      <c r="F20" s="17">
        <v>0.25473000000000001</v>
      </c>
      <c r="G20" s="24">
        <v>10.179</v>
      </c>
      <c r="H20" s="24">
        <v>3.02</v>
      </c>
      <c r="I20" s="17">
        <f t="shared" si="1"/>
        <v>0.2966892622065036</v>
      </c>
      <c r="J20" s="17" t="s">
        <v>97</v>
      </c>
      <c r="K20" s="17"/>
      <c r="L20" s="24">
        <f t="shared" si="23"/>
        <v>67.319000000000003</v>
      </c>
      <c r="M20" s="33">
        <f t="shared" si="3"/>
        <v>2.9462495555649141E-3</v>
      </c>
      <c r="N20" s="34">
        <v>13.28</v>
      </c>
      <c r="O20" s="33">
        <f t="shared" si="4"/>
        <v>5.5639412715209448E-3</v>
      </c>
      <c r="P20" s="36">
        <f t="shared" si="5"/>
        <v>1.8884826850501177</v>
      </c>
      <c r="Q20" s="43">
        <v>7.55</v>
      </c>
      <c r="R20" s="35">
        <v>3.68</v>
      </c>
      <c r="S20" s="35"/>
      <c r="T20" s="35" t="e">
        <f>R20+AH20+AI20+AJ20</f>
        <v>#DIV/0!</v>
      </c>
      <c r="U20" s="34">
        <v>3.51</v>
      </c>
      <c r="V20" s="17">
        <f t="shared" si="7"/>
        <v>19.179202279202283</v>
      </c>
      <c r="W20" s="41">
        <f t="shared" si="8"/>
        <v>5.0692018072289162</v>
      </c>
      <c r="X20" s="41">
        <f t="shared" si="9"/>
        <v>18.29320652173913</v>
      </c>
      <c r="Y20" s="41" t="e">
        <f t="shared" si="10"/>
        <v>#DIV/0!</v>
      </c>
      <c r="Z20" s="28">
        <f t="shared" si="11"/>
        <v>0.27710843373493976</v>
      </c>
      <c r="AA20" s="19">
        <f t="shared" si="12"/>
        <v>0.26430722891566266</v>
      </c>
      <c r="AB20" s="28" t="e">
        <f t="shared" si="13"/>
        <v>#DIV/0!</v>
      </c>
      <c r="AC20" s="29">
        <v>16.32</v>
      </c>
      <c r="AD20" s="27">
        <v>0.75</v>
      </c>
      <c r="AE20" s="27">
        <f t="shared" si="24"/>
        <v>17.07</v>
      </c>
      <c r="AF20" s="79">
        <f t="shared" si="20"/>
        <v>3.9437024018746341</v>
      </c>
      <c r="AG20" s="27">
        <v>1.1100000000000001</v>
      </c>
      <c r="AH20" s="27">
        <v>-0.82599999999999996</v>
      </c>
      <c r="AI20" s="27">
        <v>-0.57399999999999995</v>
      </c>
      <c r="AJ20" s="26" t="e">
        <f t="shared" si="15"/>
        <v>#DIV/0!</v>
      </c>
      <c r="AK20" s="26">
        <f t="shared" si="16"/>
        <v>8.1643059973485579E-4</v>
      </c>
      <c r="AL20" s="26" t="e">
        <f t="shared" si="17"/>
        <v>#DIV/0!</v>
      </c>
      <c r="AM20" s="26">
        <f t="shared" si="18"/>
        <v>5.3896351584531099E-2</v>
      </c>
      <c r="AN20" s="17">
        <f t="shared" si="19"/>
        <v>5.6506716191189313E-2</v>
      </c>
      <c r="AO20" s="17"/>
      <c r="AQ20" s="22"/>
      <c r="AR20" s="17"/>
      <c r="AS20" s="19"/>
    </row>
    <row r="21" spans="1:45" ht="19" x14ac:dyDescent="0.25">
      <c r="A21" s="25" t="s">
        <v>59</v>
      </c>
      <c r="B21" t="s">
        <v>60</v>
      </c>
      <c r="C21" s="24">
        <v>59.06</v>
      </c>
      <c r="D21" s="17" t="e">
        <f t="shared" si="21"/>
        <v>#DIV/0!</v>
      </c>
      <c r="E21" s="24">
        <f>C21/F21</f>
        <v>77.211698108274177</v>
      </c>
      <c r="F21" s="17">
        <v>0.76490999999999998</v>
      </c>
      <c r="G21" s="24">
        <f>0.9933</f>
        <v>0.99329999999999996</v>
      </c>
      <c r="H21" s="24">
        <f>3.34</f>
        <v>3.34</v>
      </c>
      <c r="I21" s="17">
        <f t="shared" si="1"/>
        <v>3.3625289439242927</v>
      </c>
      <c r="J21" s="17" t="s">
        <v>97</v>
      </c>
      <c r="K21" s="17"/>
      <c r="L21" s="24">
        <f t="shared" si="23"/>
        <v>56.713300000000004</v>
      </c>
      <c r="M21" s="33">
        <f t="shared" si="3"/>
        <v>2.892378636164625E-3</v>
      </c>
      <c r="N21" s="34">
        <v>5.3</v>
      </c>
      <c r="O21" s="33">
        <f t="shared" si="4"/>
        <v>2.2205488508329073E-3</v>
      </c>
      <c r="P21" s="36">
        <f t="shared" si="5"/>
        <v>0.76772412265408552</v>
      </c>
      <c r="Q21" s="36"/>
      <c r="R21" s="35">
        <v>1.24</v>
      </c>
      <c r="S21" s="35"/>
      <c r="T21" s="35">
        <f>R21+AG21+AH21+AI21</f>
        <v>1.2753999999999999</v>
      </c>
      <c r="U21" s="34">
        <v>1.9359999999999999</v>
      </c>
      <c r="V21" s="17">
        <f t="shared" si="7"/>
        <v>29.294059917355376</v>
      </c>
      <c r="W21" s="41">
        <f t="shared" si="8"/>
        <v>10.700622641509435</v>
      </c>
      <c r="X21" s="41">
        <f t="shared" si="9"/>
        <v>45.736532258064521</v>
      </c>
      <c r="Y21" s="41">
        <f t="shared" si="10"/>
        <v>44.467069154774983</v>
      </c>
      <c r="Z21" s="28">
        <f t="shared" si="11"/>
        <v>0.2339622641509434</v>
      </c>
      <c r="AA21" s="19">
        <f t="shared" si="12"/>
        <v>0.36528301886792452</v>
      </c>
      <c r="AB21" s="28">
        <f t="shared" si="13"/>
        <v>0.95392670157068071</v>
      </c>
      <c r="AC21" s="29">
        <v>3.13</v>
      </c>
      <c r="AD21" s="27">
        <f>4.92-3.34-3.373</f>
        <v>-1.7930000000000001</v>
      </c>
      <c r="AE21" s="27">
        <f t="shared" si="24"/>
        <v>1.3369999999999997</v>
      </c>
      <c r="AF21" s="79">
        <f t="shared" si="20"/>
        <v>42.418324607329851</v>
      </c>
      <c r="AG21" s="27">
        <v>0.1134</v>
      </c>
      <c r="AH21" s="27">
        <v>-0.2041</v>
      </c>
      <c r="AI21" s="27">
        <v>0.12609999999999999</v>
      </c>
      <c r="AJ21" s="26" t="e">
        <f t="shared" si="15"/>
        <v>#DIV/0!</v>
      </c>
      <c r="AK21" s="26">
        <f t="shared" si="16"/>
        <v>6.7670745449889341E-4</v>
      </c>
      <c r="AL21" s="26">
        <f t="shared" si="17"/>
        <v>2.7591172120900245E-3</v>
      </c>
      <c r="AM21" s="26">
        <f t="shared" si="18"/>
        <v>0.13228736879548003</v>
      </c>
      <c r="AN21" s="17">
        <f t="shared" si="19"/>
        <v>8.4729513071485157E-2</v>
      </c>
      <c r="AO21" s="17"/>
      <c r="AP21" s="17"/>
      <c r="AQ21" s="22"/>
      <c r="AR21" s="17"/>
      <c r="AS21" s="19"/>
    </row>
    <row r="22" spans="1:45" ht="19" x14ac:dyDescent="0.25">
      <c r="A22" s="2" t="s">
        <v>146</v>
      </c>
      <c r="B22" t="s">
        <v>147</v>
      </c>
      <c r="C22" s="24">
        <v>58.77</v>
      </c>
      <c r="D22" s="17" t="e">
        <f t="shared" si="21"/>
        <v>#DIV/0!</v>
      </c>
      <c r="E22" s="24">
        <f>C22/F22</f>
        <v>272.7019627859496</v>
      </c>
      <c r="F22" s="17">
        <v>0.21551000000000001</v>
      </c>
      <c r="G22" s="24">
        <v>2.29</v>
      </c>
      <c r="H22" s="24">
        <f>0.238+1.99</f>
        <v>2.2279999999999998</v>
      </c>
      <c r="I22" s="17">
        <f t="shared" si="1"/>
        <v>0.97292576419213961</v>
      </c>
      <c r="J22" s="17" t="s">
        <v>97</v>
      </c>
      <c r="K22" s="17"/>
      <c r="L22" s="24">
        <f t="shared" si="23"/>
        <v>58.832000000000001</v>
      </c>
      <c r="M22" s="33">
        <f t="shared" si="3"/>
        <v>2.8781763028681855E-3</v>
      </c>
      <c r="N22" s="34">
        <v>5.5</v>
      </c>
      <c r="O22" s="33">
        <f t="shared" si="4"/>
        <v>2.3043431470907531E-3</v>
      </c>
      <c r="P22" s="36">
        <f t="shared" si="5"/>
        <v>0.80062612731346894</v>
      </c>
      <c r="Q22" s="36"/>
      <c r="R22" s="35">
        <v>1.1299999999999999</v>
      </c>
      <c r="S22" s="35"/>
      <c r="T22" s="35">
        <f>R22+AG22+AH22+AI22</f>
        <v>0.627</v>
      </c>
      <c r="U22" s="34">
        <v>1.31</v>
      </c>
      <c r="V22" s="17">
        <f t="shared" si="7"/>
        <v>44.90992366412214</v>
      </c>
      <c r="W22" s="41">
        <f t="shared" si="8"/>
        <v>10.696727272727273</v>
      </c>
      <c r="X22" s="41">
        <f t="shared" si="9"/>
        <v>52.063716814159299</v>
      </c>
      <c r="Y22" s="41">
        <f t="shared" si="10"/>
        <v>93.830940988835721</v>
      </c>
      <c r="Z22" s="28">
        <f t="shared" si="11"/>
        <v>0.20545454545454545</v>
      </c>
      <c r="AA22" s="19">
        <f t="shared" si="12"/>
        <v>0.23818181818181819</v>
      </c>
      <c r="AB22" s="28">
        <f t="shared" si="13"/>
        <v>-0.29162790697674423</v>
      </c>
      <c r="AC22" s="29">
        <v>1.1299999999999999</v>
      </c>
      <c r="AD22" s="27">
        <f>2.81-1.99-4.1</f>
        <v>-3.2799999999999994</v>
      </c>
      <c r="AE22" s="27">
        <f t="shared" si="24"/>
        <v>-2.1499999999999995</v>
      </c>
      <c r="AF22" s="79">
        <f t="shared" si="20"/>
        <v>-27.363720930232564</v>
      </c>
      <c r="AG22" s="27">
        <v>0.13900000000000001</v>
      </c>
      <c r="AH22" s="27">
        <f>-0.031-0.3</f>
        <v>-0.33099999999999996</v>
      </c>
      <c r="AI22" s="27">
        <v>-0.311</v>
      </c>
      <c r="AJ22" s="26" t="e">
        <f t="shared" si="15"/>
        <v>#DIV/0!</v>
      </c>
      <c r="AK22" s="26">
        <f t="shared" si="16"/>
        <v>5.9133440404382715E-4</v>
      </c>
      <c r="AL22" s="26">
        <f t="shared" si="17"/>
        <v>-8.3935653111551288E-4</v>
      </c>
      <c r="AM22" s="26">
        <f t="shared" si="18"/>
        <v>0.14984855597375318</v>
      </c>
      <c r="AN22" s="17">
        <f t="shared" si="19"/>
        <v>0.12925867805369548</v>
      </c>
      <c r="AO22" s="17"/>
      <c r="AP22" s="17"/>
      <c r="AQ22" s="22"/>
      <c r="AR22" s="17"/>
      <c r="AS22" s="19"/>
    </row>
    <row r="23" spans="1:45" ht="19" x14ac:dyDescent="0.25">
      <c r="A23" t="s">
        <v>150</v>
      </c>
      <c r="B23" t="s">
        <v>154</v>
      </c>
      <c r="C23" s="24">
        <v>44</v>
      </c>
      <c r="D23" s="17" t="e">
        <f t="shared" si="21"/>
        <v>#DIV/0!</v>
      </c>
      <c r="E23" s="24">
        <v>33.846153846153847</v>
      </c>
      <c r="F23" s="17">
        <v>1.3</v>
      </c>
      <c r="G23" s="24">
        <v>4.8549549549549535</v>
      </c>
      <c r="H23" s="24">
        <v>2.109009009009009</v>
      </c>
      <c r="I23" s="17">
        <f t="shared" si="1"/>
        <v>0.43440341436259061</v>
      </c>
      <c r="J23" s="17" t="s">
        <v>155</v>
      </c>
      <c r="K23" s="17">
        <v>1.1100000000000001</v>
      </c>
      <c r="L23" s="24">
        <f t="shared" si="23"/>
        <v>46.745945945945948</v>
      </c>
      <c r="M23" s="33">
        <f t="shared" si="3"/>
        <v>2.154836776011573E-3</v>
      </c>
      <c r="N23" s="34">
        <v>14.693693693693691</v>
      </c>
      <c r="O23" s="33">
        <f t="shared" si="4"/>
        <v>6.1562386124570309E-3</v>
      </c>
      <c r="P23" s="36">
        <f t="shared" si="5"/>
        <v>2.8569396443343269</v>
      </c>
      <c r="Q23" s="43">
        <f>7.41/$K23</f>
        <v>6.6756756756756754</v>
      </c>
      <c r="R23" s="35">
        <f>3.95/K23</f>
        <v>3.5585585585585586</v>
      </c>
      <c r="S23" s="35"/>
      <c r="T23" s="35">
        <f t="shared" ref="T23:T35" si="25">R23+AG23+AH23+AI23</f>
        <v>1.1137387387387387</v>
      </c>
      <c r="U23" s="34">
        <f>3.96/K23</f>
        <v>3.5675675675675671</v>
      </c>
      <c r="V23" s="17">
        <f t="shared" si="7"/>
        <v>13.103030303030305</v>
      </c>
      <c r="W23" s="41">
        <f t="shared" si="8"/>
        <v>3.1813611281422447</v>
      </c>
      <c r="X23" s="41">
        <f t="shared" si="9"/>
        <v>13.136202531645569</v>
      </c>
      <c r="Y23" s="41">
        <f t="shared" si="10"/>
        <v>41.972093023255816</v>
      </c>
      <c r="Z23" s="28">
        <f t="shared" si="11"/>
        <v>0.24218270999386884</v>
      </c>
      <c r="AA23" s="19">
        <f t="shared" si="12"/>
        <v>0.24279583077866343</v>
      </c>
      <c r="AB23" s="28">
        <f t="shared" si="13"/>
        <v>5.7262957987864196E-2</v>
      </c>
      <c r="AC23" s="29">
        <v>17.18018018018018</v>
      </c>
      <c r="AD23" s="27">
        <v>2.2693693693693695</v>
      </c>
      <c r="AE23" s="27">
        <f t="shared" si="24"/>
        <v>19.449549549549548</v>
      </c>
      <c r="AF23" s="79">
        <f t="shared" si="20"/>
        <v>2.4034461994534255</v>
      </c>
      <c r="AG23" s="27">
        <v>1.58018018018018</v>
      </c>
      <c r="AH23" s="27">
        <v>-2.875</v>
      </c>
      <c r="AI23" s="27">
        <v>-1.1499999999999999</v>
      </c>
      <c r="AJ23" s="26" t="e">
        <f t="shared" si="15"/>
        <v>#DIV/0!</v>
      </c>
      <c r="AK23" s="26">
        <f t="shared" si="16"/>
        <v>5.218642100089341E-4</v>
      </c>
      <c r="AL23" s="26">
        <f t="shared" si="17"/>
        <v>1.2339232777545543E-4</v>
      </c>
      <c r="AM23" s="26">
        <f t="shared" si="18"/>
        <v>2.8306372312326203E-2</v>
      </c>
      <c r="AN23" s="17">
        <f t="shared" si="19"/>
        <v>2.8234891574163767E-2</v>
      </c>
      <c r="AO23" s="17"/>
      <c r="AQ23" s="22"/>
      <c r="AR23" s="17"/>
      <c r="AS23" s="19"/>
    </row>
    <row r="24" spans="1:45" ht="19" x14ac:dyDescent="0.25">
      <c r="A24" s="2" t="s">
        <v>51</v>
      </c>
      <c r="B24" t="s">
        <v>52</v>
      </c>
      <c r="C24" s="24">
        <v>38.51</v>
      </c>
      <c r="D24" s="17" t="e">
        <f t="shared" si="21"/>
        <v>#DIV/0!</v>
      </c>
      <c r="E24" s="24">
        <f>C24/F24</f>
        <v>115.12705530642749</v>
      </c>
      <c r="F24" s="17">
        <v>0.33450000000000002</v>
      </c>
      <c r="G24" s="24">
        <f>0.74397</f>
        <v>0.74397000000000002</v>
      </c>
      <c r="H24" s="24">
        <f>2.96</f>
        <v>2.96</v>
      </c>
      <c r="I24" s="17">
        <f t="shared" si="1"/>
        <v>3.9786550532951597</v>
      </c>
      <c r="J24" s="17" t="s">
        <v>97</v>
      </c>
      <c r="K24" s="17"/>
      <c r="L24" s="24">
        <f t="shared" si="23"/>
        <v>36.293970000000002</v>
      </c>
      <c r="M24" s="33">
        <f t="shared" si="3"/>
        <v>1.885971914641038E-3</v>
      </c>
      <c r="N24" s="34">
        <v>2.13</v>
      </c>
      <c r="O24" s="33">
        <f t="shared" si="4"/>
        <v>8.9240925514605526E-4</v>
      </c>
      <c r="P24" s="36">
        <f t="shared" si="5"/>
        <v>0.47318268539322861</v>
      </c>
      <c r="Q24" s="36"/>
      <c r="R24" s="35">
        <v>-3.3459999999999997E-2</v>
      </c>
      <c r="S24" s="35"/>
      <c r="T24" s="35">
        <f t="shared" si="25"/>
        <v>-6.7699999999999844E-3</v>
      </c>
      <c r="U24" s="34">
        <v>0.65995400000000004</v>
      </c>
      <c r="V24" s="17">
        <f t="shared" si="7"/>
        <v>54.994696600066064</v>
      </c>
      <c r="W24" s="41">
        <f t="shared" si="8"/>
        <v>17.039422535211269</v>
      </c>
      <c r="X24" s="41">
        <f t="shared" si="9"/>
        <v>-1084.6972504482967</v>
      </c>
      <c r="Y24" s="41">
        <f t="shared" si="10"/>
        <v>-5361.0000000000127</v>
      </c>
      <c r="Z24" s="28">
        <f t="shared" si="11"/>
        <v>-1.5708920187793428E-2</v>
      </c>
      <c r="AA24" s="19">
        <f t="shared" si="12"/>
        <v>0.30983755868544605</v>
      </c>
      <c r="AB24" s="28">
        <f t="shared" si="13"/>
        <v>1.9929349425964034E-2</v>
      </c>
      <c r="AC24" s="29">
        <v>0.82030000000000003</v>
      </c>
      <c r="AD24" s="27">
        <f>3.59-2.96-1.79</f>
        <v>-1.1600000000000001</v>
      </c>
      <c r="AE24" s="27">
        <f t="shared" si="24"/>
        <v>-0.33970000000000011</v>
      </c>
      <c r="AF24" s="79">
        <f t="shared" si="20"/>
        <v>-106.84124227259343</v>
      </c>
      <c r="AG24" s="27">
        <v>4.4470000000000003E-2</v>
      </c>
      <c r="AH24" s="27">
        <f>-0.03482-0.02759</f>
        <v>-6.2409999999999993E-2</v>
      </c>
      <c r="AI24" s="27">
        <v>4.4630000000000003E-2</v>
      </c>
      <c r="AJ24" s="26" t="e">
        <f t="shared" si="15"/>
        <v>#DIV/0!</v>
      </c>
      <c r="AK24" s="26">
        <f t="shared" si="16"/>
        <v>-2.9626582283516025E-5</v>
      </c>
      <c r="AL24" s="26">
        <f t="shared" si="17"/>
        <v>3.7586193294435663E-5</v>
      </c>
      <c r="AM24" s="26">
        <f t="shared" si="18"/>
        <v>-2.0457085502338437</v>
      </c>
      <c r="AN24" s="17">
        <f t="shared" si="19"/>
        <v>0.10371845324192958</v>
      </c>
      <c r="AO24" s="17"/>
      <c r="AP24" s="17"/>
      <c r="AQ24" s="22"/>
      <c r="AR24" s="17"/>
      <c r="AS24" s="19"/>
    </row>
    <row r="25" spans="1:45" ht="19" x14ac:dyDescent="0.25">
      <c r="A25" s="2" t="s">
        <v>162</v>
      </c>
      <c r="B25" t="s">
        <v>163</v>
      </c>
      <c r="C25" s="24">
        <v>30.62</v>
      </c>
      <c r="D25" s="17" t="e">
        <f t="shared" si="21"/>
        <v>#DIV/0!</v>
      </c>
      <c r="E25" s="16">
        <v>71.481931086002433</v>
      </c>
      <c r="F25" s="17">
        <v>0.42836000000000002</v>
      </c>
      <c r="G25" s="24">
        <v>3.3455999999999997</v>
      </c>
      <c r="H25" s="24">
        <v>2.68</v>
      </c>
      <c r="I25" s="17">
        <f t="shared" si="1"/>
        <v>0.80105212816834059</v>
      </c>
      <c r="J25" s="17" t="s">
        <v>97</v>
      </c>
      <c r="K25" s="17"/>
      <c r="L25" s="24">
        <f t="shared" si="23"/>
        <v>31.285600000000002</v>
      </c>
      <c r="M25" s="33">
        <f t="shared" si="3"/>
        <v>1.4995705018516902E-3</v>
      </c>
      <c r="N25" s="17">
        <v>8.25</v>
      </c>
      <c r="O25" s="33">
        <f t="shared" si="4"/>
        <v>3.4565147206361297E-3</v>
      </c>
      <c r="P25" s="36">
        <f t="shared" si="5"/>
        <v>2.3050031434787348</v>
      </c>
      <c r="Q25" s="43">
        <v>3.88</v>
      </c>
      <c r="R25" s="35">
        <v>2.61</v>
      </c>
      <c r="S25" s="35"/>
      <c r="T25" s="35">
        <f t="shared" si="25"/>
        <v>0.81679999999999997</v>
      </c>
      <c r="U25" s="34">
        <v>1.98</v>
      </c>
      <c r="V25" s="17">
        <f t="shared" si="7"/>
        <v>15.800808080808082</v>
      </c>
      <c r="W25" s="41">
        <f t="shared" si="8"/>
        <v>3.7921939393939397</v>
      </c>
      <c r="X25" s="41">
        <f t="shared" si="9"/>
        <v>11.986819923371648</v>
      </c>
      <c r="Y25" s="41">
        <f t="shared" si="10"/>
        <v>38.3026444662096</v>
      </c>
      <c r="Z25" s="28">
        <f t="shared" si="11"/>
        <v>0.31636363636363635</v>
      </c>
      <c r="AA25" s="19">
        <f t="shared" si="12"/>
        <v>0.24</v>
      </c>
      <c r="AB25" s="28">
        <f t="shared" si="13"/>
        <v>9.1981981981981986E-2</v>
      </c>
      <c r="AC25" s="77">
        <v>7.33</v>
      </c>
      <c r="AD25" s="24">
        <v>1.5499999999999998</v>
      </c>
      <c r="AE25" s="27">
        <f t="shared" si="24"/>
        <v>8.879999999999999</v>
      </c>
      <c r="AF25" s="79">
        <f t="shared" si="20"/>
        <v>3.5231531531531539</v>
      </c>
      <c r="AG25" s="24">
        <v>0.60950000000000004</v>
      </c>
      <c r="AH25" s="24">
        <v>-1.54</v>
      </c>
      <c r="AI25" s="24">
        <v>-0.86270000000000002</v>
      </c>
      <c r="AJ25" s="26" t="e">
        <f t="shared" si="15"/>
        <v>#DIV/0!</v>
      </c>
      <c r="AK25" s="26">
        <f t="shared" si="16"/>
        <v>4.7440957694944375E-4</v>
      </c>
      <c r="AL25" s="26">
        <f t="shared" si="17"/>
        <v>1.3793346688203384E-4</v>
      </c>
      <c r="AM25" s="26">
        <f t="shared" si="18"/>
        <v>1.7975081568096261E-2</v>
      </c>
      <c r="AN25" s="17">
        <f t="shared" si="19"/>
        <v>2.3694425703399618E-2</v>
      </c>
    </row>
    <row r="26" spans="1:45" ht="19" x14ac:dyDescent="0.25">
      <c r="A26" s="2" t="s">
        <v>47</v>
      </c>
      <c r="B26" t="s">
        <v>48</v>
      </c>
      <c r="C26" s="24">
        <v>28.15</v>
      </c>
      <c r="D26" s="17" t="e">
        <f t="shared" si="21"/>
        <v>#DIV/0!</v>
      </c>
      <c r="E26" s="24">
        <f>C26/F26</f>
        <v>82.38220661398887</v>
      </c>
      <c r="F26" s="17">
        <v>0.3417</v>
      </c>
      <c r="G26" s="24">
        <v>1.28</v>
      </c>
      <c r="H26" s="24">
        <f>1.67+0.00252</f>
        <v>1.67252</v>
      </c>
      <c r="I26" s="17">
        <f t="shared" si="1"/>
        <v>1.3066562500000001</v>
      </c>
      <c r="J26" s="17" t="s">
        <v>97</v>
      </c>
      <c r="K26" s="17"/>
      <c r="L26" s="24">
        <f t="shared" si="23"/>
        <v>27.757479999999997</v>
      </c>
      <c r="M26" s="33">
        <f t="shared" si="3"/>
        <v>1.3786058010164949E-3</v>
      </c>
      <c r="N26" s="34">
        <v>1.3</v>
      </c>
      <c r="O26" s="33">
        <f t="shared" si="4"/>
        <v>5.4466292567599615E-4</v>
      </c>
      <c r="P26" s="36">
        <f t="shared" si="5"/>
        <v>0.3950824269522128</v>
      </c>
      <c r="Q26" s="36"/>
      <c r="R26" s="35">
        <v>-0.18548999999999999</v>
      </c>
      <c r="S26" s="35"/>
      <c r="T26" s="35">
        <f t="shared" si="25"/>
        <v>-0.28935</v>
      </c>
      <c r="U26" s="34">
        <v>0.25440600000000002</v>
      </c>
      <c r="V26" s="17">
        <f t="shared" si="7"/>
        <v>109.10701791624409</v>
      </c>
      <c r="W26" s="41">
        <f t="shared" si="8"/>
        <v>21.351907692307691</v>
      </c>
      <c r="X26" s="41">
        <f t="shared" si="9"/>
        <v>-149.64407784786241</v>
      </c>
      <c r="Y26" s="41">
        <f t="shared" si="10"/>
        <v>-95.930464834974941</v>
      </c>
      <c r="Z26" s="28">
        <f t="shared" si="11"/>
        <v>-0.14268461538461538</v>
      </c>
      <c r="AA26" s="19">
        <f t="shared" si="12"/>
        <v>0.19569692307692307</v>
      </c>
      <c r="AB26" s="28">
        <f t="shared" si="13"/>
        <v>-0.51883662966881261</v>
      </c>
      <c r="AC26" s="29">
        <v>0.82365999999999995</v>
      </c>
      <c r="AD26" s="27">
        <f>2.09-1.76-0.59597</f>
        <v>-0.26597000000000015</v>
      </c>
      <c r="AE26" s="27">
        <f t="shared" si="24"/>
        <v>0.5576899999999998</v>
      </c>
      <c r="AF26" s="79">
        <f t="shared" si="20"/>
        <v>49.772239057540943</v>
      </c>
      <c r="AG26" s="27">
        <v>0.13582</v>
      </c>
      <c r="AH26" s="27">
        <f>-0.02055-0.1144</f>
        <v>-0.13495000000000001</v>
      </c>
      <c r="AI26" s="27">
        <v>-0.10473</v>
      </c>
      <c r="AJ26" s="26" t="e">
        <f t="shared" si="15"/>
        <v>#DIV/0!</v>
      </c>
      <c r="AK26" s="26">
        <f t="shared" si="16"/>
        <v>-1.9670583848503816E-4</v>
      </c>
      <c r="AL26" s="26">
        <f t="shared" si="17"/>
        <v>-7.1527118744127188E-4</v>
      </c>
      <c r="AM26" s="26">
        <f t="shared" si="18"/>
        <v>-0.20630019380882705</v>
      </c>
      <c r="AN26" s="17">
        <f t="shared" si="19"/>
        <v>0.15041556783094473</v>
      </c>
      <c r="AO26" s="17"/>
      <c r="AP26" s="17"/>
      <c r="AQ26" s="22"/>
      <c r="AR26" s="17"/>
      <c r="AS26" s="19"/>
    </row>
    <row r="27" spans="1:45" ht="19" x14ac:dyDescent="0.25">
      <c r="A27" t="s">
        <v>152</v>
      </c>
      <c r="B27" t="s">
        <v>159</v>
      </c>
      <c r="C27" s="24">
        <v>26.14</v>
      </c>
      <c r="D27" s="17" t="e">
        <f t="shared" si="21"/>
        <v>#DIV/0!</v>
      </c>
      <c r="E27" s="16">
        <v>28.940579918736091</v>
      </c>
      <c r="F27" s="17">
        <v>0.90322999999999998</v>
      </c>
      <c r="G27" s="24">
        <v>3.0860000000000003</v>
      </c>
      <c r="H27" s="24">
        <v>6.3440000000000003</v>
      </c>
      <c r="I27" s="17">
        <f t="shared" si="1"/>
        <v>2.0557355800388852</v>
      </c>
      <c r="J27" s="17" t="s">
        <v>97</v>
      </c>
      <c r="K27" s="17"/>
      <c r="L27" s="24">
        <f t="shared" si="23"/>
        <v>22.882000000000001</v>
      </c>
      <c r="M27" s="33">
        <f t="shared" si="3"/>
        <v>1.280168939203239E-3</v>
      </c>
      <c r="N27" s="17">
        <v>17.29</v>
      </c>
      <c r="O27" s="33">
        <f t="shared" si="4"/>
        <v>7.244016911490749E-3</v>
      </c>
      <c r="P27" s="36">
        <f t="shared" si="5"/>
        <v>5.6586413633807844</v>
      </c>
      <c r="Q27" s="43">
        <v>8.2899999999999991</v>
      </c>
      <c r="R27" s="35">
        <v>4.54</v>
      </c>
      <c r="S27" s="35"/>
      <c r="T27" s="35">
        <f t="shared" si="25"/>
        <v>1.6509999999999996</v>
      </c>
      <c r="U27" s="34">
        <v>5.99</v>
      </c>
      <c r="V27" s="17">
        <f t="shared" si="7"/>
        <v>3.8200333889816362</v>
      </c>
      <c r="W27" s="41">
        <f t="shared" si="8"/>
        <v>1.3234239444765763</v>
      </c>
      <c r="X27" s="41">
        <f t="shared" si="9"/>
        <v>5.0400881057268725</v>
      </c>
      <c r="Y27" s="41">
        <f t="shared" si="10"/>
        <v>13.859479103573596</v>
      </c>
      <c r="Z27" s="28">
        <f t="shared" si="11"/>
        <v>0.26257952573742049</v>
      </c>
      <c r="AA27" s="19">
        <f t="shared" si="12"/>
        <v>0.34644303065355697</v>
      </c>
      <c r="AB27" s="28">
        <f t="shared" si="13"/>
        <v>0.10955540809555406</v>
      </c>
      <c r="AC27" s="77">
        <v>13.04</v>
      </c>
      <c r="AD27" s="24">
        <v>2.0299999999999994</v>
      </c>
      <c r="AE27" s="27">
        <f t="shared" si="24"/>
        <v>15.069999999999999</v>
      </c>
      <c r="AF27" s="79">
        <f t="shared" si="20"/>
        <v>1.5183808891838091</v>
      </c>
      <c r="AG27" s="24">
        <v>1.56</v>
      </c>
      <c r="AH27" s="24">
        <v>-4.5270000000000001</v>
      </c>
      <c r="AI27" s="24">
        <v>7.8E-2</v>
      </c>
      <c r="AJ27" s="26" t="e">
        <f t="shared" si="15"/>
        <v>#DIV/0!</v>
      </c>
      <c r="AK27" s="26">
        <f t="shared" si="16"/>
        <v>3.3614615291976317E-4</v>
      </c>
      <c r="AL27" s="26">
        <f t="shared" si="17"/>
        <v>1.4024943056566337E-4</v>
      </c>
      <c r="AM27" s="26">
        <f t="shared" si="18"/>
        <v>6.4521642437992324E-3</v>
      </c>
      <c r="AN27" s="17">
        <f t="shared" si="19"/>
        <v>4.8902880912935756E-3</v>
      </c>
    </row>
    <row r="28" spans="1:45" ht="19" x14ac:dyDescent="0.25">
      <c r="A28" s="2" t="s">
        <v>49</v>
      </c>
      <c r="B28" t="s">
        <v>50</v>
      </c>
      <c r="C28" s="24">
        <v>26.07</v>
      </c>
      <c r="D28" s="17" t="e">
        <f t="shared" si="21"/>
        <v>#DIV/0!</v>
      </c>
      <c r="E28" s="24">
        <f t="shared" ref="E28:E35" si="26">C28/F28</f>
        <v>172.47767118756201</v>
      </c>
      <c r="F28" s="17">
        <v>0.15115000000000001</v>
      </c>
      <c r="G28" s="24">
        <f>1.13</f>
        <v>1.1299999999999999</v>
      </c>
      <c r="H28" s="24">
        <f>2.1</f>
        <v>2.1</v>
      </c>
      <c r="I28" s="17">
        <f t="shared" si="1"/>
        <v>1.8584070796460179</v>
      </c>
      <c r="J28" s="17" t="s">
        <v>97</v>
      </c>
      <c r="K28" s="17"/>
      <c r="L28" s="24">
        <f t="shared" si="23"/>
        <v>25.1</v>
      </c>
      <c r="M28" s="33">
        <f t="shared" si="3"/>
        <v>1.276740789786857E-3</v>
      </c>
      <c r="N28" s="34">
        <v>1.62</v>
      </c>
      <c r="O28" s="33">
        <f t="shared" si="4"/>
        <v>6.7873379968854915E-4</v>
      </c>
      <c r="P28" s="36">
        <f t="shared" si="5"/>
        <v>0.53161440843591989</v>
      </c>
      <c r="Q28" s="36"/>
      <c r="R28" s="35">
        <v>-0.22702</v>
      </c>
      <c r="S28" s="35"/>
      <c r="T28" s="35">
        <f t="shared" si="25"/>
        <v>-0.26036000000000004</v>
      </c>
      <c r="U28" s="34">
        <v>0.462343</v>
      </c>
      <c r="V28" s="17">
        <f t="shared" si="7"/>
        <v>54.288699082715645</v>
      </c>
      <c r="W28" s="41">
        <f t="shared" si="8"/>
        <v>15.493827160493828</v>
      </c>
      <c r="X28" s="41">
        <f t="shared" si="9"/>
        <v>-110.5629459959475</v>
      </c>
      <c r="Y28" s="41">
        <f t="shared" si="10"/>
        <v>-96.404977723152555</v>
      </c>
      <c r="Z28" s="28">
        <f t="shared" si="11"/>
        <v>-0.14013580246913579</v>
      </c>
      <c r="AA28" s="19">
        <f t="shared" si="12"/>
        <v>0.28539691358024688</v>
      </c>
      <c r="AB28" s="28">
        <f t="shared" si="13"/>
        <v>-1.0013846153846155</v>
      </c>
      <c r="AC28" s="29">
        <v>1.23</v>
      </c>
      <c r="AD28" s="27">
        <f>2.97-2.24-1.7</f>
        <v>-0.97</v>
      </c>
      <c r="AE28" s="27">
        <f t="shared" si="24"/>
        <v>0.26</v>
      </c>
      <c r="AF28" s="79">
        <f t="shared" si="20"/>
        <v>96.538461538461547</v>
      </c>
      <c r="AG28" s="27">
        <v>6.6820000000000004E-2</v>
      </c>
      <c r="AH28" s="27">
        <f>-0.03153-0.0972</f>
        <v>-0.12873000000000001</v>
      </c>
      <c r="AI28" s="27">
        <v>2.8570000000000002E-2</v>
      </c>
      <c r="AJ28" s="26" t="e">
        <f t="shared" si="15"/>
        <v>#DIV/0!</v>
      </c>
      <c r="AK28" s="26">
        <f t="shared" si="16"/>
        <v>-1.789170951218594E-4</v>
      </c>
      <c r="AL28" s="26">
        <f t="shared" si="17"/>
        <v>-1.2785085847265621E-3</v>
      </c>
      <c r="AM28" s="26">
        <f t="shared" si="18"/>
        <v>-0.14116022299202763</v>
      </c>
      <c r="AN28" s="17">
        <f t="shared" si="19"/>
        <v>6.9312596543367383E-2</v>
      </c>
      <c r="AO28" s="17"/>
      <c r="AP28" s="17"/>
      <c r="AQ28" s="22"/>
      <c r="AR28" s="17"/>
      <c r="AS28" s="19"/>
    </row>
    <row r="29" spans="1:45" ht="19" x14ac:dyDescent="0.25">
      <c r="A29" s="2" t="s">
        <v>160</v>
      </c>
      <c r="B29" t="s">
        <v>161</v>
      </c>
      <c r="C29" s="24">
        <v>21.21</v>
      </c>
      <c r="D29" s="17" t="e">
        <f t="shared" si="21"/>
        <v>#DIV/0!</v>
      </c>
      <c r="E29" s="24">
        <f t="shared" si="26"/>
        <v>68.578634247284015</v>
      </c>
      <c r="F29" s="17">
        <v>0.30928</v>
      </c>
      <c r="G29" s="24"/>
      <c r="H29" s="24">
        <f>7.37+0.01059+0.42492</f>
        <v>7.8055099999999999</v>
      </c>
      <c r="I29" s="17"/>
      <c r="J29" s="17" t="s">
        <v>97</v>
      </c>
      <c r="K29" s="17"/>
      <c r="L29" s="24">
        <f t="shared" si="23"/>
        <v>13.404490000000001</v>
      </c>
      <c r="M29" s="33">
        <f t="shared" si="3"/>
        <v>1.0387292731637607E-3</v>
      </c>
      <c r="N29" s="34">
        <v>4.53</v>
      </c>
      <c r="O29" s="33">
        <f t="shared" si="4"/>
        <v>1.8979408102402021E-3</v>
      </c>
      <c r="P29" s="36">
        <f t="shared" si="5"/>
        <v>1.8271756262913972</v>
      </c>
      <c r="Q29" s="36"/>
      <c r="R29" s="35">
        <v>0.52527999999999997</v>
      </c>
      <c r="S29" s="35"/>
      <c r="T29" s="35">
        <f t="shared" si="25"/>
        <v>0.24815999999999999</v>
      </c>
      <c r="U29" s="34">
        <v>1.6</v>
      </c>
      <c r="V29" s="17">
        <f t="shared" si="7"/>
        <v>8.3778062500000008</v>
      </c>
      <c r="W29" s="41">
        <f t="shared" si="8"/>
        <v>2.9590485651214129</v>
      </c>
      <c r="X29" s="41">
        <f t="shared" si="9"/>
        <v>25.518751903746576</v>
      </c>
      <c r="Y29" s="41">
        <f t="shared" si="10"/>
        <v>54.015514184397169</v>
      </c>
      <c r="Z29" s="28">
        <f t="shared" si="11"/>
        <v>0.11595584988962471</v>
      </c>
      <c r="AA29" s="19">
        <f t="shared" si="12"/>
        <v>0.35320088300220753</v>
      </c>
      <c r="AB29" s="28">
        <f t="shared" si="13"/>
        <v>0.23647573398385779</v>
      </c>
      <c r="AC29" s="29">
        <v>2.0099999999999998</v>
      </c>
      <c r="AD29" s="27">
        <f>8.28-7.37-0.01059-1.86</f>
        <v>-0.96059000000000083</v>
      </c>
      <c r="AE29" s="27">
        <f t="shared" si="24"/>
        <v>1.0494099999999991</v>
      </c>
      <c r="AF29" s="79">
        <f t="shared" si="20"/>
        <v>12.773358363270802</v>
      </c>
      <c r="AG29" s="27">
        <v>0.10445</v>
      </c>
      <c r="AH29" s="27">
        <f>-0.12695</f>
        <v>-0.12695000000000001</v>
      </c>
      <c r="AI29" s="27">
        <v>-0.25462000000000001</v>
      </c>
      <c r="AJ29" s="26" t="e">
        <f t="shared" si="15"/>
        <v>#DIV/0!</v>
      </c>
      <c r="AK29" s="26">
        <f t="shared" si="16"/>
        <v>1.2044673567493601E-4</v>
      </c>
      <c r="AL29" s="26">
        <f t="shared" si="17"/>
        <v>2.4563426728191942E-4</v>
      </c>
      <c r="AM29" s="26">
        <f t="shared" si="18"/>
        <v>2.6507074617025016E-2</v>
      </c>
      <c r="AN29" s="17">
        <f t="shared" si="19"/>
        <v>8.7022725967693115E-3</v>
      </c>
      <c r="AO29" s="17"/>
      <c r="AQ29" s="22"/>
      <c r="AR29" s="17"/>
      <c r="AS29" s="19"/>
    </row>
    <row r="30" spans="1:45" ht="19" x14ac:dyDescent="0.25">
      <c r="A30" s="2" t="s">
        <v>89</v>
      </c>
      <c r="B30" t="s">
        <v>107</v>
      </c>
      <c r="C30" s="24">
        <v>18.47</v>
      </c>
      <c r="D30" s="17" t="e">
        <f t="shared" si="21"/>
        <v>#DIV/0!</v>
      </c>
      <c r="E30" s="24">
        <f t="shared" si="26"/>
        <v>11.126506024096386</v>
      </c>
      <c r="F30" s="17">
        <v>1.66</v>
      </c>
      <c r="G30" s="24">
        <v>3.75</v>
      </c>
      <c r="H30" s="24">
        <f>3.54</f>
        <v>3.54</v>
      </c>
      <c r="I30" s="17">
        <f>H30/G30</f>
        <v>0.94400000000000006</v>
      </c>
      <c r="J30" s="17" t="s">
        <v>97</v>
      </c>
      <c r="K30" s="17"/>
      <c r="L30" s="24">
        <f t="shared" si="23"/>
        <v>18.68</v>
      </c>
      <c r="M30" s="33">
        <f t="shared" si="3"/>
        <v>9.045417102939489E-4</v>
      </c>
      <c r="N30" s="34">
        <v>4.6100000000000003</v>
      </c>
      <c r="O30" s="33">
        <f t="shared" si="4"/>
        <v>1.9314585287433404E-3</v>
      </c>
      <c r="P30" s="36">
        <f t="shared" si="5"/>
        <v>2.1352896243067381</v>
      </c>
      <c r="Q30" s="36"/>
      <c r="R30" s="35">
        <v>-1.4</v>
      </c>
      <c r="S30" s="35"/>
      <c r="T30" s="35">
        <f t="shared" si="25"/>
        <v>-1.3801600000000001</v>
      </c>
      <c r="U30" s="34">
        <v>0.24652099999999999</v>
      </c>
      <c r="V30" s="17">
        <f t="shared" si="7"/>
        <v>75.774477630708944</v>
      </c>
      <c r="W30" s="41">
        <f t="shared" si="8"/>
        <v>4.0520607375271149</v>
      </c>
      <c r="X30" s="41">
        <f t="shared" si="9"/>
        <v>-13.342857142857143</v>
      </c>
      <c r="Y30" s="41">
        <f t="shared" si="10"/>
        <v>-13.534662647808949</v>
      </c>
      <c r="Z30" s="28">
        <f t="shared" si="11"/>
        <v>-0.30368763557483724</v>
      </c>
      <c r="AA30" s="19">
        <f t="shared" si="12"/>
        <v>5.3475271149674618E-2</v>
      </c>
      <c r="AB30" s="28">
        <f t="shared" si="13"/>
        <v>-0.42729411764705888</v>
      </c>
      <c r="AC30" s="29">
        <v>3</v>
      </c>
      <c r="AD30" s="27">
        <f>4.42-3.08-1.11</f>
        <v>0.22999999999999976</v>
      </c>
      <c r="AE30" s="27">
        <f t="shared" si="24"/>
        <v>3.2299999999999995</v>
      </c>
      <c r="AF30" s="79">
        <f t="shared" si="20"/>
        <v>5.7832817337461311</v>
      </c>
      <c r="AG30" s="27">
        <v>0.16844000000000001</v>
      </c>
      <c r="AH30" s="27">
        <v>-0.21173</v>
      </c>
      <c r="AI30" s="27">
        <v>6.3130000000000006E-2</v>
      </c>
      <c r="AJ30" s="26" t="e">
        <f t="shared" si="15"/>
        <v>#DIV/0!</v>
      </c>
      <c r="AK30" s="26">
        <f t="shared" si="16"/>
        <v>-2.7469813327798877E-4</v>
      </c>
      <c r="AL30" s="26">
        <f t="shared" si="17"/>
        <v>-3.8650535197501444E-4</v>
      </c>
      <c r="AM30" s="26">
        <f t="shared" si="18"/>
        <v>-1.2069170820207833E-2</v>
      </c>
      <c r="AN30" s="17">
        <f t="shared" si="19"/>
        <v>6.8541175592712042E-2</v>
      </c>
      <c r="AO30" s="17"/>
      <c r="AP30" s="17"/>
      <c r="AQ30" s="22"/>
      <c r="AR30" s="17"/>
      <c r="AS30" s="19"/>
    </row>
    <row r="31" spans="1:45" ht="19" x14ac:dyDescent="0.25">
      <c r="A31" s="25" t="s">
        <v>63</v>
      </c>
      <c r="B31" t="s">
        <v>64</v>
      </c>
      <c r="C31" s="24">
        <v>16.72</v>
      </c>
      <c r="D31" s="17" t="e">
        <f t="shared" si="21"/>
        <v>#DIV/0!</v>
      </c>
      <c r="E31" s="24">
        <f t="shared" si="26"/>
        <v>27.163582603609893</v>
      </c>
      <c r="F31" s="17">
        <v>0.61553000000000002</v>
      </c>
      <c r="G31" s="24">
        <f>0.175+8.43</f>
        <v>8.6050000000000004</v>
      </c>
      <c r="H31" s="24">
        <f>0.846+0.136</f>
        <v>0.98199999999999998</v>
      </c>
      <c r="I31" s="17">
        <f>H31/G31</f>
        <v>0.11411969785008715</v>
      </c>
      <c r="J31" s="17" t="s">
        <v>97</v>
      </c>
      <c r="K31" s="17"/>
      <c r="L31" s="24">
        <f t="shared" si="23"/>
        <v>24.343</v>
      </c>
      <c r="M31" s="33">
        <f t="shared" si="3"/>
        <v>8.188379748843977E-4</v>
      </c>
      <c r="N31" s="34">
        <v>3.81</v>
      </c>
      <c r="O31" s="33">
        <f t="shared" si="4"/>
        <v>1.5962813437119579E-3</v>
      </c>
      <c r="P31" s="36">
        <f t="shared" si="5"/>
        <v>1.9494471344435613</v>
      </c>
      <c r="Q31" s="36"/>
      <c r="R31" s="35">
        <v>1.18</v>
      </c>
      <c r="S31" s="35"/>
      <c r="T31" s="35">
        <f t="shared" si="25"/>
        <v>3.42</v>
      </c>
      <c r="U31" s="34">
        <v>2.0640000000000001</v>
      </c>
      <c r="V31" s="17">
        <f t="shared" si="7"/>
        <v>11.794089147286821</v>
      </c>
      <c r="W31" s="41">
        <f t="shared" si="8"/>
        <v>6.3892388451443569</v>
      </c>
      <c r="X31" s="41">
        <f t="shared" si="9"/>
        <v>20.629661016949154</v>
      </c>
      <c r="Y31" s="41">
        <f t="shared" si="10"/>
        <v>7.1178362573099418</v>
      </c>
      <c r="Z31" s="28">
        <f t="shared" si="11"/>
        <v>0.30971128608923881</v>
      </c>
      <c r="AA31" s="19">
        <f t="shared" si="12"/>
        <v>0.54173228346456692</v>
      </c>
      <c r="AB31" s="28">
        <f t="shared" si="13"/>
        <v>0.30989488945270022</v>
      </c>
      <c r="AC31" s="29">
        <v>14.32</v>
      </c>
      <c r="AD31" s="27">
        <f>1.11-0.644-3.75</f>
        <v>-3.2839999999999998</v>
      </c>
      <c r="AE31" s="27">
        <f t="shared" si="24"/>
        <v>11.036000000000001</v>
      </c>
      <c r="AF31" s="79">
        <f t="shared" si="20"/>
        <v>2.2057810801014859</v>
      </c>
      <c r="AG31" s="27">
        <v>0.48499999999999999</v>
      </c>
      <c r="AH31" s="27">
        <v>5.0000000000000001E-3</v>
      </c>
      <c r="AI31" s="27">
        <v>1.75</v>
      </c>
      <c r="AJ31" s="26" t="e">
        <f t="shared" si="15"/>
        <v>#DIV/0!</v>
      </c>
      <c r="AK31" s="26">
        <f t="shared" si="16"/>
        <v>2.5360336230015464E-4</v>
      </c>
      <c r="AL31" s="26">
        <f t="shared" si="17"/>
        <v>2.5375370370647336E-4</v>
      </c>
      <c r="AM31" s="26">
        <f t="shared" si="18"/>
        <v>1.6892349849670248E-2</v>
      </c>
      <c r="AN31" s="17">
        <f t="shared" si="19"/>
        <v>9.6574480729703926E-3</v>
      </c>
      <c r="AO31" s="17">
        <v>20</v>
      </c>
      <c r="AP31" s="17">
        <f>AO31*U31</f>
        <v>41.28</v>
      </c>
      <c r="AQ31" s="22">
        <f>AP31-G31+H31</f>
        <v>33.656999999999996</v>
      </c>
      <c r="AR31" s="17">
        <f>AQ31/F31</f>
        <v>54.679706919240324</v>
      </c>
      <c r="AS31" s="19">
        <f>AR31/E31-1</f>
        <v>1.0129784688995218</v>
      </c>
    </row>
    <row r="32" spans="1:45" ht="19" x14ac:dyDescent="0.25">
      <c r="A32" s="25" t="s">
        <v>61</v>
      </c>
      <c r="B32" t="s">
        <v>62</v>
      </c>
      <c r="C32" s="24">
        <v>15.17</v>
      </c>
      <c r="D32" s="17" t="e">
        <f t="shared" si="21"/>
        <v>#DIV/0!</v>
      </c>
      <c r="E32" s="24">
        <f t="shared" si="26"/>
        <v>100.11218900547746</v>
      </c>
      <c r="F32" s="17">
        <v>0.15153</v>
      </c>
      <c r="G32" s="24">
        <f>3.54</f>
        <v>3.54</v>
      </c>
      <c r="H32" s="24">
        <f>0.86444+1.43</f>
        <v>2.2944399999999998</v>
      </c>
      <c r="I32" s="17">
        <f>H32/G32</f>
        <v>0.64814689265536718</v>
      </c>
      <c r="J32" s="17" t="s">
        <v>97</v>
      </c>
      <c r="K32" s="17"/>
      <c r="L32" s="24">
        <f t="shared" si="23"/>
        <v>16.415559999999999</v>
      </c>
      <c r="M32" s="33">
        <f t="shared" si="3"/>
        <v>7.4292895209308093E-4</v>
      </c>
      <c r="N32" s="34">
        <v>3.81</v>
      </c>
      <c r="O32" s="33">
        <f t="shared" si="4"/>
        <v>1.5962813437119579E-3</v>
      </c>
      <c r="P32" s="36">
        <f t="shared" si="5"/>
        <v>2.1486325700656788</v>
      </c>
      <c r="Q32" s="36"/>
      <c r="R32" s="35">
        <v>0.70342000000000005</v>
      </c>
      <c r="S32" s="35"/>
      <c r="T32" s="35">
        <f t="shared" si="25"/>
        <v>0.41345999999999994</v>
      </c>
      <c r="U32" s="34">
        <v>1.3480000000000001</v>
      </c>
      <c r="V32" s="17">
        <f t="shared" si="7"/>
        <v>12.177715133531155</v>
      </c>
      <c r="W32" s="41">
        <f t="shared" si="8"/>
        <v>4.3085459317585295</v>
      </c>
      <c r="X32" s="41">
        <f t="shared" si="9"/>
        <v>23.336783145204855</v>
      </c>
      <c r="Y32" s="41">
        <f t="shared" si="10"/>
        <v>39.702897499153487</v>
      </c>
      <c r="Z32" s="28">
        <f t="shared" si="11"/>
        <v>0.18462467191601051</v>
      </c>
      <c r="AA32" s="19">
        <f t="shared" si="12"/>
        <v>0.35380577427821525</v>
      </c>
      <c r="AB32" s="28">
        <f t="shared" si="13"/>
        <v>-0.46612252260377435</v>
      </c>
      <c r="AC32" s="29">
        <v>0.13297999999999999</v>
      </c>
      <c r="AD32" s="27">
        <f>2.57-1.64-1.95</f>
        <v>-1.02</v>
      </c>
      <c r="AE32" s="27">
        <f t="shared" si="24"/>
        <v>-0.88702000000000003</v>
      </c>
      <c r="AF32" s="79">
        <f t="shared" si="20"/>
        <v>-18.50641473698451</v>
      </c>
      <c r="AG32" s="27">
        <v>0.57077999999999995</v>
      </c>
      <c r="AH32" s="27">
        <f>-0.27213-0.45791</f>
        <v>-0.73004000000000002</v>
      </c>
      <c r="AI32" s="27">
        <v>-0.13070000000000001</v>
      </c>
      <c r="AJ32" s="26" t="e">
        <f t="shared" si="15"/>
        <v>#DIV/0!</v>
      </c>
      <c r="AK32" s="26">
        <f t="shared" si="16"/>
        <v>1.3716301403709054E-4</v>
      </c>
      <c r="AL32" s="26">
        <f t="shared" si="17"/>
        <v>-3.4629591726500548E-4</v>
      </c>
      <c r="AM32" s="26">
        <f t="shared" si="18"/>
        <v>1.7337571847290515E-2</v>
      </c>
      <c r="AN32" s="17">
        <f t="shared" si="19"/>
        <v>9.047177143042354E-3</v>
      </c>
      <c r="AO32" s="17">
        <v>20</v>
      </c>
      <c r="AP32" s="17">
        <f>AO32*U32</f>
        <v>26.96</v>
      </c>
      <c r="AQ32" s="22">
        <f>AP32-G32+H32</f>
        <v>25.714440000000003</v>
      </c>
      <c r="AR32" s="17">
        <f>AQ32/F32</f>
        <v>169.6986735299941</v>
      </c>
      <c r="AS32" s="19">
        <f>AR32/E32-1</f>
        <v>0.69508503625576834</v>
      </c>
    </row>
    <row r="33" spans="1:45" ht="19" x14ac:dyDescent="0.25">
      <c r="A33" s="2" t="s">
        <v>57</v>
      </c>
      <c r="B33" t="s">
        <v>58</v>
      </c>
      <c r="C33" s="24">
        <v>12.62</v>
      </c>
      <c r="D33" s="17" t="e">
        <f t="shared" si="21"/>
        <v>#DIV/0!</v>
      </c>
      <c r="E33" s="24">
        <f t="shared" si="26"/>
        <v>75.016346668251799</v>
      </c>
      <c r="F33" s="17">
        <v>0.16822999999999999</v>
      </c>
      <c r="G33" s="24">
        <f>1.15</f>
        <v>1.1499999999999999</v>
      </c>
      <c r="H33" s="24">
        <f>2.2</f>
        <v>2.2000000000000002</v>
      </c>
      <c r="I33" s="17">
        <f>H33/G33</f>
        <v>1.9130434782608698</v>
      </c>
      <c r="J33" s="17" t="s">
        <v>97</v>
      </c>
      <c r="K33" s="17"/>
      <c r="L33" s="24">
        <f t="shared" si="23"/>
        <v>11.569999999999999</v>
      </c>
      <c r="M33" s="33">
        <f t="shared" si="3"/>
        <v>6.1804636621059204E-4</v>
      </c>
      <c r="N33" s="34">
        <v>2.2599999999999998</v>
      </c>
      <c r="O33" s="33">
        <f t="shared" si="4"/>
        <v>9.4687554771365483E-4</v>
      </c>
      <c r="P33" s="36">
        <f t="shared" si="5"/>
        <v>1.5320461367958567</v>
      </c>
      <c r="Q33" s="36"/>
      <c r="R33" s="35">
        <v>-0.46</v>
      </c>
      <c r="S33" s="35"/>
      <c r="T33" s="35">
        <f t="shared" si="25"/>
        <v>-0.34500000000000003</v>
      </c>
      <c r="U33" s="34">
        <v>0.51200000000000001</v>
      </c>
      <c r="V33" s="17">
        <f t="shared" si="7"/>
        <v>22.597656249999996</v>
      </c>
      <c r="W33" s="41">
        <f t="shared" si="8"/>
        <v>5.1194690265486722</v>
      </c>
      <c r="X33" s="41">
        <f t="shared" si="9"/>
        <v>-25.152173913043473</v>
      </c>
      <c r="Y33" s="41">
        <f t="shared" si="10"/>
        <v>-33.536231884057962</v>
      </c>
      <c r="Z33" s="28">
        <f t="shared" si="11"/>
        <v>-0.2035398230088496</v>
      </c>
      <c r="AA33" s="19">
        <f t="shared" si="12"/>
        <v>0.22654867256637171</v>
      </c>
      <c r="AB33" s="28">
        <f t="shared" si="13"/>
        <v>-6.9696969696969702E-2</v>
      </c>
      <c r="AC33" s="29">
        <v>6.04</v>
      </c>
      <c r="AD33" s="27">
        <f>2.92-2.32-1.69</f>
        <v>-1.0899999999999999</v>
      </c>
      <c r="AE33" s="27">
        <f t="shared" si="24"/>
        <v>4.95</v>
      </c>
      <c r="AF33" s="79">
        <f t="shared" si="20"/>
        <v>2.3373737373737371</v>
      </c>
      <c r="AG33" s="27">
        <v>8.4000000000000005E-2</v>
      </c>
      <c r="AH33" s="27">
        <f>-0.015-0.008</f>
        <v>-2.3E-2</v>
      </c>
      <c r="AI33" s="27">
        <v>5.3999999999999999E-2</v>
      </c>
      <c r="AJ33" s="26" t="e">
        <f t="shared" si="15"/>
        <v>#DIV/0!</v>
      </c>
      <c r="AK33" s="26">
        <f t="shared" si="16"/>
        <v>-1.2579704798976654E-4</v>
      </c>
      <c r="AL33" s="26">
        <f t="shared" si="17"/>
        <v>-4.3075958857101869E-5</v>
      </c>
      <c r="AM33" s="26">
        <f t="shared" si="18"/>
        <v>-1.5545209689253367E-2</v>
      </c>
      <c r="AN33" s="17">
        <f t="shared" si="19"/>
        <v>1.3966399330188572E-2</v>
      </c>
      <c r="AO33" s="17"/>
      <c r="AQ33" s="22"/>
      <c r="AR33" s="17"/>
      <c r="AS33" s="19"/>
    </row>
    <row r="34" spans="1:45" ht="19" x14ac:dyDescent="0.25">
      <c r="A34" s="2" t="s">
        <v>45</v>
      </c>
      <c r="B34" t="s">
        <v>46</v>
      </c>
      <c r="C34" s="24">
        <v>12.4</v>
      </c>
      <c r="D34" s="17" t="e">
        <f t="shared" si="21"/>
        <v>#DIV/0!</v>
      </c>
      <c r="E34" s="24">
        <f t="shared" si="26"/>
        <v>287.36964078794904</v>
      </c>
      <c r="F34" s="17">
        <v>4.3150000000000001E-2</v>
      </c>
      <c r="G34" s="24">
        <f>0.57234</f>
        <v>0.57233999999999996</v>
      </c>
      <c r="H34" s="24">
        <f>0.99342+0.32455</f>
        <v>1.3179699999999999</v>
      </c>
      <c r="I34" s="17">
        <f>H34/G34</f>
        <v>2.3027745745535868</v>
      </c>
      <c r="J34" s="17" t="s">
        <v>97</v>
      </c>
      <c r="K34" s="17"/>
      <c r="L34" s="24">
        <f t="shared" si="23"/>
        <v>11.65437</v>
      </c>
      <c r="M34" s="33">
        <f t="shared" si="3"/>
        <v>6.072721823305342E-4</v>
      </c>
      <c r="N34" s="34">
        <v>0.75188999999999995</v>
      </c>
      <c r="O34" s="33">
        <f t="shared" si="4"/>
        <v>3.1502046706655747E-4</v>
      </c>
      <c r="P34" s="36">
        <f t="shared" si="5"/>
        <v>0.51874674360613793</v>
      </c>
      <c r="Q34" s="36"/>
      <c r="R34" s="35">
        <v>-0.11647</v>
      </c>
      <c r="S34" s="35"/>
      <c r="T34" s="35">
        <f t="shared" si="25"/>
        <v>-0.12936</v>
      </c>
      <c r="U34" s="34">
        <v>5.6203999999999997E-2</v>
      </c>
      <c r="V34" s="17">
        <f t="shared" si="7"/>
        <v>207.35837306953243</v>
      </c>
      <c r="W34" s="41">
        <f t="shared" si="8"/>
        <v>15.500099748633446</v>
      </c>
      <c r="X34" s="41">
        <f t="shared" si="9"/>
        <v>-100.06327809736412</v>
      </c>
      <c r="Y34" s="41">
        <f t="shared" si="10"/>
        <v>-90.092532467532465</v>
      </c>
      <c r="Z34" s="28">
        <f t="shared" si="11"/>
        <v>-0.15490297782920376</v>
      </c>
      <c r="AA34" s="19">
        <f t="shared" si="12"/>
        <v>7.4750295920945883E-2</v>
      </c>
      <c r="AB34" s="28">
        <f t="shared" si="13"/>
        <v>0.30757525322174162</v>
      </c>
      <c r="AC34" s="29">
        <v>0.52942</v>
      </c>
      <c r="AD34" s="27">
        <f>1.59-1.4-1.14</f>
        <v>-0.94999999999999973</v>
      </c>
      <c r="AE34" s="27">
        <f t="shared" si="24"/>
        <v>-0.42057999999999973</v>
      </c>
      <c r="AF34" s="79">
        <f t="shared" si="20"/>
        <v>-27.710233487089276</v>
      </c>
      <c r="AG34" s="27">
        <v>1.925E-2</v>
      </c>
      <c r="AH34" s="27">
        <v>-4.9500000000000004E-3</v>
      </c>
      <c r="AI34" s="27">
        <v>-2.7189999999999999E-2</v>
      </c>
      <c r="AJ34" s="26" t="e">
        <f t="shared" si="15"/>
        <v>#DIV/0!</v>
      </c>
      <c r="AK34" s="26">
        <f t="shared" si="16"/>
        <v>-9.4068269395838924E-5</v>
      </c>
      <c r="AL34" s="26">
        <f t="shared" si="17"/>
        <v>1.8678189525483371E-4</v>
      </c>
      <c r="AM34" s="26">
        <f t="shared" si="18"/>
        <v>-6.0765645261333455E-2</v>
      </c>
      <c r="AN34" s="17">
        <f t="shared" si="19"/>
        <v>0.12592297173844402</v>
      </c>
      <c r="AO34" s="17"/>
      <c r="AQ34" s="22"/>
      <c r="AR34" s="17"/>
      <c r="AS34" s="19"/>
    </row>
    <row r="35" spans="1:45" ht="19" x14ac:dyDescent="0.25">
      <c r="A35" s="2" t="s">
        <v>67</v>
      </c>
      <c r="B35" t="s">
        <v>68</v>
      </c>
      <c r="C35" s="24">
        <v>7.6</v>
      </c>
      <c r="D35" s="17" t="e">
        <f t="shared" si="21"/>
        <v>#DIV/0!</v>
      </c>
      <c r="E35" s="24">
        <f t="shared" si="26"/>
        <v>23.958136309186052</v>
      </c>
      <c r="F35" s="17">
        <v>0.31722</v>
      </c>
      <c r="G35" s="24"/>
      <c r="H35" s="24">
        <f>0.92596+0.2048</f>
        <v>1.13076</v>
      </c>
      <c r="I35" s="17"/>
      <c r="J35" s="17" t="s">
        <v>97</v>
      </c>
      <c r="K35" s="17"/>
      <c r="L35" s="24">
        <f t="shared" si="23"/>
        <v>6.4692399999999992</v>
      </c>
      <c r="M35" s="33">
        <f t="shared" si="3"/>
        <v>3.7219907949290806E-4</v>
      </c>
      <c r="N35" s="34">
        <v>0.62114999999999998</v>
      </c>
      <c r="O35" s="33">
        <f t="shared" si="4"/>
        <v>2.6024413560280386E-4</v>
      </c>
      <c r="P35" s="36">
        <f t="shared" si="5"/>
        <v>0.69920682221290287</v>
      </c>
      <c r="Q35" s="36"/>
      <c r="R35" s="35">
        <v>-0.37170999999999998</v>
      </c>
      <c r="S35" s="35"/>
      <c r="T35" s="35">
        <f t="shared" si="25"/>
        <v>-0.36821999999999999</v>
      </c>
      <c r="U35" s="34">
        <v>-0.68369999999999997</v>
      </c>
      <c r="V35" s="17">
        <f t="shared" si="7"/>
        <v>-9.4621032616644722</v>
      </c>
      <c r="W35" s="41">
        <f t="shared" si="8"/>
        <v>10.414940030588424</v>
      </c>
      <c r="X35" s="41">
        <f t="shared" si="9"/>
        <v>-17.403997740173789</v>
      </c>
      <c r="Y35" s="41">
        <f t="shared" si="10"/>
        <v>-17.568953343110095</v>
      </c>
      <c r="Z35" s="28">
        <f t="shared" si="11"/>
        <v>-0.59842228125251551</v>
      </c>
      <c r="AA35" s="19">
        <f t="shared" si="12"/>
        <v>-1.1007003139338325</v>
      </c>
      <c r="AB35" s="28">
        <f t="shared" si="13"/>
        <v>-0.37931496265773884</v>
      </c>
      <c r="AC35" s="29">
        <v>1.24</v>
      </c>
      <c r="AD35" s="27">
        <f>1.07-0.7732-0.56605</f>
        <v>-0.26924999999999999</v>
      </c>
      <c r="AE35" s="27">
        <f t="shared" si="24"/>
        <v>0.97075</v>
      </c>
      <c r="AF35" s="79">
        <f t="shared" si="20"/>
        <v>6.664166881277362</v>
      </c>
      <c r="AG35" s="27">
        <v>3.891E-2</v>
      </c>
      <c r="AH35" s="27">
        <f>-0.01396-0.0013</f>
        <v>-1.5259999999999999E-2</v>
      </c>
      <c r="AI35" s="27">
        <v>-2.0160000000000001E-2</v>
      </c>
      <c r="AJ35" s="26" t="e">
        <f t="shared" si="15"/>
        <v>#DIV/0!</v>
      </c>
      <c r="AK35" s="26">
        <f t="shared" si="16"/>
        <v>-2.2273222223023241E-4</v>
      </c>
      <c r="AL35" s="26">
        <f t="shared" si="17"/>
        <v>-1.4118067993909719E-4</v>
      </c>
      <c r="AM35" s="26">
        <f t="shared" si="18"/>
        <v>-6.4777519383893362E-3</v>
      </c>
      <c r="AN35" s="17">
        <f t="shared" si="19"/>
        <v>-3.5217861240583593E-3</v>
      </c>
      <c r="AO35" s="17"/>
      <c r="AQ35" s="22"/>
      <c r="AR35" s="17"/>
      <c r="AS35" s="19"/>
    </row>
    <row r="36" spans="1:45" x14ac:dyDescent="0.2">
      <c r="E36" s="16"/>
    </row>
    <row r="37" spans="1:45" x14ac:dyDescent="0.2">
      <c r="E37" s="16"/>
    </row>
    <row r="38" spans="1:45" x14ac:dyDescent="0.2">
      <c r="E38" s="16"/>
    </row>
    <row r="39" spans="1:45" ht="17" x14ac:dyDescent="0.2">
      <c r="A39" s="3" t="s">
        <v>108</v>
      </c>
      <c r="B39" s="6">
        <f>SUM(C2:C30)</f>
        <v>20419.180000000004</v>
      </c>
      <c r="C39" s="6"/>
      <c r="E39" s="16"/>
    </row>
    <row r="40" spans="1:45" ht="17" x14ac:dyDescent="0.2">
      <c r="A40" s="3" t="s">
        <v>103</v>
      </c>
      <c r="B40" s="6">
        <f>SUM(L2:L30)</f>
        <v>20172.878647348105</v>
      </c>
      <c r="C40" s="6"/>
      <c r="E40" s="16"/>
    </row>
    <row r="41" spans="1:45" ht="17" x14ac:dyDescent="0.2">
      <c r="A41" s="3" t="s">
        <v>104</v>
      </c>
      <c r="B41" s="6">
        <f>SUM(N2:N30)</f>
        <v>2386.7972992406894</v>
      </c>
      <c r="C41" s="6"/>
      <c r="E41" s="16"/>
    </row>
    <row r="42" spans="1:45" ht="34" x14ac:dyDescent="0.2">
      <c r="A42" s="3" t="s">
        <v>129</v>
      </c>
      <c r="B42" s="6">
        <f>SUM(R2:R30)</f>
        <v>628.31332572342728</v>
      </c>
      <c r="C42" s="6"/>
      <c r="E42" s="16"/>
    </row>
    <row r="43" spans="1:45" ht="17" x14ac:dyDescent="0.2">
      <c r="A43" s="30" t="s">
        <v>83</v>
      </c>
      <c r="B43" s="32">
        <v>26.26</v>
      </c>
      <c r="E43" s="16"/>
    </row>
    <row r="44" spans="1:45" ht="17" x14ac:dyDescent="0.2">
      <c r="A44" s="30" t="s">
        <v>127</v>
      </c>
      <c r="B44" s="18" t="e">
        <f>AVERAGE(D2:D35)</f>
        <v>#DIV/0!</v>
      </c>
      <c r="C44" s="17"/>
      <c r="E44" s="16"/>
    </row>
    <row r="45" spans="1:45" ht="17" x14ac:dyDescent="0.2">
      <c r="A45" s="30" t="s">
        <v>115</v>
      </c>
      <c r="B45" s="18" t="e">
        <f>SUM(AJ2:AJ35)</f>
        <v>#DIV/0!</v>
      </c>
      <c r="C45" s="17"/>
      <c r="E45" s="16"/>
    </row>
    <row r="46" spans="1:45" ht="17" x14ac:dyDescent="0.2">
      <c r="A46" s="3" t="s">
        <v>85</v>
      </c>
      <c r="B46" s="17" t="e">
        <f>AVERAGE(W2:W30)</f>
        <v>#VALUE!</v>
      </c>
      <c r="C46" s="17"/>
      <c r="E46" s="16"/>
    </row>
    <row r="47" spans="1:45" ht="17" x14ac:dyDescent="0.2">
      <c r="A47" s="3" t="s">
        <v>133</v>
      </c>
      <c r="B47" s="17">
        <f>AVERAGE(X2:X30)</f>
        <v>-995.6942516190154</v>
      </c>
      <c r="C47" s="17"/>
      <c r="E47" s="16"/>
    </row>
    <row r="48" spans="1:45" ht="17" x14ac:dyDescent="0.2">
      <c r="A48" s="30" t="s">
        <v>134</v>
      </c>
      <c r="B48" s="18">
        <f>SUM(AM2:AM30)</f>
        <v>-50.480005138251244</v>
      </c>
      <c r="C48" s="17"/>
      <c r="E48" s="16"/>
    </row>
    <row r="49" spans="1:5" ht="17" x14ac:dyDescent="0.2">
      <c r="A49" s="3" t="s">
        <v>136</v>
      </c>
      <c r="B49" s="19" t="e">
        <f>AVERAGE(AB2:AB30)</f>
        <v>#DIV/0!</v>
      </c>
      <c r="C49" s="37"/>
      <c r="E49" s="16"/>
    </row>
    <row r="50" spans="1:5" ht="17" x14ac:dyDescent="0.2">
      <c r="A50" s="30" t="s">
        <v>137</v>
      </c>
      <c r="B50" s="31" t="e">
        <f>SUM(AL2:AL30)</f>
        <v>#DIV/0!</v>
      </c>
      <c r="C50" s="37"/>
      <c r="E50" s="16"/>
    </row>
    <row r="51" spans="1:5" ht="17" x14ac:dyDescent="0.2">
      <c r="A51" s="3" t="s">
        <v>121</v>
      </c>
      <c r="B51" s="19" t="e">
        <f>AVERAGE(Z2:Z30)</f>
        <v>#VALUE!</v>
      </c>
      <c r="C51" s="37"/>
      <c r="E51" s="16"/>
    </row>
    <row r="52" spans="1:5" ht="17" x14ac:dyDescent="0.2">
      <c r="A52" s="30" t="s">
        <v>132</v>
      </c>
      <c r="B52" s="31" t="e">
        <f>SUM(AK2:AK30)</f>
        <v>#VALUE!</v>
      </c>
      <c r="C52" s="37"/>
      <c r="E52" s="16"/>
    </row>
    <row r="53" spans="1:5" x14ac:dyDescent="0.2">
      <c r="A53" s="3"/>
      <c r="B53" s="17"/>
      <c r="C53" s="17"/>
      <c r="E53" s="16"/>
    </row>
    <row r="54" spans="1:5" ht="17" x14ac:dyDescent="0.2">
      <c r="A54" s="3" t="s">
        <v>84</v>
      </c>
      <c r="B54" s="17">
        <f>AVERAGE(V2:V30)</f>
        <v>37.932277915388973</v>
      </c>
      <c r="C54" s="17"/>
      <c r="E54" s="16"/>
    </row>
    <row r="55" spans="1:5" ht="17" x14ac:dyDescent="0.2">
      <c r="A55" s="3" t="s">
        <v>86</v>
      </c>
      <c r="B55" s="20" t="e">
        <f>AVERAGE(AA2:AA30)</f>
        <v>#VALUE!</v>
      </c>
      <c r="C55" s="20"/>
      <c r="E55" s="16"/>
    </row>
  </sheetData>
  <sortState xmlns:xlrd2="http://schemas.microsoft.com/office/spreadsheetml/2017/richdata2" ref="A2:AS55">
    <sortCondition descending="1" ref="C1:C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644F-A517-F84E-B539-A52460870DE5}">
  <dimension ref="A1:AT27"/>
  <sheetViews>
    <sheetView workbookViewId="0">
      <pane xSplit="4" ySplit="1" topLeftCell="W2" activePane="bottomRight" state="frozen"/>
      <selection pane="topRight" activeCell="E1" sqref="E1"/>
      <selection pane="bottomLeft" activeCell="A2" sqref="A2"/>
      <selection pane="bottomRight" activeCell="AA7" sqref="AA7"/>
    </sheetView>
  </sheetViews>
  <sheetFormatPr baseColWidth="10" defaultRowHeight="16" x14ac:dyDescent="0.2"/>
  <cols>
    <col min="1" max="1" width="17.33203125" bestFit="1" customWidth="1"/>
    <col min="2" max="2" width="13.33203125" bestFit="1" customWidth="1"/>
    <col min="3" max="3" width="10.6640625" bestFit="1" customWidth="1"/>
    <col min="4" max="4" width="8.83203125" bestFit="1" customWidth="1"/>
    <col min="5" max="5" width="10.5" bestFit="1" customWidth="1"/>
    <col min="6" max="6" width="11.83203125" customWidth="1"/>
    <col min="7" max="8" width="9" bestFit="1" customWidth="1"/>
    <col min="9" max="9" width="10.1640625" bestFit="1" customWidth="1"/>
    <col min="10" max="10" width="8.6640625" bestFit="1" customWidth="1"/>
    <col min="11" max="11" width="10.5" bestFit="1" customWidth="1"/>
    <col min="12" max="12" width="6.1640625" bestFit="1" customWidth="1"/>
    <col min="13" max="14" width="8.1640625" bestFit="1" customWidth="1"/>
    <col min="15" max="15" width="9.83203125" bestFit="1" customWidth="1"/>
    <col min="16" max="16" width="9.33203125" bestFit="1" customWidth="1"/>
    <col min="17" max="17" width="9" bestFit="1" customWidth="1"/>
    <col min="18" max="18" width="6.6640625" bestFit="1" customWidth="1"/>
    <col min="19" max="19" width="8.6640625" bestFit="1" customWidth="1"/>
    <col min="20" max="20" width="10.6640625" customWidth="1"/>
    <col min="21" max="21" width="7.6640625" bestFit="1" customWidth="1"/>
    <col min="22" max="23" width="9.33203125" bestFit="1" customWidth="1"/>
    <col min="24" max="24" width="13.6640625" customWidth="1"/>
    <col min="25" max="25" width="9" bestFit="1" customWidth="1"/>
    <col min="27" max="27" width="9.1640625" bestFit="1" customWidth="1"/>
    <col min="28" max="28" width="9" bestFit="1" customWidth="1"/>
    <col min="29" max="29" width="5.83203125" bestFit="1" customWidth="1"/>
    <col min="30" max="30" width="8" bestFit="1" customWidth="1"/>
    <col min="31" max="31" width="8.6640625" bestFit="1" customWidth="1"/>
    <col min="32" max="32" width="9.33203125" bestFit="1" customWidth="1"/>
    <col min="33" max="33" width="13.6640625" customWidth="1"/>
    <col min="34" max="35" width="9.33203125" bestFit="1" customWidth="1"/>
    <col min="36" max="36" width="10" bestFit="1" customWidth="1"/>
    <col min="37" max="37" width="9.33203125" bestFit="1" customWidth="1"/>
    <col min="38" max="38" width="7.83203125" bestFit="1" customWidth="1"/>
    <col min="39" max="39" width="7.1640625" bestFit="1" customWidth="1"/>
    <col min="40" max="40" width="10.5" bestFit="1" customWidth="1"/>
    <col min="41" max="41" width="9.33203125" bestFit="1" customWidth="1"/>
    <col min="42" max="42" width="8.6640625" bestFit="1" customWidth="1"/>
  </cols>
  <sheetData>
    <row r="1" spans="1:46" s="2" customFormat="1" ht="68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101</v>
      </c>
      <c r="L1" s="3" t="s">
        <v>100</v>
      </c>
      <c r="M1" s="3" t="s">
        <v>35</v>
      </c>
      <c r="N1" s="3" t="s">
        <v>105</v>
      </c>
      <c r="O1" s="3" t="s">
        <v>141</v>
      </c>
      <c r="P1" s="3" t="s">
        <v>120</v>
      </c>
      <c r="Q1" s="3" t="s">
        <v>128</v>
      </c>
      <c r="R1" s="3" t="s">
        <v>36</v>
      </c>
      <c r="S1" s="3" t="s">
        <v>37</v>
      </c>
      <c r="T1" s="3" t="s">
        <v>38</v>
      </c>
      <c r="U1" s="3" t="s">
        <v>122</v>
      </c>
      <c r="V1" s="3" t="s">
        <v>130</v>
      </c>
      <c r="W1" s="3" t="s">
        <v>121</v>
      </c>
      <c r="X1" s="3" t="s">
        <v>39</v>
      </c>
      <c r="Y1" s="3" t="s">
        <v>135</v>
      </c>
      <c r="Z1" s="3" t="s">
        <v>124</v>
      </c>
      <c r="AA1" s="3" t="s">
        <v>118</v>
      </c>
      <c r="AB1" s="3" t="s">
        <v>125</v>
      </c>
      <c r="AC1" s="3" t="s">
        <v>140</v>
      </c>
      <c r="AD1" s="3" t="s">
        <v>123</v>
      </c>
      <c r="AE1" s="3" t="s">
        <v>126</v>
      </c>
      <c r="AF1" s="3" t="s">
        <v>119</v>
      </c>
      <c r="AG1" s="3" t="s">
        <v>116</v>
      </c>
      <c r="AH1" s="3" t="s">
        <v>138</v>
      </c>
      <c r="AI1" s="3" t="s">
        <v>139</v>
      </c>
      <c r="AJ1" s="3" t="s">
        <v>131</v>
      </c>
      <c r="AK1" s="3" t="s">
        <v>112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/>
      <c r="AR1" s="3"/>
      <c r="AS1" s="3"/>
      <c r="AT1" s="3"/>
    </row>
    <row r="2" spans="1:46" ht="17" x14ac:dyDescent="0.2">
      <c r="A2" s="2" t="s">
        <v>75</v>
      </c>
      <c r="B2" t="s">
        <v>117</v>
      </c>
      <c r="C2" s="24">
        <f>Overview!C2</f>
        <v>3520</v>
      </c>
      <c r="D2" s="17">
        <f>Overview!D2</f>
        <v>34.523342487249899</v>
      </c>
      <c r="E2" s="24">
        <f t="shared" ref="E2:E7" si="0">C2/F2</f>
        <v>231.57894736842107</v>
      </c>
      <c r="F2">
        <v>15.2</v>
      </c>
      <c r="G2" s="24">
        <f>15.11+86.2</f>
        <v>101.31</v>
      </c>
      <c r="H2" s="24">
        <f>61.8+91.24</f>
        <v>153.04</v>
      </c>
      <c r="I2" s="17">
        <f t="shared" ref="I2:I7" si="1">H2/G2</f>
        <v>1.5106109959530154</v>
      </c>
      <c r="J2" s="17" t="s">
        <v>97</v>
      </c>
      <c r="K2" s="24">
        <f t="shared" ref="K2:K7" si="2">G2-H2+C2</f>
        <v>3468.27</v>
      </c>
      <c r="L2" s="33">
        <f t="shared" ref="L2:L7" si="3">C2/B$11</f>
        <v>0.22651222651222652</v>
      </c>
      <c r="M2" s="34">
        <v>383.29</v>
      </c>
      <c r="N2" s="33">
        <f t="shared" ref="N2:N7" si="4">M2/B$13</f>
        <v>0.22461776478103151</v>
      </c>
      <c r="O2" s="36">
        <f t="shared" ref="O2:O7" si="5">N2/L2</f>
        <v>0.99163638201625837</v>
      </c>
      <c r="P2" s="35">
        <v>114.3</v>
      </c>
      <c r="Q2" s="35">
        <f t="shared" ref="Q2:Q7" si="6">P2+AD2+AE2+AF2</f>
        <v>108.27999999999999</v>
      </c>
      <c r="R2" s="34">
        <v>110.54300000000001</v>
      </c>
      <c r="S2" s="73">
        <f t="shared" ref="S2:S7" si="7">K2/R2</f>
        <v>31.37484960603566</v>
      </c>
      <c r="T2" s="73">
        <f t="shared" ref="T2:T7" si="8">K2/M2</f>
        <v>9.04868376425161</v>
      </c>
      <c r="U2" s="72">
        <f t="shared" ref="U2:U7" si="9">K2/P2</f>
        <v>30.343569553805775</v>
      </c>
      <c r="V2" s="73">
        <f t="shared" ref="V2:V7" si="10">K2/Q2</f>
        <v>32.030568895456227</v>
      </c>
      <c r="W2" s="74">
        <f t="shared" ref="W2:W7" si="11">P2/M2</f>
        <v>0.29820762347047924</v>
      </c>
      <c r="X2" s="75">
        <f t="shared" ref="X2:X7" si="12">R2/M2</f>
        <v>0.28840564585561845</v>
      </c>
      <c r="Y2" s="74">
        <f t="shared" ref="Y2:Y7" si="13">Q2/AB2</f>
        <v>0.78350217076700435</v>
      </c>
      <c r="Z2" s="29">
        <v>206.18</v>
      </c>
      <c r="AA2" s="27">
        <f>125.44-61.8-131.62</f>
        <v>-67.98</v>
      </c>
      <c r="AB2" s="27">
        <f t="shared" ref="AB2:AB7" si="14">SUM(Z2:AA2)</f>
        <v>138.19999999999999</v>
      </c>
      <c r="AC2" s="19">
        <f t="shared" ref="AC2:AC7" si="15">AB2/K2</f>
        <v>3.9846955398512802E-2</v>
      </c>
      <c r="AD2" s="27">
        <v>11.52</v>
      </c>
      <c r="AE2" s="27">
        <v>-10.96</v>
      </c>
      <c r="AF2" s="27">
        <v>-6.58</v>
      </c>
      <c r="AG2" s="26">
        <f t="shared" ref="AG2:AG7" si="16">D2*L2</f>
        <v>7.8199591734311227</v>
      </c>
      <c r="AH2" s="26">
        <f t="shared" ref="AH2:AH7" si="17">W2*L2</f>
        <v>6.7547672755217947E-2</v>
      </c>
      <c r="AI2" s="26">
        <f t="shared" ref="AI2:AI7" si="18">Y2*L2</f>
        <v>0.17747282117759688</v>
      </c>
      <c r="AJ2" s="26">
        <f t="shared" ref="AJ2:AJ7" si="19">U2*L2</f>
        <v>6.8731894999611542</v>
      </c>
      <c r="AK2" s="17">
        <f t="shared" ref="AK2:AK7" si="20">L2*S2</f>
        <v>7.1067870407493903</v>
      </c>
      <c r="AR2" s="17"/>
      <c r="AS2" s="17"/>
      <c r="AT2" s="19"/>
    </row>
    <row r="3" spans="1:46" ht="17" x14ac:dyDescent="0.2">
      <c r="A3" s="2" t="s">
        <v>70</v>
      </c>
      <c r="B3" t="s">
        <v>77</v>
      </c>
      <c r="C3" s="24">
        <f>Overview!C3</f>
        <v>3120</v>
      </c>
      <c r="D3" s="17">
        <f>Overview!D3</f>
        <v>35.398230088495573</v>
      </c>
      <c r="E3" s="24">
        <f t="shared" si="0"/>
        <v>419.91924629878872</v>
      </c>
      <c r="F3">
        <v>7.43</v>
      </c>
      <c r="G3" s="24">
        <f>8.94+42.69</f>
        <v>51.629999999999995</v>
      </c>
      <c r="H3" s="24">
        <f>75.53+14.6</f>
        <v>90.13</v>
      </c>
      <c r="I3" s="17">
        <f t="shared" si="1"/>
        <v>1.7456904900251793</v>
      </c>
      <c r="J3" s="17" t="s">
        <v>97</v>
      </c>
      <c r="K3" s="24">
        <f t="shared" si="2"/>
        <v>3081.5</v>
      </c>
      <c r="L3" s="33">
        <f t="shared" si="3"/>
        <v>0.20077220077220076</v>
      </c>
      <c r="M3" s="34">
        <v>245.12</v>
      </c>
      <c r="N3" s="33">
        <f t="shared" si="4"/>
        <v>0.1436466031024197</v>
      </c>
      <c r="O3" s="36">
        <f t="shared" si="5"/>
        <v>0.71547058083705195</v>
      </c>
      <c r="P3" s="35">
        <v>109.43</v>
      </c>
      <c r="Q3" s="35">
        <f t="shared" si="6"/>
        <v>89.06</v>
      </c>
      <c r="R3" s="34">
        <v>118.548</v>
      </c>
      <c r="S3" s="73">
        <f t="shared" si="7"/>
        <v>25.993690319533016</v>
      </c>
      <c r="T3" s="73">
        <f t="shared" si="8"/>
        <v>12.57139360313316</v>
      </c>
      <c r="U3" s="72">
        <f t="shared" si="9"/>
        <v>28.159554052819153</v>
      </c>
      <c r="V3" s="73">
        <f t="shared" si="10"/>
        <v>34.600269481248596</v>
      </c>
      <c r="W3" s="74">
        <f t="shared" si="11"/>
        <v>0.44643439947780683</v>
      </c>
      <c r="X3" s="75">
        <f t="shared" si="12"/>
        <v>0.48363250652741513</v>
      </c>
      <c r="Y3" s="74">
        <f t="shared" si="13"/>
        <v>0.28605383182372973</v>
      </c>
      <c r="Z3" s="29">
        <v>352.43</v>
      </c>
      <c r="AA3" s="27">
        <f>159.73-75.53-125.29</f>
        <v>-41.090000000000018</v>
      </c>
      <c r="AB3" s="27">
        <f t="shared" si="14"/>
        <v>311.33999999999997</v>
      </c>
      <c r="AC3" s="19">
        <f t="shared" si="15"/>
        <v>0.10103521012493914</v>
      </c>
      <c r="AD3" s="27">
        <v>22.29</v>
      </c>
      <c r="AE3" s="27">
        <v>-44.48</v>
      </c>
      <c r="AF3" s="27">
        <v>1.82</v>
      </c>
      <c r="AG3" s="26">
        <f t="shared" si="16"/>
        <v>7.106980558307991</v>
      </c>
      <c r="AH3" s="26">
        <f t="shared" si="17"/>
        <v>8.9631616883575113E-2</v>
      </c>
      <c r="AI3" s="26">
        <f t="shared" si="18"/>
        <v>5.7431657354571217E-2</v>
      </c>
      <c r="AJ3" s="26">
        <f t="shared" si="19"/>
        <v>5.6536556399482469</v>
      </c>
      <c r="AK3" s="17">
        <f t="shared" si="20"/>
        <v>5.2188104116436937</v>
      </c>
      <c r="AR3" s="17"/>
      <c r="AS3" s="17"/>
      <c r="AT3" s="19"/>
    </row>
    <row r="4" spans="1:46" ht="17" x14ac:dyDescent="0.2">
      <c r="A4" s="2" t="s">
        <v>73</v>
      </c>
      <c r="B4" t="s">
        <v>79</v>
      </c>
      <c r="C4" s="24">
        <f>Overview!C4</f>
        <v>3390</v>
      </c>
      <c r="D4" s="17">
        <f>Overview!D4</f>
        <v>53.84371029224905</v>
      </c>
      <c r="E4" s="24">
        <f t="shared" si="0"/>
        <v>137.80487804878047</v>
      </c>
      <c r="F4">
        <v>24.6</v>
      </c>
      <c r="G4" s="24">
        <f>1.25+8.46</f>
        <v>9.7100000000000009</v>
      </c>
      <c r="H4" s="24">
        <f>31.44+1.75</f>
        <v>33.19</v>
      </c>
      <c r="I4" s="17">
        <f t="shared" si="1"/>
        <v>3.4181256436663228</v>
      </c>
      <c r="J4" s="17" t="s">
        <v>97</v>
      </c>
      <c r="K4" s="24">
        <f t="shared" si="2"/>
        <v>3366.52</v>
      </c>
      <c r="L4" s="33">
        <f t="shared" si="3"/>
        <v>0.21814671814671815</v>
      </c>
      <c r="M4" s="34">
        <v>60.92</v>
      </c>
      <c r="N4" s="33">
        <f t="shared" si="4"/>
        <v>3.5700681547810899E-2</v>
      </c>
      <c r="O4" s="36">
        <f t="shared" si="5"/>
        <v>0.16365445169704465</v>
      </c>
      <c r="P4" s="35">
        <v>16.91</v>
      </c>
      <c r="Q4" s="35">
        <f t="shared" si="6"/>
        <v>13.63</v>
      </c>
      <c r="R4" s="34">
        <v>28.09</v>
      </c>
      <c r="S4" s="73">
        <f t="shared" si="7"/>
        <v>119.84763260946956</v>
      </c>
      <c r="T4" s="73">
        <f t="shared" si="8"/>
        <v>55.261326329612608</v>
      </c>
      <c r="U4" s="72">
        <f t="shared" si="9"/>
        <v>199.08456534594913</v>
      </c>
      <c r="V4" s="73">
        <f t="shared" si="10"/>
        <v>246.99339691856198</v>
      </c>
      <c r="W4" s="74">
        <f t="shared" si="11"/>
        <v>0.27757715036112934</v>
      </c>
      <c r="X4" s="75">
        <f t="shared" si="12"/>
        <v>0.46109652002626395</v>
      </c>
      <c r="Y4" s="74">
        <f t="shared" si="13"/>
        <v>0.44820782637290374</v>
      </c>
      <c r="Z4" s="29">
        <v>23.34</v>
      </c>
      <c r="AA4" s="27">
        <f>53.73-31.44-15.22</f>
        <v>7.069999999999995</v>
      </c>
      <c r="AB4" s="27">
        <f t="shared" si="14"/>
        <v>30.409999999999997</v>
      </c>
      <c r="AC4" s="19">
        <f t="shared" si="15"/>
        <v>9.0330667870679501E-3</v>
      </c>
      <c r="AD4" s="27">
        <v>1.51</v>
      </c>
      <c r="AE4" s="27">
        <v>-1.07</v>
      </c>
      <c r="AF4" s="27">
        <v>-3.72</v>
      </c>
      <c r="AG4" s="26">
        <f t="shared" si="16"/>
        <v>11.745828693096801</v>
      </c>
      <c r="AH4" s="26">
        <f t="shared" si="17"/>
        <v>6.0552544383798486E-2</v>
      </c>
      <c r="AI4" s="26">
        <f t="shared" si="18"/>
        <v>9.7775066370923022E-2</v>
      </c>
      <c r="AJ4" s="26">
        <f t="shared" si="19"/>
        <v>43.429644563884658</v>
      </c>
      <c r="AK4" s="17">
        <f t="shared" si="20"/>
        <v>26.144367731409382</v>
      </c>
      <c r="AR4" s="17"/>
      <c r="AS4" s="17"/>
      <c r="AT4" s="19"/>
    </row>
    <row r="5" spans="1:46" ht="17" x14ac:dyDescent="0.2">
      <c r="A5" s="2" t="s">
        <v>71</v>
      </c>
      <c r="B5" t="s">
        <v>82</v>
      </c>
      <c r="C5" s="24">
        <f>Overview!C5</f>
        <v>2050</v>
      </c>
      <c r="D5" s="17">
        <f>Overview!D5</f>
        <v>23.242630385487526</v>
      </c>
      <c r="E5" s="24">
        <f t="shared" si="0"/>
        <v>166.53127538586514</v>
      </c>
      <c r="F5">
        <v>12.31</v>
      </c>
      <c r="G5" s="24">
        <f>11.88</f>
        <v>11.88</v>
      </c>
      <c r="H5" s="24">
        <f>100.73+34.17</f>
        <v>134.9</v>
      </c>
      <c r="I5" s="17">
        <f t="shared" si="1"/>
        <v>11.355218855218855</v>
      </c>
      <c r="J5" s="17" t="s">
        <v>97</v>
      </c>
      <c r="K5" s="24">
        <f t="shared" si="2"/>
        <v>1926.98</v>
      </c>
      <c r="L5" s="33">
        <f t="shared" si="3"/>
        <v>0.13191763191763192</v>
      </c>
      <c r="M5" s="34">
        <v>307.39</v>
      </c>
      <c r="N5" s="33">
        <f t="shared" si="4"/>
        <v>0.18013841925445817</v>
      </c>
      <c r="O5" s="36">
        <f t="shared" si="5"/>
        <v>1.3655370903484292</v>
      </c>
      <c r="P5" s="35">
        <v>84.29</v>
      </c>
      <c r="Q5" s="35">
        <f t="shared" si="6"/>
        <v>60.140000000000008</v>
      </c>
      <c r="R5" s="34">
        <v>101.746</v>
      </c>
      <c r="S5" s="73">
        <f t="shared" si="7"/>
        <v>18.939122913922908</v>
      </c>
      <c r="T5" s="73">
        <f t="shared" si="8"/>
        <v>6.2688441393669283</v>
      </c>
      <c r="U5" s="72">
        <f t="shared" si="9"/>
        <v>22.861312136671014</v>
      </c>
      <c r="V5" s="73">
        <f t="shared" si="10"/>
        <v>32.041569670768205</v>
      </c>
      <c r="W5" s="74">
        <f t="shared" si="11"/>
        <v>0.27421191320472366</v>
      </c>
      <c r="X5" s="75">
        <f t="shared" si="12"/>
        <v>0.33099970721233613</v>
      </c>
      <c r="Y5" s="74">
        <f t="shared" si="13"/>
        <v>0.25467942745828748</v>
      </c>
      <c r="Z5" s="29">
        <v>252.78</v>
      </c>
      <c r="AA5" s="27">
        <f>162-100.73-77.91</f>
        <v>-16.64</v>
      </c>
      <c r="AB5" s="27">
        <f t="shared" si="14"/>
        <v>236.14</v>
      </c>
      <c r="AC5" s="19">
        <f t="shared" si="15"/>
        <v>0.12254408452604593</v>
      </c>
      <c r="AD5" s="27">
        <v>11.95</v>
      </c>
      <c r="AE5" s="27">
        <v>-32.25</v>
      </c>
      <c r="AF5" s="27">
        <v>-3.85</v>
      </c>
      <c r="AG5" s="26">
        <f t="shared" si="16"/>
        <v>3.0661127599903111</v>
      </c>
      <c r="AH5" s="26">
        <f t="shared" si="17"/>
        <v>3.6173386233570366E-2</v>
      </c>
      <c r="AI5" s="26">
        <f t="shared" si="18"/>
        <v>3.3596706968435606E-2</v>
      </c>
      <c r="AJ5" s="26">
        <f t="shared" si="19"/>
        <v>3.0158101595994582</v>
      </c>
      <c r="AK5" s="17">
        <f t="shared" si="20"/>
        <v>2.4984042454016708</v>
      </c>
      <c r="AL5" s="17"/>
      <c r="AM5" s="17"/>
      <c r="AN5" s="22"/>
      <c r="AO5" s="17"/>
      <c r="AP5" s="19"/>
      <c r="AR5" s="17"/>
      <c r="AS5" s="17"/>
      <c r="AT5" s="19"/>
    </row>
    <row r="6" spans="1:46" ht="17" x14ac:dyDescent="0.2">
      <c r="A6" s="2" t="s">
        <v>69</v>
      </c>
      <c r="B6" t="s">
        <v>76</v>
      </c>
      <c r="C6" s="24">
        <f>Overview!C6</f>
        <v>1970</v>
      </c>
      <c r="D6" s="17">
        <f>Overview!D6</f>
        <v>44.349392165691128</v>
      </c>
      <c r="E6" s="24">
        <f t="shared" si="0"/>
        <v>187.61904761904762</v>
      </c>
      <c r="F6">
        <v>10.5</v>
      </c>
      <c r="G6" s="24">
        <v>54.89</v>
      </c>
      <c r="H6" s="24">
        <f>89.09</f>
        <v>89.09</v>
      </c>
      <c r="I6" s="17">
        <f t="shared" si="1"/>
        <v>1.6230643104390601</v>
      </c>
      <c r="J6" s="17" t="s">
        <v>97</v>
      </c>
      <c r="K6" s="24">
        <f t="shared" si="2"/>
        <v>1935.8</v>
      </c>
      <c r="L6" s="33">
        <f t="shared" si="3"/>
        <v>0.12676962676962678</v>
      </c>
      <c r="M6" s="34">
        <v>574.79</v>
      </c>
      <c r="N6" s="33">
        <f t="shared" si="4"/>
        <v>0.33684167345479687</v>
      </c>
      <c r="O6" s="36">
        <f t="shared" si="5"/>
        <v>2.657116551008905</v>
      </c>
      <c r="P6" s="35">
        <v>36.85</v>
      </c>
      <c r="Q6" s="35">
        <f t="shared" si="6"/>
        <v>25.839999999999989</v>
      </c>
      <c r="R6" s="34">
        <v>84.945999999999998</v>
      </c>
      <c r="S6" s="73">
        <f t="shared" si="7"/>
        <v>22.788595107480045</v>
      </c>
      <c r="T6" s="73">
        <f t="shared" si="8"/>
        <v>3.3678386889124727</v>
      </c>
      <c r="U6" s="72">
        <f t="shared" si="9"/>
        <v>52.531886024423336</v>
      </c>
      <c r="V6" s="73">
        <f t="shared" si="10"/>
        <v>74.914860681114575</v>
      </c>
      <c r="W6" s="74">
        <f t="shared" si="11"/>
        <v>6.4110370744097853E-2</v>
      </c>
      <c r="X6" s="75">
        <f t="shared" si="12"/>
        <v>0.14778614798448128</v>
      </c>
      <c r="Y6" s="74">
        <f t="shared" si="13"/>
        <v>5.5482790457990656E-2</v>
      </c>
      <c r="Z6" s="29">
        <v>381.51</v>
      </c>
      <c r="AA6" s="27">
        <f>173.31-89.09</f>
        <v>84.22</v>
      </c>
      <c r="AB6" s="27">
        <f t="shared" si="14"/>
        <v>465.73</v>
      </c>
      <c r="AC6" s="19">
        <f t="shared" si="15"/>
        <v>0.24058787064779422</v>
      </c>
      <c r="AD6" s="27">
        <v>48.66</v>
      </c>
      <c r="AE6" s="27">
        <v>-48.13</v>
      </c>
      <c r="AF6" s="27">
        <v>-11.54</v>
      </c>
      <c r="AG6" s="26">
        <f t="shared" si="16"/>
        <v>5.6221558923044741</v>
      </c>
      <c r="AH6" s="26">
        <f t="shared" si="17"/>
        <v>8.1272477712916839E-3</v>
      </c>
      <c r="AI6" s="26">
        <f t="shared" si="18"/>
        <v>7.033532638496885E-3</v>
      </c>
      <c r="AJ6" s="26">
        <f t="shared" si="19"/>
        <v>6.6594475848207191</v>
      </c>
      <c r="AK6" s="17">
        <f t="shared" si="20"/>
        <v>2.8889016963793881</v>
      </c>
      <c r="AL6" s="17"/>
      <c r="AM6" s="17"/>
      <c r="AN6" s="22"/>
      <c r="AO6" s="17"/>
      <c r="AP6" s="19"/>
      <c r="AR6" s="17"/>
      <c r="AS6" s="17"/>
      <c r="AT6" s="19"/>
    </row>
    <row r="7" spans="1:46" ht="17" x14ac:dyDescent="0.2">
      <c r="A7" s="2" t="s">
        <v>81</v>
      </c>
      <c r="B7" t="s">
        <v>0</v>
      </c>
      <c r="C7" s="24">
        <f>Overview!C7</f>
        <v>1490</v>
      </c>
      <c r="D7" s="17">
        <f>Overview!D7</f>
        <v>28.965785381026439</v>
      </c>
      <c r="E7" s="24">
        <f t="shared" si="0"/>
        <v>588.93280632411074</v>
      </c>
      <c r="F7">
        <v>2.5299999999999998</v>
      </c>
      <c r="G7" s="24">
        <f>18.39</f>
        <v>18.39</v>
      </c>
      <c r="H7" s="24">
        <f>58.08+6.21</f>
        <v>64.289999999999992</v>
      </c>
      <c r="I7" s="17">
        <f t="shared" si="1"/>
        <v>3.4959216965742246</v>
      </c>
      <c r="J7" s="17" t="s">
        <v>97</v>
      </c>
      <c r="K7" s="24">
        <f t="shared" si="2"/>
        <v>1444.1</v>
      </c>
      <c r="L7" s="33">
        <f t="shared" si="3"/>
        <v>9.588159588159588E-2</v>
      </c>
      <c r="M7" s="34">
        <v>134.9</v>
      </c>
      <c r="N7" s="33">
        <f t="shared" si="4"/>
        <v>7.9054857859482769E-2</v>
      </c>
      <c r="O7" s="36">
        <f t="shared" si="5"/>
        <v>0.8245050276082968</v>
      </c>
      <c r="P7" s="35">
        <v>46.75</v>
      </c>
      <c r="Q7" s="35">
        <f t="shared" si="6"/>
        <v>34.72</v>
      </c>
      <c r="R7" s="34">
        <v>71.11</v>
      </c>
      <c r="S7" s="73">
        <f t="shared" si="7"/>
        <v>20.307973562086907</v>
      </c>
      <c r="T7" s="73">
        <f t="shared" si="8"/>
        <v>10.704966641957004</v>
      </c>
      <c r="U7" s="72">
        <f t="shared" si="9"/>
        <v>30.889839572192511</v>
      </c>
      <c r="V7" s="73">
        <f t="shared" si="10"/>
        <v>41.592741935483872</v>
      </c>
      <c r="W7" s="74">
        <f t="shared" si="11"/>
        <v>0.34655300222386953</v>
      </c>
      <c r="X7" s="75">
        <f t="shared" si="12"/>
        <v>0.5271312083024462</v>
      </c>
      <c r="Y7" s="74">
        <f t="shared" si="13"/>
        <v>0.20167286245353155</v>
      </c>
      <c r="Z7" s="29">
        <v>153.81</v>
      </c>
      <c r="AA7" s="27">
        <f>76.43-58.08</f>
        <v>18.350000000000009</v>
      </c>
      <c r="AB7" s="27">
        <f t="shared" si="14"/>
        <v>172.16000000000003</v>
      </c>
      <c r="AC7" s="19">
        <f t="shared" si="15"/>
        <v>0.1192161207672599</v>
      </c>
      <c r="AD7" s="27">
        <v>11.18</v>
      </c>
      <c r="AE7" s="27">
        <v>-27.05</v>
      </c>
      <c r="AF7" s="27">
        <v>3.84</v>
      </c>
      <c r="AG7" s="26">
        <f t="shared" si="16"/>
        <v>2.7772857282966146</v>
      </c>
      <c r="AH7" s="26">
        <f t="shared" si="17"/>
        <v>3.3228054910782859E-2</v>
      </c>
      <c r="AI7" s="26">
        <f t="shared" si="18"/>
        <v>1.9336715898054184E-2</v>
      </c>
      <c r="AJ7" s="26">
        <f t="shared" si="19"/>
        <v>2.9617671147082909</v>
      </c>
      <c r="AK7" s="17">
        <f t="shared" si="20"/>
        <v>1.9471609142541499</v>
      </c>
      <c r="AL7" s="23"/>
      <c r="AM7" s="17"/>
      <c r="AN7" s="22"/>
      <c r="AO7" s="17"/>
      <c r="AP7" s="19"/>
      <c r="AR7" s="17"/>
      <c r="AS7" s="17"/>
      <c r="AT7" s="19"/>
    </row>
    <row r="8" spans="1:46" x14ac:dyDescent="0.2">
      <c r="A8" s="2"/>
      <c r="I8" s="16"/>
      <c r="J8" s="16"/>
      <c r="K8" s="16"/>
      <c r="L8" s="16"/>
      <c r="M8" s="16"/>
      <c r="Z8" s="2"/>
    </row>
    <row r="9" spans="1:46" x14ac:dyDescent="0.2">
      <c r="A9" s="2"/>
      <c r="I9" s="16"/>
      <c r="J9" s="16"/>
      <c r="K9" s="16"/>
      <c r="L9" s="16"/>
      <c r="M9" s="16"/>
      <c r="Z9" s="2"/>
    </row>
    <row r="10" spans="1:46" x14ac:dyDescent="0.2">
      <c r="A10" s="2"/>
      <c r="I10" s="16"/>
      <c r="J10" s="16"/>
      <c r="K10" s="16"/>
      <c r="L10" s="16"/>
      <c r="M10" s="16"/>
      <c r="Z10" s="2"/>
    </row>
    <row r="11" spans="1:46" ht="34" x14ac:dyDescent="0.2">
      <c r="A11" s="3" t="s">
        <v>108</v>
      </c>
      <c r="B11" s="6">
        <f>SUM(C2:C7)</f>
        <v>15540</v>
      </c>
      <c r="C11" s="6"/>
      <c r="E11" s="16"/>
      <c r="Z11" s="2"/>
    </row>
    <row r="12" spans="1:46" ht="34" x14ac:dyDescent="0.2">
      <c r="A12" s="3" t="s">
        <v>103</v>
      </c>
      <c r="B12" s="6">
        <f>SUM(K2:K7)</f>
        <v>15223.17</v>
      </c>
      <c r="C12" s="6"/>
      <c r="E12" s="16"/>
      <c r="Z12" s="2"/>
    </row>
    <row r="13" spans="1:46" ht="34" x14ac:dyDescent="0.2">
      <c r="A13" s="3" t="s">
        <v>104</v>
      </c>
      <c r="B13" s="6">
        <f>SUM(M2:M7)</f>
        <v>1706.41</v>
      </c>
      <c r="C13" s="6"/>
      <c r="E13" s="16"/>
      <c r="Z13" s="2"/>
    </row>
    <row r="14" spans="1:46" ht="34" x14ac:dyDescent="0.2">
      <c r="A14" s="3" t="s">
        <v>129</v>
      </c>
      <c r="B14" s="6">
        <f>SUM(P2:P7)</f>
        <v>408.53000000000003</v>
      </c>
      <c r="C14" s="6"/>
      <c r="E14" s="16"/>
      <c r="Z14" s="2"/>
    </row>
    <row r="15" spans="1:46" ht="17" x14ac:dyDescent="0.2">
      <c r="A15" s="30" t="s">
        <v>83</v>
      </c>
      <c r="B15" s="32">
        <v>26.26</v>
      </c>
      <c r="C15" s="32"/>
      <c r="E15" s="16"/>
      <c r="Z15" s="2"/>
    </row>
    <row r="16" spans="1:46" ht="17" x14ac:dyDescent="0.2">
      <c r="A16" s="30" t="s">
        <v>127</v>
      </c>
      <c r="B16" s="18">
        <f>AVERAGE(D2:D7)</f>
        <v>36.720515133366611</v>
      </c>
      <c r="C16" s="18"/>
      <c r="E16" s="16"/>
      <c r="Z16" s="2"/>
    </row>
    <row r="17" spans="1:26" ht="17" x14ac:dyDescent="0.2">
      <c r="A17" s="30" t="s">
        <v>115</v>
      </c>
      <c r="B17" s="18">
        <f>SUM(AG2:AG7)</f>
        <v>38.138322805427315</v>
      </c>
      <c r="C17" s="18"/>
      <c r="E17" s="16"/>
      <c r="Z17" s="2"/>
    </row>
    <row r="18" spans="1:26" ht="17" x14ac:dyDescent="0.2">
      <c r="A18" s="3" t="s">
        <v>85</v>
      </c>
      <c r="B18" s="17">
        <f>AVERAGE(T2:T7)</f>
        <v>16.203842194538964</v>
      </c>
      <c r="C18" s="17"/>
      <c r="E18" s="16"/>
      <c r="Z18" s="2"/>
    </row>
    <row r="19" spans="1:26" ht="17" x14ac:dyDescent="0.2">
      <c r="A19" s="3" t="s">
        <v>133</v>
      </c>
      <c r="B19" s="17">
        <f>AVERAGE(U2:U7)</f>
        <v>60.64512111431015</v>
      </c>
      <c r="C19" s="17"/>
      <c r="E19" s="16"/>
      <c r="Z19" s="2"/>
    </row>
    <row r="20" spans="1:26" ht="17" x14ac:dyDescent="0.2">
      <c r="A20" s="30" t="s">
        <v>134</v>
      </c>
      <c r="B20" s="18">
        <f>SUM(AJ2:AJ7)</f>
        <v>68.593514562922536</v>
      </c>
      <c r="C20" s="18"/>
      <c r="E20" s="16"/>
      <c r="Z20" s="2"/>
    </row>
    <row r="21" spans="1:26" ht="17" x14ac:dyDescent="0.2">
      <c r="A21" s="3" t="s">
        <v>136</v>
      </c>
      <c r="B21" s="19">
        <f>AVERAGE(Y2:Y7)</f>
        <v>0.33826648488890793</v>
      </c>
      <c r="C21" s="19"/>
      <c r="E21" s="16"/>
      <c r="Z21" s="2"/>
    </row>
    <row r="22" spans="1:26" ht="17" x14ac:dyDescent="0.2">
      <c r="A22" s="30" t="s">
        <v>137</v>
      </c>
      <c r="B22" s="31">
        <f>SUM(AI2:AI7)</f>
        <v>0.3926465004080778</v>
      </c>
      <c r="C22" s="31"/>
      <c r="E22" s="16"/>
      <c r="Z22" s="2"/>
    </row>
    <row r="23" spans="1:26" ht="17" x14ac:dyDescent="0.2">
      <c r="A23" s="3" t="s">
        <v>121</v>
      </c>
      <c r="B23" s="19">
        <f>AVERAGE(W2:W7)</f>
        <v>0.28451574324701773</v>
      </c>
      <c r="C23" s="19"/>
      <c r="E23" s="16"/>
      <c r="Z23" s="2"/>
    </row>
    <row r="24" spans="1:26" ht="34" x14ac:dyDescent="0.2">
      <c r="A24" s="30" t="s">
        <v>132</v>
      </c>
      <c r="B24" s="31">
        <f>SUM(AH2:AH7)</f>
        <v>0.29526052293823646</v>
      </c>
      <c r="C24" s="31"/>
      <c r="E24" s="16"/>
      <c r="Z24" s="2"/>
    </row>
    <row r="25" spans="1:26" x14ac:dyDescent="0.2">
      <c r="A25" s="3"/>
      <c r="B25" s="17"/>
      <c r="C25" s="17"/>
      <c r="E25" s="16"/>
      <c r="Z25" s="2"/>
    </row>
    <row r="26" spans="1:26" ht="17" x14ac:dyDescent="0.2">
      <c r="A26" s="3" t="s">
        <v>84</v>
      </c>
      <c r="B26" s="17">
        <f>AVERAGE(S2:S7)</f>
        <v>39.875310686421351</v>
      </c>
      <c r="C26" s="17"/>
      <c r="E26" s="16"/>
      <c r="Z26" s="2"/>
    </row>
    <row r="27" spans="1:26" ht="17" x14ac:dyDescent="0.2">
      <c r="A27" s="3" t="s">
        <v>86</v>
      </c>
      <c r="B27" s="20">
        <f>AVERAGE(X2:X7)</f>
        <v>0.37317528931809352</v>
      </c>
      <c r="C27" s="20"/>
      <c r="E27" s="16"/>
      <c r="Z27" s="2"/>
    </row>
  </sheetData>
  <sortState xmlns:xlrd2="http://schemas.microsoft.com/office/spreadsheetml/2017/richdata2" ref="A2:AP27">
    <sortCondition descending="1" ref="C1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D359-C871-564F-9002-969605B08DCE}">
  <dimension ref="A1:AW32"/>
  <sheetViews>
    <sheetView workbookViewId="0">
      <pane xSplit="4" ySplit="1" topLeftCell="X2" activePane="bottomRight" state="frozen"/>
      <selection pane="topRight" activeCell="E1" sqref="E1"/>
      <selection pane="bottomLeft" activeCell="A2" sqref="A2"/>
      <selection pane="bottomRight" activeCell="AA19" sqref="AA19"/>
    </sheetView>
  </sheetViews>
  <sheetFormatPr baseColWidth="10" defaultRowHeight="16" x14ac:dyDescent="0.2"/>
  <cols>
    <col min="1" max="1" width="19.83203125" customWidth="1"/>
    <col min="2" max="2" width="8" bestFit="1" customWidth="1"/>
    <col min="3" max="3" width="10.6640625" bestFit="1" customWidth="1"/>
    <col min="4" max="4" width="8.83203125" bestFit="1" customWidth="1"/>
    <col min="5" max="5" width="10.5" bestFit="1" customWidth="1"/>
    <col min="6" max="6" width="11.33203125" bestFit="1" customWidth="1"/>
    <col min="7" max="7" width="8" bestFit="1" customWidth="1"/>
    <col min="8" max="8" width="9" bestFit="1" customWidth="1"/>
    <col min="9" max="9" width="10.1640625" bestFit="1" customWidth="1"/>
    <col min="10" max="10" width="8.6640625" bestFit="1" customWidth="1"/>
    <col min="11" max="11" width="9" bestFit="1" customWidth="1"/>
    <col min="12" max="12" width="10.5" bestFit="1" customWidth="1"/>
    <col min="13" max="13" width="6.1640625" bestFit="1" customWidth="1"/>
    <col min="14" max="15" width="8.1640625" bestFit="1" customWidth="1"/>
    <col min="16" max="16" width="9.83203125" bestFit="1" customWidth="1"/>
    <col min="17" max="17" width="9.83203125" customWidth="1"/>
    <col min="18" max="18" width="9.33203125" bestFit="1" customWidth="1"/>
    <col min="19" max="19" width="8.6640625" bestFit="1" customWidth="1"/>
    <col min="20" max="20" width="5.83203125" bestFit="1" customWidth="1"/>
    <col min="21" max="21" width="8.6640625" bestFit="1" customWidth="1"/>
    <col min="22" max="22" width="10.6640625" customWidth="1"/>
    <col min="23" max="23" width="7.6640625" bestFit="1" customWidth="1"/>
    <col min="24" max="24" width="9.33203125" bestFit="1" customWidth="1"/>
    <col min="25" max="25" width="9.33203125" customWidth="1"/>
    <col min="26" max="26" width="9.33203125" bestFit="1" customWidth="1"/>
    <col min="27" max="27" width="13.1640625" customWidth="1"/>
    <col min="28" max="28" width="9" bestFit="1" customWidth="1"/>
    <col min="30" max="30" width="9.1640625" bestFit="1" customWidth="1"/>
    <col min="31" max="31" width="9" bestFit="1" customWidth="1"/>
    <col min="32" max="32" width="5.83203125" bestFit="1" customWidth="1"/>
    <col min="33" max="33" width="8" bestFit="1" customWidth="1"/>
    <col min="34" max="34" width="9" bestFit="1" customWidth="1"/>
    <col min="35" max="35" width="9.33203125" bestFit="1" customWidth="1"/>
    <col min="36" max="36" width="8.1640625" bestFit="1" customWidth="1"/>
    <col min="37" max="38" width="9.33203125" bestFit="1" customWidth="1"/>
    <col min="39" max="39" width="10" bestFit="1" customWidth="1"/>
    <col min="40" max="40" width="9.33203125" bestFit="1" customWidth="1"/>
    <col min="41" max="41" width="7.83203125" bestFit="1" customWidth="1"/>
    <col min="42" max="42" width="7.1640625" bestFit="1" customWidth="1"/>
    <col min="43" max="43" width="10.5" bestFit="1" customWidth="1"/>
    <col min="44" max="44" width="9.33203125" bestFit="1" customWidth="1"/>
    <col min="45" max="45" width="8.6640625" bestFit="1" customWidth="1"/>
  </cols>
  <sheetData>
    <row r="1" spans="1:49" s="2" customFormat="1" ht="68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102</v>
      </c>
      <c r="L1" s="3" t="s">
        <v>101</v>
      </c>
      <c r="M1" s="3" t="s">
        <v>100</v>
      </c>
      <c r="N1" s="3" t="s">
        <v>35</v>
      </c>
      <c r="O1" s="3" t="s">
        <v>105</v>
      </c>
      <c r="P1" s="3" t="s">
        <v>141</v>
      </c>
      <c r="Q1" s="3" t="s">
        <v>142</v>
      </c>
      <c r="R1" s="3" t="s">
        <v>120</v>
      </c>
      <c r="S1" s="3" t="s">
        <v>128</v>
      </c>
      <c r="T1" s="3" t="s">
        <v>36</v>
      </c>
      <c r="U1" s="3" t="s">
        <v>37</v>
      </c>
      <c r="V1" s="3" t="s">
        <v>38</v>
      </c>
      <c r="W1" s="3" t="s">
        <v>122</v>
      </c>
      <c r="X1" s="3" t="s">
        <v>130</v>
      </c>
      <c r="Y1" s="3" t="s">
        <v>143</v>
      </c>
      <c r="Z1" s="3" t="s">
        <v>121</v>
      </c>
      <c r="AA1" s="3" t="s">
        <v>39</v>
      </c>
      <c r="AB1" s="3" t="s">
        <v>135</v>
      </c>
      <c r="AC1" s="3" t="s">
        <v>124</v>
      </c>
      <c r="AD1" s="3" t="s">
        <v>118</v>
      </c>
      <c r="AE1" s="3" t="s">
        <v>125</v>
      </c>
      <c r="AF1" s="3" t="s">
        <v>140</v>
      </c>
      <c r="AG1" s="3" t="s">
        <v>123</v>
      </c>
      <c r="AH1" s="3" t="s">
        <v>126</v>
      </c>
      <c r="AI1" s="3" t="s">
        <v>119</v>
      </c>
      <c r="AJ1" s="3" t="s">
        <v>116</v>
      </c>
      <c r="AK1" s="3" t="s">
        <v>138</v>
      </c>
      <c r="AL1" s="3" t="s">
        <v>139</v>
      </c>
      <c r="AM1" s="3" t="s">
        <v>131</v>
      </c>
      <c r="AN1" s="3" t="s">
        <v>112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/>
      <c r="AV1" s="3"/>
      <c r="AW1" s="3"/>
    </row>
    <row r="2" spans="1:49" ht="17" x14ac:dyDescent="0.2">
      <c r="A2" s="2" t="s">
        <v>73</v>
      </c>
      <c r="B2" t="s">
        <v>79</v>
      </c>
      <c r="C2" s="24">
        <f>Overview!C4</f>
        <v>3390</v>
      </c>
      <c r="D2">
        <f>Overview!D4</f>
        <v>53.84371029224905</v>
      </c>
      <c r="E2" s="24">
        <f>C2/F2</f>
        <v>137.80487804878047</v>
      </c>
      <c r="F2">
        <v>24.6</v>
      </c>
      <c r="G2" s="24">
        <f>1.25+8.46</f>
        <v>9.7100000000000009</v>
      </c>
      <c r="H2" s="24">
        <f>31.44+1.75</f>
        <v>33.19</v>
      </c>
      <c r="I2" s="17">
        <f t="shared" ref="I2:I13" si="0">H2/G2</f>
        <v>3.4181256436663228</v>
      </c>
      <c r="J2" s="17" t="s">
        <v>97</v>
      </c>
      <c r="K2" s="17"/>
      <c r="L2" s="24">
        <f>G2-H2+C2</f>
        <v>3366.52</v>
      </c>
      <c r="M2" s="33">
        <f t="shared" ref="M2:M13" si="1">C2/B$16</f>
        <v>0.55087555087555073</v>
      </c>
      <c r="N2" s="34">
        <v>60.92</v>
      </c>
      <c r="O2" s="33">
        <f t="shared" ref="O2:O13" si="2">N2/B$18</f>
        <v>0.17059431783697479</v>
      </c>
      <c r="P2" s="36">
        <f t="shared" ref="P2:P13" si="3">O2/M2</f>
        <v>0.30967850645365463</v>
      </c>
      <c r="Q2" s="43">
        <v>44.3</v>
      </c>
      <c r="R2" s="35">
        <v>16.91</v>
      </c>
      <c r="S2" s="35">
        <f t="shared" ref="S2:S13" si="4">R2+AG2+AH2+AI2</f>
        <v>13.63</v>
      </c>
      <c r="T2" s="34">
        <v>28.09</v>
      </c>
      <c r="U2" s="76">
        <f t="shared" ref="U2:U13" si="5">L2/T2</f>
        <v>119.84763260946956</v>
      </c>
      <c r="V2" s="76">
        <f t="shared" ref="V2:V13" si="6">L2/N2</f>
        <v>55.261326329612608</v>
      </c>
      <c r="W2" s="76">
        <f t="shared" ref="W2:W13" si="7">L2/R2</f>
        <v>199.08456534594913</v>
      </c>
      <c r="X2" s="17">
        <f t="shared" ref="X2:X13" si="8">L2/S2</f>
        <v>246.99339691856198</v>
      </c>
      <c r="Y2" s="44">
        <f>Q2/N2</f>
        <v>0.72718319107025597</v>
      </c>
      <c r="Z2" s="28">
        <f t="shared" ref="Z2:Z13" si="9">R2/N2</f>
        <v>0.27757715036112934</v>
      </c>
      <c r="AA2" s="19">
        <f t="shared" ref="AA2:AA13" si="10">T2/N2</f>
        <v>0.46109652002626395</v>
      </c>
      <c r="AB2" s="28">
        <f t="shared" ref="AB2:AB13" si="11">S2/AE2</f>
        <v>0.44820782637290374</v>
      </c>
      <c r="AC2" s="29">
        <v>23.34</v>
      </c>
      <c r="AD2" s="27">
        <f>53.73-31.44-15.22</f>
        <v>7.069999999999995</v>
      </c>
      <c r="AE2" s="27">
        <f t="shared" ref="AE2:AE13" si="12">SUM(AC2:AD2)</f>
        <v>30.409999999999997</v>
      </c>
      <c r="AF2" s="19">
        <f t="shared" ref="AF2:AF13" si="13">AE2/L2</f>
        <v>9.0330667870679501E-3</v>
      </c>
      <c r="AG2" s="27">
        <v>1.51</v>
      </c>
      <c r="AH2" s="27">
        <v>-1.07</v>
      </c>
      <c r="AI2" s="27">
        <v>-3.72</v>
      </c>
      <c r="AJ2" s="26">
        <f t="shared" ref="AJ2:AJ13" si="14">D2*M2</f>
        <v>29.661183568426257</v>
      </c>
      <c r="AK2" s="26">
        <f t="shared" ref="AK2:AK13" si="15">Z2*M2</f>
        <v>0.15291046561565269</v>
      </c>
      <c r="AL2" s="26">
        <f t="shared" ref="AL2:AL13" si="16">AB2*M2</f>
        <v>0.24690673325990656</v>
      </c>
      <c r="AM2" s="26">
        <f t="shared" ref="AM2:AM13" si="17">W2*M2</f>
        <v>109.67081960576931</v>
      </c>
      <c r="AN2" s="17">
        <f t="shared" ref="AN2:AN13" si="18">M2*U2</f>
        <v>66.021130634872165</v>
      </c>
      <c r="AU2" s="17"/>
      <c r="AV2" s="17"/>
      <c r="AW2" s="19"/>
    </row>
    <row r="3" spans="1:49" ht="17" x14ac:dyDescent="0.2">
      <c r="A3" s="25" t="s">
        <v>95</v>
      </c>
      <c r="B3" t="s">
        <v>114</v>
      </c>
      <c r="C3" s="24">
        <f>Overview!C8</f>
        <v>996.8</v>
      </c>
      <c r="D3" s="24">
        <f>Overview!D8</f>
        <v>34.585576049184709</v>
      </c>
      <c r="E3" s="24">
        <f>C3/F3/K3</f>
        <v>5.9186951319801313</v>
      </c>
      <c r="F3">
        <v>5.19</v>
      </c>
      <c r="G3" s="24">
        <f>(9.29+918.28)/K3</f>
        <v>28.584591679506929</v>
      </c>
      <c r="H3" s="24">
        <f>(1710+129.27)/K3</f>
        <v>56.680123266563939</v>
      </c>
      <c r="I3" s="17">
        <f t="shared" si="0"/>
        <v>1.9828907791325723</v>
      </c>
      <c r="J3" s="21" t="s">
        <v>98</v>
      </c>
      <c r="K3" s="17">
        <v>32.450000000000003</v>
      </c>
      <c r="L3" s="24">
        <f>(G3-H3+C3)</f>
        <v>968.7044684129429</v>
      </c>
      <c r="M3" s="33">
        <f t="shared" si="1"/>
        <v>0.16198016198016194</v>
      </c>
      <c r="N3" s="34">
        <f>2160/$K3</f>
        <v>66.563944530046214</v>
      </c>
      <c r="O3" s="33">
        <f t="shared" si="2"/>
        <v>0.18639905958045738</v>
      </c>
      <c r="P3" s="36">
        <f t="shared" si="3"/>
        <v>1.1507523964773296</v>
      </c>
      <c r="Q3" s="43">
        <f>1180/K3</f>
        <v>36.36363636363636</v>
      </c>
      <c r="R3" s="35">
        <f>921.46/K3</f>
        <v>28.396302003081662</v>
      </c>
      <c r="S3" s="35">
        <f t="shared" si="4"/>
        <v>13.794144838212635</v>
      </c>
      <c r="T3" s="34">
        <f>1242/K3</f>
        <v>38.274268104776574</v>
      </c>
      <c r="U3" s="76">
        <f t="shared" si="5"/>
        <v>25.309549114331723</v>
      </c>
      <c r="V3" s="76">
        <f t="shared" si="6"/>
        <v>14.552990740740741</v>
      </c>
      <c r="W3" s="76">
        <f t="shared" si="7"/>
        <v>34.113754259544635</v>
      </c>
      <c r="X3" s="17">
        <f t="shared" si="8"/>
        <v>70.225771860059865</v>
      </c>
      <c r="Y3" s="44">
        <f t="shared" ref="Y3:Y13" si="19">Q3/N3</f>
        <v>0.54629629629629628</v>
      </c>
      <c r="Z3" s="28">
        <f t="shared" si="9"/>
        <v>0.4266018518518519</v>
      </c>
      <c r="AA3" s="19">
        <f t="shared" si="10"/>
        <v>0.57500000000000007</v>
      </c>
      <c r="AB3" s="28">
        <f t="shared" si="11"/>
        <v>0.15986428571428574</v>
      </c>
      <c r="AC3" s="29">
        <f>3340/K3</f>
        <v>102.92758089368257</v>
      </c>
      <c r="AD3" s="27">
        <f>(2450-1960-1030)/K3</f>
        <v>-16.640986132511554</v>
      </c>
      <c r="AE3" s="27">
        <f t="shared" si="12"/>
        <v>86.286594761171017</v>
      </c>
      <c r="AF3" s="19">
        <f t="shared" si="13"/>
        <v>8.9074219821177136E-2</v>
      </c>
      <c r="AG3" s="27">
        <f>532.19/K3</f>
        <v>16.400308166409861</v>
      </c>
      <c r="AH3" s="27">
        <f>-949.18/K3</f>
        <v>-29.250539291217255</v>
      </c>
      <c r="AI3" s="27">
        <f>-56.85/K3</f>
        <v>-1.7519260400616332</v>
      </c>
      <c r="AJ3" s="26">
        <f t="shared" si="14"/>
        <v>5.6021772106241485</v>
      </c>
      <c r="AK3" s="26">
        <f t="shared" si="15"/>
        <v>6.9101037064000018E-2</v>
      </c>
      <c r="AL3" s="26">
        <f t="shared" si="16"/>
        <v>2.5894842894842892E-2</v>
      </c>
      <c r="AM3" s="26">
        <f t="shared" si="17"/>
        <v>5.5257514407124795</v>
      </c>
      <c r="AN3" s="17">
        <f t="shared" si="18"/>
        <v>4.0996448651843167</v>
      </c>
      <c r="AP3" s="17"/>
      <c r="AU3" s="17"/>
      <c r="AV3" s="17"/>
      <c r="AW3" s="19"/>
    </row>
    <row r="4" spans="1:49" ht="17" x14ac:dyDescent="0.2">
      <c r="A4" s="2" t="s">
        <v>93</v>
      </c>
      <c r="B4" t="s">
        <v>99</v>
      </c>
      <c r="C4" s="24">
        <f>Overview!C9</f>
        <v>851.49</v>
      </c>
      <c r="D4" s="24">
        <f>Overview!D9</f>
        <v>167.286836935167</v>
      </c>
      <c r="E4" s="24">
        <f t="shared" ref="E4:E13" si="20">C4/F4</f>
        <v>183.11612903225804</v>
      </c>
      <c r="F4">
        <v>4.6500000000000004</v>
      </c>
      <c r="G4" s="24">
        <f>2.37+71.57</f>
        <v>73.94</v>
      </c>
      <c r="H4" s="24">
        <f>9.81</f>
        <v>9.81</v>
      </c>
      <c r="I4" s="17">
        <f t="shared" si="0"/>
        <v>0.13267514200703273</v>
      </c>
      <c r="J4" s="17" t="s">
        <v>97</v>
      </c>
      <c r="K4" s="17"/>
      <c r="L4" s="24">
        <f t="shared" ref="L4:L13" si="21">G4-H4+C4</f>
        <v>915.62</v>
      </c>
      <c r="M4" s="33">
        <f t="shared" si="1"/>
        <v>0.13836726336726335</v>
      </c>
      <c r="N4" s="34">
        <v>35.82</v>
      </c>
      <c r="O4" s="33">
        <f t="shared" si="2"/>
        <v>0.1003067705994819</v>
      </c>
      <c r="P4" s="36">
        <f t="shared" si="3"/>
        <v>0.72493137580701561</v>
      </c>
      <c r="Q4" s="43">
        <v>24.69</v>
      </c>
      <c r="R4" s="35">
        <v>16.45</v>
      </c>
      <c r="S4" s="35">
        <f t="shared" si="4"/>
        <v>18.197999999999997</v>
      </c>
      <c r="T4" s="34">
        <v>18.085000000000001</v>
      </c>
      <c r="U4" s="76">
        <f t="shared" si="5"/>
        <v>50.628697815869501</v>
      </c>
      <c r="V4" s="76">
        <f t="shared" si="6"/>
        <v>25.561697375767729</v>
      </c>
      <c r="W4" s="76">
        <f t="shared" si="7"/>
        <v>55.660790273556231</v>
      </c>
      <c r="X4" s="17">
        <f t="shared" si="8"/>
        <v>50.314320254973083</v>
      </c>
      <c r="Y4" s="44">
        <f t="shared" si="19"/>
        <v>0.68927973199329984</v>
      </c>
      <c r="Z4" s="28">
        <f t="shared" si="9"/>
        <v>0.45924064768285872</v>
      </c>
      <c r="AA4" s="19">
        <f t="shared" si="10"/>
        <v>0.50488553880513687</v>
      </c>
      <c r="AB4" s="28">
        <f t="shared" si="11"/>
        <v>0.12530468911381945</v>
      </c>
      <c r="AC4" s="29">
        <v>149.91</v>
      </c>
      <c r="AD4" s="27">
        <f>25.3-9.81-20.17</f>
        <v>-4.6800000000000015</v>
      </c>
      <c r="AE4" s="27">
        <f t="shared" si="12"/>
        <v>145.22999999999999</v>
      </c>
      <c r="AF4" s="19">
        <f t="shared" si="13"/>
        <v>0.15861383543391361</v>
      </c>
      <c r="AG4" s="27">
        <v>3.84</v>
      </c>
      <c r="AH4" s="27">
        <v>-0.45200000000000001</v>
      </c>
      <c r="AI4" s="27">
        <v>-1.64</v>
      </c>
      <c r="AJ4" s="26">
        <f t="shared" si="14"/>
        <v>23.147021824084689</v>
      </c>
      <c r="AK4" s="26">
        <f t="shared" si="15"/>
        <v>6.3543871646886713E-2</v>
      </c>
      <c r="AL4" s="26">
        <f t="shared" si="16"/>
        <v>1.7338066919764913E-2</v>
      </c>
      <c r="AM4" s="26">
        <f t="shared" si="17"/>
        <v>7.7016312270111653</v>
      </c>
      <c r="AN4" s="17">
        <f t="shared" si="18"/>
        <v>7.0053543646300058</v>
      </c>
      <c r="AP4" s="17"/>
      <c r="AU4" s="17"/>
      <c r="AV4" s="17"/>
      <c r="AW4" s="19"/>
    </row>
    <row r="5" spans="1:49" ht="34" x14ac:dyDescent="0.2">
      <c r="A5" s="25" t="s">
        <v>80</v>
      </c>
      <c r="B5" t="s">
        <v>74</v>
      </c>
      <c r="C5" s="24">
        <f>Overview!C13</f>
        <v>253.52</v>
      </c>
      <c r="D5" s="24" t="e">
        <f>Overview!D13</f>
        <v>#DIV/0!</v>
      </c>
      <c r="E5" s="24">
        <f t="shared" si="20"/>
        <v>156.49382716049382</v>
      </c>
      <c r="F5">
        <v>1.62</v>
      </c>
      <c r="G5" s="24">
        <f>1.72</f>
        <v>1.72</v>
      </c>
      <c r="H5" s="24">
        <f>5.34+0.113</f>
        <v>5.4530000000000003</v>
      </c>
      <c r="I5" s="17">
        <f t="shared" si="0"/>
        <v>3.1703488372093025</v>
      </c>
      <c r="J5" s="17" t="s">
        <v>97</v>
      </c>
      <c r="K5" s="17"/>
      <c r="L5" s="24">
        <f t="shared" si="21"/>
        <v>249.78700000000001</v>
      </c>
      <c r="M5" s="33">
        <f t="shared" si="1"/>
        <v>4.1197041197041193E-2</v>
      </c>
      <c r="N5" s="34">
        <v>22.68</v>
      </c>
      <c r="O5" s="33">
        <f t="shared" si="2"/>
        <v>6.3510819575551353E-2</v>
      </c>
      <c r="P5" s="36">
        <f t="shared" si="3"/>
        <v>1.541635460463912</v>
      </c>
      <c r="Q5" s="43">
        <v>10.46</v>
      </c>
      <c r="R5" s="35">
        <v>0.40100000000000002</v>
      </c>
      <c r="S5" s="35">
        <f t="shared" si="4"/>
        <v>0.35499999999999954</v>
      </c>
      <c r="T5" s="34">
        <v>1.667</v>
      </c>
      <c r="U5" s="76">
        <f t="shared" si="5"/>
        <v>149.84223155368926</v>
      </c>
      <c r="V5" s="76">
        <f t="shared" si="6"/>
        <v>11.013536155202821</v>
      </c>
      <c r="W5" s="76">
        <f t="shared" si="7"/>
        <v>622.91022443890267</v>
      </c>
      <c r="X5" s="17">
        <f t="shared" si="8"/>
        <v>703.62535211267698</v>
      </c>
      <c r="Y5" s="44">
        <f t="shared" si="19"/>
        <v>0.46119929453262792</v>
      </c>
      <c r="Z5" s="28">
        <f t="shared" si="9"/>
        <v>1.7680776014109348E-2</v>
      </c>
      <c r="AA5" s="19">
        <f t="shared" si="10"/>
        <v>7.3500881834215173E-2</v>
      </c>
      <c r="AB5" s="28">
        <f t="shared" si="11"/>
        <v>6.2999112688553599E-3</v>
      </c>
      <c r="AC5" s="29">
        <v>50.42</v>
      </c>
      <c r="AD5" s="27">
        <f>17.47-5.34-6.2</f>
        <v>5.9299999999999988</v>
      </c>
      <c r="AE5" s="27">
        <f t="shared" si="12"/>
        <v>56.35</v>
      </c>
      <c r="AF5" s="19">
        <f t="shared" si="13"/>
        <v>0.22559220455828366</v>
      </c>
      <c r="AG5" s="27">
        <v>3.55</v>
      </c>
      <c r="AH5" s="27">
        <v>-0.54600000000000004</v>
      </c>
      <c r="AI5" s="27">
        <v>-3.05</v>
      </c>
      <c r="AJ5" s="26" t="e">
        <f t="shared" si="14"/>
        <v>#DIV/0!</v>
      </c>
      <c r="AK5" s="26">
        <f t="shared" si="15"/>
        <v>7.2839565784892058E-4</v>
      </c>
      <c r="AL5" s="26">
        <f t="shared" si="16"/>
        <v>2.5953770408073832E-4</v>
      </c>
      <c r="AM5" s="26">
        <f t="shared" si="17"/>
        <v>25.66205817826765</v>
      </c>
      <c r="AN5" s="17">
        <f t="shared" si="18"/>
        <v>6.1730565863739217</v>
      </c>
      <c r="AP5" s="17"/>
    </row>
    <row r="6" spans="1:49" ht="17" x14ac:dyDescent="0.2">
      <c r="A6" s="25" t="s">
        <v>110</v>
      </c>
      <c r="B6" t="s">
        <v>111</v>
      </c>
      <c r="C6" s="24">
        <f>Overview!C16</f>
        <v>191.81</v>
      </c>
      <c r="D6" s="24" t="e">
        <f>Overview!D16</f>
        <v>#DIV/0!</v>
      </c>
      <c r="E6" s="24">
        <f t="shared" si="20"/>
        <v>172.80180180180179</v>
      </c>
      <c r="F6">
        <v>1.1100000000000001</v>
      </c>
      <c r="G6" s="24">
        <f>1.36+13.19</f>
        <v>14.549999999999999</v>
      </c>
      <c r="H6" s="24">
        <f>13.03</f>
        <v>13.03</v>
      </c>
      <c r="I6" s="17">
        <f t="shared" si="0"/>
        <v>0.89553264604811</v>
      </c>
      <c r="J6" s="17" t="s">
        <v>97</v>
      </c>
      <c r="K6" s="17"/>
      <c r="L6" s="24">
        <f t="shared" si="21"/>
        <v>193.33</v>
      </c>
      <c r="M6" s="33">
        <f t="shared" si="1"/>
        <v>3.1169156169156165E-2</v>
      </c>
      <c r="N6" s="34">
        <v>35.82</v>
      </c>
      <c r="O6" s="33">
        <f t="shared" si="2"/>
        <v>0.1003067705994819</v>
      </c>
      <c r="P6" s="36">
        <f t="shared" si="3"/>
        <v>3.2181420008650008</v>
      </c>
      <c r="Q6" s="43">
        <v>19.95</v>
      </c>
      <c r="R6" s="35">
        <v>7.79</v>
      </c>
      <c r="S6" s="35">
        <f t="shared" si="4"/>
        <v>9.4269999999999996</v>
      </c>
      <c r="T6" s="34">
        <v>11.298999999999999</v>
      </c>
      <c r="U6" s="76">
        <f t="shared" si="5"/>
        <v>17.110363749004339</v>
      </c>
      <c r="V6" s="76">
        <f t="shared" si="6"/>
        <v>5.3972640982691233</v>
      </c>
      <c r="W6" s="76">
        <f t="shared" si="7"/>
        <v>24.817715019255456</v>
      </c>
      <c r="X6" s="17">
        <f t="shared" si="8"/>
        <v>20.508114988861781</v>
      </c>
      <c r="Y6" s="44">
        <f t="shared" si="19"/>
        <v>0.55695142378559459</v>
      </c>
      <c r="Z6" s="28">
        <f t="shared" si="9"/>
        <v>0.21747627024008934</v>
      </c>
      <c r="AA6" s="19">
        <f t="shared" si="10"/>
        <v>0.31543830262423228</v>
      </c>
      <c r="AB6" s="28">
        <f t="shared" si="11"/>
        <v>0.80987972508591077</v>
      </c>
      <c r="AC6" s="29">
        <v>29.41</v>
      </c>
      <c r="AD6" s="27">
        <f>23.33-13.03-28.07</f>
        <v>-17.770000000000003</v>
      </c>
      <c r="AE6" s="27">
        <f t="shared" si="12"/>
        <v>11.639999999999997</v>
      </c>
      <c r="AF6" s="19">
        <f t="shared" si="13"/>
        <v>6.0207934619562385E-2</v>
      </c>
      <c r="AG6" s="27">
        <v>1.81</v>
      </c>
      <c r="AH6" s="27">
        <f>-1.45+0.127</f>
        <v>-1.323</v>
      </c>
      <c r="AI6" s="27">
        <v>1.1499999999999999</v>
      </c>
      <c r="AJ6" s="26" t="e">
        <f t="shared" si="14"/>
        <v>#DIV/0!</v>
      </c>
      <c r="AK6" s="26">
        <f t="shared" si="15"/>
        <v>6.7785518301989537E-3</v>
      </c>
      <c r="AL6" s="26">
        <f t="shared" si="16"/>
        <v>2.5243267629436014E-2</v>
      </c>
      <c r="AM6" s="26">
        <f t="shared" si="17"/>
        <v>0.77354723519678581</v>
      </c>
      <c r="AN6" s="17">
        <f t="shared" si="18"/>
        <v>0.53331559980378462</v>
      </c>
      <c r="AO6" s="17">
        <v>25</v>
      </c>
      <c r="AP6" s="17">
        <f>AO6*T6</f>
        <v>282.47499999999997</v>
      </c>
      <c r="AQ6" s="22">
        <f>AP6-G6+H6</f>
        <v>280.95499999999993</v>
      </c>
      <c r="AR6" s="17">
        <f>AQ6/F6</f>
        <v>253.11261261261254</v>
      </c>
      <c r="AS6" s="19">
        <f>AR6/E6-1</f>
        <v>0.46475679057400532</v>
      </c>
    </row>
    <row r="7" spans="1:49" x14ac:dyDescent="0.2">
      <c r="A7" t="s">
        <v>148</v>
      </c>
      <c r="B7" t="s">
        <v>158</v>
      </c>
      <c r="C7" s="24">
        <v>186</v>
      </c>
      <c r="D7" s="17">
        <v>35.35</v>
      </c>
      <c r="E7" s="24">
        <f t="shared" si="20"/>
        <v>203.71283062263839</v>
      </c>
      <c r="F7">
        <v>0.91305000000000003</v>
      </c>
      <c r="G7" s="24">
        <f>1.05+12.84</f>
        <v>13.89</v>
      </c>
      <c r="H7" s="24">
        <f>9.69</f>
        <v>9.69</v>
      </c>
      <c r="I7" s="17">
        <f t="shared" si="0"/>
        <v>0.6976241900647947</v>
      </c>
      <c r="J7" s="17" t="s">
        <v>97</v>
      </c>
      <c r="K7" s="17"/>
      <c r="L7" s="24">
        <f t="shared" si="21"/>
        <v>190.2</v>
      </c>
      <c r="M7" s="33">
        <f t="shared" si="1"/>
        <v>3.022503022503022E-2</v>
      </c>
      <c r="N7" s="34">
        <v>17.52</v>
      </c>
      <c r="O7" s="33">
        <f t="shared" si="2"/>
        <v>4.9061268031907392E-2</v>
      </c>
      <c r="P7" s="36">
        <f t="shared" si="3"/>
        <v>1.6231999659434033</v>
      </c>
      <c r="Q7" s="43">
        <v>11.02</v>
      </c>
      <c r="R7" s="35">
        <v>7.33</v>
      </c>
      <c r="S7" s="35">
        <f t="shared" si="4"/>
        <v>2.4</v>
      </c>
      <c r="T7" s="34">
        <v>6.42</v>
      </c>
      <c r="U7" s="76">
        <f t="shared" si="5"/>
        <v>29.626168224299064</v>
      </c>
      <c r="V7" s="76">
        <f t="shared" si="6"/>
        <v>10.856164383561643</v>
      </c>
      <c r="W7" s="76">
        <f t="shared" si="7"/>
        <v>25.948158253751703</v>
      </c>
      <c r="X7" s="17">
        <f t="shared" si="8"/>
        <v>79.25</v>
      </c>
      <c r="Y7" s="44">
        <f t="shared" si="19"/>
        <v>0.62899543378995437</v>
      </c>
      <c r="Z7" s="28">
        <f t="shared" si="9"/>
        <v>0.41837899543378998</v>
      </c>
      <c r="AA7" s="19">
        <f t="shared" si="10"/>
        <v>0.36643835616438358</v>
      </c>
      <c r="AB7" s="28">
        <f t="shared" si="11"/>
        <v>0.11049723756906076</v>
      </c>
      <c r="AC7" s="29">
        <v>18.260000000000002</v>
      </c>
      <c r="AD7" s="27">
        <f>16.79-9.69-3.64</f>
        <v>3.4599999999999995</v>
      </c>
      <c r="AE7" s="27">
        <f t="shared" si="12"/>
        <v>21.720000000000002</v>
      </c>
      <c r="AF7" s="19">
        <f t="shared" si="13"/>
        <v>0.11419558359621453</v>
      </c>
      <c r="AG7" s="27">
        <v>1.24</v>
      </c>
      <c r="AH7" s="27">
        <v>-5.07</v>
      </c>
      <c r="AI7" s="27">
        <v>-1.1000000000000001</v>
      </c>
      <c r="AJ7" s="26">
        <f t="shared" si="14"/>
        <v>1.0684548184548184</v>
      </c>
      <c r="AK7" s="26">
        <f t="shared" si="15"/>
        <v>1.2645517782504083E-2</v>
      </c>
      <c r="AL7" s="26">
        <f t="shared" si="16"/>
        <v>3.3397823453072059E-3</v>
      </c>
      <c r="AM7" s="26">
        <f t="shared" si="17"/>
        <v>0.78428386750351264</v>
      </c>
      <c r="AN7" s="17">
        <f t="shared" si="18"/>
        <v>0.89545183003126916</v>
      </c>
      <c r="AP7" s="17"/>
    </row>
    <row r="8" spans="1:49" ht="17" x14ac:dyDescent="0.2">
      <c r="A8" s="2" t="s">
        <v>87</v>
      </c>
      <c r="B8" t="s">
        <v>94</v>
      </c>
      <c r="C8" s="24">
        <v>97</v>
      </c>
      <c r="D8" s="17">
        <v>94.36</v>
      </c>
      <c r="E8" s="24">
        <f t="shared" si="20"/>
        <v>22.663551401869157</v>
      </c>
      <c r="F8">
        <v>4.28</v>
      </c>
      <c r="G8" s="24">
        <f>4.7+48.33</f>
        <v>53.03</v>
      </c>
      <c r="H8" s="24">
        <f>29.27+5.82</f>
        <v>35.090000000000003</v>
      </c>
      <c r="I8" s="17">
        <f t="shared" si="0"/>
        <v>0.66170092400528013</v>
      </c>
      <c r="J8" s="17" t="s">
        <v>97</v>
      </c>
      <c r="K8" s="17"/>
      <c r="L8" s="24">
        <f t="shared" si="21"/>
        <v>114.94</v>
      </c>
      <c r="M8" s="33">
        <f t="shared" si="1"/>
        <v>1.576251576251576E-2</v>
      </c>
      <c r="N8" s="34">
        <v>54.23</v>
      </c>
      <c r="O8" s="33">
        <f t="shared" si="2"/>
        <v>0.15186030624259919</v>
      </c>
      <c r="P8" s="36">
        <f t="shared" si="3"/>
        <v>9.634268319257286</v>
      </c>
      <c r="Q8" s="43">
        <v>21.71</v>
      </c>
      <c r="R8" s="35">
        <v>3.1E-2</v>
      </c>
      <c r="S8" s="35">
        <f t="shared" si="4"/>
        <v>-18.689</v>
      </c>
      <c r="T8" s="34">
        <v>11.471</v>
      </c>
      <c r="U8" s="76">
        <f>L8/T8</f>
        <v>10.020050562287507</v>
      </c>
      <c r="V8" s="76">
        <f t="shared" si="6"/>
        <v>2.1194910566107321</v>
      </c>
      <c r="W8" s="76">
        <f t="shared" si="7"/>
        <v>3707.7419354838707</v>
      </c>
      <c r="X8" s="17">
        <f t="shared" si="8"/>
        <v>-6.1501417946385573</v>
      </c>
      <c r="Y8" s="44">
        <f t="shared" si="19"/>
        <v>0.40033191960169651</v>
      </c>
      <c r="Z8" s="28">
        <f t="shared" si="9"/>
        <v>5.7163931403282316E-4</v>
      </c>
      <c r="AA8" s="19">
        <f t="shared" si="10"/>
        <v>0.21152498617001661</v>
      </c>
      <c r="AB8" s="28">
        <f t="shared" si="11"/>
        <v>-0.12896970533434546</v>
      </c>
      <c r="AC8" s="29">
        <v>155.38</v>
      </c>
      <c r="AD8" s="27">
        <f>50.83-29.27-32.03</f>
        <v>-10.470000000000002</v>
      </c>
      <c r="AE8" s="27">
        <f t="shared" si="12"/>
        <v>144.91</v>
      </c>
      <c r="AF8" s="19">
        <f t="shared" si="13"/>
        <v>1.2607447363842004</v>
      </c>
      <c r="AG8" s="27">
        <v>9.6</v>
      </c>
      <c r="AH8" s="27">
        <v>-25.75</v>
      </c>
      <c r="AI8" s="27">
        <v>-2.57</v>
      </c>
      <c r="AJ8" s="26">
        <f t="shared" si="14"/>
        <v>1.4873509873509871</v>
      </c>
      <c r="AK8" s="26">
        <f t="shared" si="15"/>
        <v>9.0104736979160722E-6</v>
      </c>
      <c r="AL8" s="26">
        <f t="shared" si="16"/>
        <v>-2.032887013219633E-3</v>
      </c>
      <c r="AM8" s="26">
        <f t="shared" si="17"/>
        <v>58.443340701405205</v>
      </c>
      <c r="AN8" s="17">
        <f t="shared" si="18"/>
        <v>0.15794120492926172</v>
      </c>
      <c r="AO8" s="17"/>
      <c r="AP8" s="17"/>
    </row>
    <row r="9" spans="1:49" x14ac:dyDescent="0.2">
      <c r="A9" t="s">
        <v>149</v>
      </c>
      <c r="B9" t="s">
        <v>153</v>
      </c>
      <c r="C9" s="24">
        <v>60.16</v>
      </c>
      <c r="D9" s="17">
        <v>22.13</v>
      </c>
      <c r="E9" s="24">
        <f t="shared" si="20"/>
        <v>236.17163270914298</v>
      </c>
      <c r="F9">
        <v>0.25473000000000001</v>
      </c>
      <c r="G9" s="24">
        <f>0.499+9.68</f>
        <v>10.179</v>
      </c>
      <c r="H9" s="24">
        <f>3.02</f>
        <v>3.02</v>
      </c>
      <c r="I9" s="17">
        <f t="shared" si="0"/>
        <v>0.2966892622065036</v>
      </c>
      <c r="J9" s="17" t="s">
        <v>97</v>
      </c>
      <c r="K9" s="17"/>
      <c r="L9" s="24">
        <f t="shared" si="21"/>
        <v>67.319000000000003</v>
      </c>
      <c r="M9" s="33">
        <f t="shared" si="1"/>
        <v>9.7760097760097742E-3</v>
      </c>
      <c r="N9" s="34">
        <v>13.28</v>
      </c>
      <c r="O9" s="33">
        <f t="shared" si="2"/>
        <v>3.7187993120075917E-2</v>
      </c>
      <c r="P9" s="36">
        <f t="shared" si="3"/>
        <v>3.8040053122015962</v>
      </c>
      <c r="Q9" s="43">
        <v>7.55</v>
      </c>
      <c r="R9" s="35">
        <v>3.68</v>
      </c>
      <c r="S9" s="35">
        <f t="shared" si="4"/>
        <v>3.39</v>
      </c>
      <c r="T9" s="34">
        <v>3.51</v>
      </c>
      <c r="U9" s="76">
        <f t="shared" si="5"/>
        <v>19.179202279202283</v>
      </c>
      <c r="V9" s="76">
        <f t="shared" si="6"/>
        <v>5.0692018072289162</v>
      </c>
      <c r="W9" s="76">
        <f t="shared" si="7"/>
        <v>18.29320652173913</v>
      </c>
      <c r="X9" s="17">
        <f t="shared" si="8"/>
        <v>19.858112094395281</v>
      </c>
      <c r="Y9" s="44">
        <f t="shared" si="19"/>
        <v>0.56852409638554213</v>
      </c>
      <c r="Z9" s="28">
        <f t="shared" si="9"/>
        <v>0.27710843373493976</v>
      </c>
      <c r="AA9" s="19">
        <f t="shared" si="10"/>
        <v>0.26430722891566266</v>
      </c>
      <c r="AB9" s="28">
        <f t="shared" si="11"/>
        <v>0.19859402460456943</v>
      </c>
      <c r="AC9" s="29">
        <v>16.32</v>
      </c>
      <c r="AD9" s="27">
        <f>6.88-3.02-3.11</f>
        <v>0.75</v>
      </c>
      <c r="AE9" s="27">
        <f t="shared" si="12"/>
        <v>17.07</v>
      </c>
      <c r="AF9" s="19">
        <f t="shared" si="13"/>
        <v>0.25356882900815519</v>
      </c>
      <c r="AG9" s="27">
        <v>1.1100000000000001</v>
      </c>
      <c r="AH9" s="27">
        <f>-0.827+0.001</f>
        <v>-0.82599999999999996</v>
      </c>
      <c r="AI9" s="27">
        <v>-0.57399999999999995</v>
      </c>
      <c r="AJ9" s="26">
        <f t="shared" si="14"/>
        <v>0.21634309634309629</v>
      </c>
      <c r="AK9" s="26">
        <f t="shared" si="15"/>
        <v>2.7090147572075281E-3</v>
      </c>
      <c r="AL9" s="26">
        <f t="shared" si="16"/>
        <v>1.9414571259913963E-3</v>
      </c>
      <c r="AM9" s="26">
        <f t="shared" si="17"/>
        <v>0.1788345657910875</v>
      </c>
      <c r="AN9" s="17">
        <f t="shared" si="18"/>
        <v>0.18749606897755047</v>
      </c>
      <c r="AP9" s="17"/>
    </row>
    <row r="10" spans="1:49" x14ac:dyDescent="0.2">
      <c r="A10" t="s">
        <v>150</v>
      </c>
      <c r="B10" t="s">
        <v>154</v>
      </c>
      <c r="C10" s="24">
        <v>44</v>
      </c>
      <c r="D10" s="17">
        <v>18.91</v>
      </c>
      <c r="E10" s="24">
        <f t="shared" si="20"/>
        <v>33.846153846153847</v>
      </c>
      <c r="F10">
        <v>1.3</v>
      </c>
      <c r="G10" s="24">
        <f>(0.999+4.39)/K10</f>
        <v>4.8549549549549535</v>
      </c>
      <c r="H10" s="24">
        <f>(1.74+0.601)/K10</f>
        <v>2.109009009009009</v>
      </c>
      <c r="I10" s="17">
        <f t="shared" si="0"/>
        <v>0.43440341436259061</v>
      </c>
      <c r="J10" s="17" t="s">
        <v>155</v>
      </c>
      <c r="K10" s="17">
        <v>1.1100000000000001</v>
      </c>
      <c r="L10" s="24">
        <f t="shared" si="21"/>
        <v>46.745945945945948</v>
      </c>
      <c r="M10" s="33">
        <f t="shared" si="1"/>
        <v>7.150007150007149E-3</v>
      </c>
      <c r="N10" s="34">
        <f>16.31/K10</f>
        <v>14.693693693693691</v>
      </c>
      <c r="O10" s="33">
        <f t="shared" si="2"/>
        <v>4.1146760541384331E-2</v>
      </c>
      <c r="P10" s="36">
        <f t="shared" si="3"/>
        <v>5.7547859293180137</v>
      </c>
      <c r="Q10" s="43">
        <f>7.41/$K10</f>
        <v>6.6756756756756754</v>
      </c>
      <c r="R10" s="35">
        <f>3.95/K10</f>
        <v>3.5585585585585586</v>
      </c>
      <c r="S10" s="35">
        <f t="shared" si="4"/>
        <v>1.1137387387387387</v>
      </c>
      <c r="T10" s="34">
        <f>3.96/K10</f>
        <v>3.5675675675675671</v>
      </c>
      <c r="U10" s="76">
        <f t="shared" si="5"/>
        <v>13.103030303030305</v>
      </c>
      <c r="V10" s="76">
        <f t="shared" si="6"/>
        <v>3.1813611281422447</v>
      </c>
      <c r="W10" s="76">
        <f t="shared" si="7"/>
        <v>13.136202531645569</v>
      </c>
      <c r="X10" s="17">
        <f t="shared" si="8"/>
        <v>41.972093023255816</v>
      </c>
      <c r="Y10" s="44">
        <f t="shared" si="19"/>
        <v>0.45432250153280201</v>
      </c>
      <c r="Z10" s="28">
        <f t="shared" si="9"/>
        <v>0.24218270999386884</v>
      </c>
      <c r="AA10" s="19">
        <f t="shared" si="10"/>
        <v>0.24279583077866343</v>
      </c>
      <c r="AB10" s="28">
        <f t="shared" si="11"/>
        <v>5.7262957987864196E-2</v>
      </c>
      <c r="AC10" s="29">
        <f>19.07/K10</f>
        <v>17.18018018018018</v>
      </c>
      <c r="AD10" s="27">
        <f>(10.3-1.74-0.601-5.44)/K10</f>
        <v>2.2693693693693695</v>
      </c>
      <c r="AE10" s="27">
        <f t="shared" si="12"/>
        <v>19.449549549549548</v>
      </c>
      <c r="AF10" s="19">
        <f t="shared" si="13"/>
        <v>0.41606922602528518</v>
      </c>
      <c r="AG10" s="27">
        <f>1.754/K10</f>
        <v>1.58018018018018</v>
      </c>
      <c r="AH10" s="27">
        <f>-2.62-0.255</f>
        <v>-2.875</v>
      </c>
      <c r="AI10" s="27">
        <f>-1.15</f>
        <v>-1.1499999999999999</v>
      </c>
      <c r="AJ10" s="26">
        <f t="shared" si="14"/>
        <v>0.1352066352066352</v>
      </c>
      <c r="AK10" s="26">
        <f t="shared" si="15"/>
        <v>1.7316081080642701E-3</v>
      </c>
      <c r="AL10" s="26">
        <f t="shared" si="16"/>
        <v>4.09430559043788E-4</v>
      </c>
      <c r="AM10" s="26">
        <f t="shared" si="17"/>
        <v>9.3923942025207832E-2</v>
      </c>
      <c r="AN10" s="17">
        <f t="shared" si="18"/>
        <v>9.3686760353427018E-2</v>
      </c>
      <c r="AP10" s="17"/>
    </row>
    <row r="11" spans="1:49" ht="17" x14ac:dyDescent="0.2">
      <c r="A11" s="2" t="s">
        <v>162</v>
      </c>
      <c r="B11" t="s">
        <v>163</v>
      </c>
      <c r="C11" s="24">
        <v>30.62</v>
      </c>
      <c r="D11" s="17">
        <v>16.3</v>
      </c>
      <c r="E11" s="24">
        <f t="shared" si="20"/>
        <v>71.481931086002433</v>
      </c>
      <c r="F11">
        <v>0.42836000000000002</v>
      </c>
      <c r="G11" s="24">
        <f>0.7956+2.55</f>
        <v>3.3455999999999997</v>
      </c>
      <c r="H11" s="24">
        <f>2.68</f>
        <v>2.68</v>
      </c>
      <c r="I11" s="17">
        <f t="shared" si="0"/>
        <v>0.80105212816834059</v>
      </c>
      <c r="J11" s="17" t="s">
        <v>97</v>
      </c>
      <c r="K11" s="17"/>
      <c r="L11" s="24">
        <f t="shared" si="21"/>
        <v>31.285600000000002</v>
      </c>
      <c r="M11" s="33">
        <f t="shared" si="1"/>
        <v>4.9757549757549749E-3</v>
      </c>
      <c r="N11" s="34">
        <v>8.25</v>
      </c>
      <c r="O11" s="33">
        <f t="shared" si="2"/>
        <v>2.3102480665709815E-2</v>
      </c>
      <c r="P11" s="36">
        <f t="shared" si="3"/>
        <v>4.6430101116875155</v>
      </c>
      <c r="Q11" s="43">
        <v>3.88</v>
      </c>
      <c r="R11" s="35">
        <v>2.61</v>
      </c>
      <c r="S11" s="35">
        <f t="shared" si="4"/>
        <v>0.81679999999999997</v>
      </c>
      <c r="T11" s="34">
        <v>1.98</v>
      </c>
      <c r="U11" s="76">
        <f t="shared" si="5"/>
        <v>15.800808080808082</v>
      </c>
      <c r="V11" s="76">
        <f t="shared" si="6"/>
        <v>3.7921939393939397</v>
      </c>
      <c r="W11" s="76">
        <f t="shared" si="7"/>
        <v>11.986819923371648</v>
      </c>
      <c r="X11" s="17">
        <f t="shared" si="8"/>
        <v>38.3026444662096</v>
      </c>
      <c r="Y11" s="44">
        <f t="shared" si="19"/>
        <v>0.47030303030303028</v>
      </c>
      <c r="Z11" s="28">
        <f t="shared" si="9"/>
        <v>0.31636363636363635</v>
      </c>
      <c r="AA11" s="19">
        <f t="shared" si="10"/>
        <v>0.24</v>
      </c>
      <c r="AB11" s="28">
        <f t="shared" si="11"/>
        <v>9.1981981981981986E-2</v>
      </c>
      <c r="AC11" s="29">
        <v>7.33</v>
      </c>
      <c r="AD11" s="27">
        <f>6.33-2.68-2.1</f>
        <v>1.5499999999999998</v>
      </c>
      <c r="AE11" s="27">
        <f t="shared" si="12"/>
        <v>8.879999999999999</v>
      </c>
      <c r="AF11" s="19">
        <f t="shared" si="13"/>
        <v>0.28383665328457813</v>
      </c>
      <c r="AG11" s="27">
        <v>0.60950000000000004</v>
      </c>
      <c r="AH11" s="27">
        <f>-1.54</f>
        <v>-1.54</v>
      </c>
      <c r="AI11" s="27">
        <v>-0.86270000000000002</v>
      </c>
      <c r="AJ11" s="26">
        <f t="shared" si="14"/>
        <v>8.1104806104806096E-2</v>
      </c>
      <c r="AK11" s="26">
        <f t="shared" si="15"/>
        <v>1.5741479377843011E-3</v>
      </c>
      <c r="AL11" s="26">
        <f t="shared" si="16"/>
        <v>4.5767980452665131E-4</v>
      </c>
      <c r="AM11" s="26">
        <f t="shared" si="17"/>
        <v>5.9643478877195344E-2</v>
      </c>
      <c r="AN11" s="17">
        <f t="shared" si="18"/>
        <v>7.8620949429030224E-2</v>
      </c>
      <c r="AO11" s="17"/>
      <c r="AP11" s="17"/>
    </row>
    <row r="12" spans="1:49" x14ac:dyDescent="0.2">
      <c r="A12" t="s">
        <v>151</v>
      </c>
      <c r="B12" t="s">
        <v>156</v>
      </c>
      <c r="C12" s="24">
        <v>26.3</v>
      </c>
      <c r="D12" s="17">
        <v>13.54</v>
      </c>
      <c r="E12" s="24">
        <f t="shared" si="20"/>
        <v>7.3463687150837993</v>
      </c>
      <c r="F12">
        <v>3.58</v>
      </c>
      <c r="G12" s="24">
        <f>(131.49+468.66)/K12</f>
        <v>4.0977058582548143</v>
      </c>
      <c r="H12" s="24">
        <f>(288.36+33.77)/K12</f>
        <v>2.1994401201693292</v>
      </c>
      <c r="I12" s="17">
        <f t="shared" si="0"/>
        <v>0.53674914604682145</v>
      </c>
      <c r="J12" s="17" t="s">
        <v>157</v>
      </c>
      <c r="K12" s="42">
        <v>146.46</v>
      </c>
      <c r="L12" s="24">
        <f t="shared" si="21"/>
        <v>28.198265738085485</v>
      </c>
      <c r="M12" s="33">
        <f t="shared" si="1"/>
        <v>4.273754273754273E-3</v>
      </c>
      <c r="N12" s="34">
        <f>1470/K12</f>
        <v>10.036870135190496</v>
      </c>
      <c r="O12" s="33">
        <f t="shared" si="2"/>
        <v>2.810625433242166E-2</v>
      </c>
      <c r="P12" s="36">
        <f t="shared" si="3"/>
        <v>6.5764787893927661</v>
      </c>
      <c r="Q12" s="43">
        <f>834.33/K12</f>
        <v>5.6966407210159771</v>
      </c>
      <c r="R12" s="35">
        <f>390.77/K12</f>
        <v>2.6681005052574078</v>
      </c>
      <c r="S12" s="35">
        <f t="shared" si="4"/>
        <v>3.1774136282944139</v>
      </c>
      <c r="T12" s="34">
        <f>496.63/K12</f>
        <v>3.3908917110473848</v>
      </c>
      <c r="U12" s="76">
        <f t="shared" si="5"/>
        <v>8.3158850653403942</v>
      </c>
      <c r="V12" s="76">
        <f t="shared" si="6"/>
        <v>2.8094680272108845</v>
      </c>
      <c r="W12" s="76">
        <f t="shared" si="7"/>
        <v>10.568666990813012</v>
      </c>
      <c r="X12" s="17">
        <f t="shared" si="8"/>
        <v>8.8745970895900879</v>
      </c>
      <c r="Y12" s="44">
        <f t="shared" si="19"/>
        <v>0.56757142857142862</v>
      </c>
      <c r="Z12" s="28">
        <f t="shared" si="9"/>
        <v>0.26582993197278909</v>
      </c>
      <c r="AA12" s="19">
        <f t="shared" si="10"/>
        <v>0.33784353741496598</v>
      </c>
      <c r="AB12" s="28">
        <f t="shared" si="11"/>
        <v>0.16901922043206016</v>
      </c>
      <c r="AC12" s="29">
        <f>2920/K12</f>
        <v>19.937184214119895</v>
      </c>
      <c r="AD12" s="27">
        <f>(742.4-288.36-33.77-586.95)/K12</f>
        <v>-1.1380581728799677</v>
      </c>
      <c r="AE12" s="27">
        <f t="shared" si="12"/>
        <v>18.799126041239926</v>
      </c>
      <c r="AF12" s="19">
        <f t="shared" si="13"/>
        <v>0.66667667493640292</v>
      </c>
      <c r="AG12" s="27">
        <f>186.009/K12</f>
        <v>1.2700327734535024</v>
      </c>
      <c r="AH12" s="27">
        <f>(-86.44-40.9)/K12</f>
        <v>-0.86945241021439301</v>
      </c>
      <c r="AI12" s="27">
        <f>(30.07+5.126-6.786+2.438-0.303+2.112-6.972-3.987-5.773)/K12</f>
        <v>0.10873275979789698</v>
      </c>
      <c r="AJ12" s="26">
        <f t="shared" si="14"/>
        <v>5.786663286663285E-2</v>
      </c>
      <c r="AK12" s="26">
        <f t="shared" si="15"/>
        <v>1.1360918078605151E-3</v>
      </c>
      <c r="AL12" s="26">
        <f t="shared" si="16"/>
        <v>7.223466156681327E-4</v>
      </c>
      <c r="AM12" s="26">
        <f t="shared" si="17"/>
        <v>4.5167885719872826E-2</v>
      </c>
      <c r="AN12" s="17">
        <f t="shared" si="18"/>
        <v>3.5540049338047844E-2</v>
      </c>
      <c r="AP12" s="17"/>
    </row>
    <row r="13" spans="1:49" x14ac:dyDescent="0.2">
      <c r="A13" t="s">
        <v>152</v>
      </c>
      <c r="B13" t="s">
        <v>159</v>
      </c>
      <c r="C13" s="24">
        <v>26.14</v>
      </c>
      <c r="D13" s="17">
        <v>7.63</v>
      </c>
      <c r="E13" s="24">
        <f t="shared" si="20"/>
        <v>28.940579918736091</v>
      </c>
      <c r="F13">
        <v>0.90322999999999998</v>
      </c>
      <c r="G13" s="24">
        <f>0.236+2.85</f>
        <v>3.0860000000000003</v>
      </c>
      <c r="H13" s="24">
        <f>6.29+0.054</f>
        <v>6.3440000000000003</v>
      </c>
      <c r="I13" s="17">
        <f t="shared" si="0"/>
        <v>2.0557355800388852</v>
      </c>
      <c r="J13" s="17" t="s">
        <v>97</v>
      </c>
      <c r="K13" s="17"/>
      <c r="L13" s="24">
        <f t="shared" si="21"/>
        <v>22.882000000000001</v>
      </c>
      <c r="M13" s="33">
        <f t="shared" si="1"/>
        <v>4.2477542477542471E-3</v>
      </c>
      <c r="N13" s="34">
        <v>17.29</v>
      </c>
      <c r="O13" s="33">
        <f t="shared" si="2"/>
        <v>4.8417198873954265E-2</v>
      </c>
      <c r="P13" s="36">
        <f t="shared" si="3"/>
        <v>11.39830509252084</v>
      </c>
      <c r="Q13" s="43">
        <v>8.2899999999999991</v>
      </c>
      <c r="R13" s="35">
        <v>4.54</v>
      </c>
      <c r="S13" s="35">
        <f t="shared" si="4"/>
        <v>1.6509999999999996</v>
      </c>
      <c r="T13" s="34">
        <v>5.99</v>
      </c>
      <c r="U13" s="76">
        <f t="shared" si="5"/>
        <v>3.8200333889816362</v>
      </c>
      <c r="V13" s="76">
        <f t="shared" si="6"/>
        <v>1.3234239444765763</v>
      </c>
      <c r="W13" s="76">
        <f t="shared" si="7"/>
        <v>5.0400881057268725</v>
      </c>
      <c r="X13" s="17">
        <f t="shared" si="8"/>
        <v>13.859479103573596</v>
      </c>
      <c r="Y13" s="44">
        <f t="shared" si="19"/>
        <v>0.47946790052053206</v>
      </c>
      <c r="Z13" s="28">
        <f t="shared" si="9"/>
        <v>0.26257952573742049</v>
      </c>
      <c r="AA13" s="19">
        <f t="shared" si="10"/>
        <v>0.34644303065355697</v>
      </c>
      <c r="AB13" s="28">
        <f t="shared" si="11"/>
        <v>0.10955540809555406</v>
      </c>
      <c r="AC13" s="29">
        <v>13.04</v>
      </c>
      <c r="AD13" s="27">
        <f>11.87-6.29-3.55</f>
        <v>2.0299999999999994</v>
      </c>
      <c r="AE13" s="27">
        <f t="shared" si="12"/>
        <v>15.069999999999999</v>
      </c>
      <c r="AF13" s="19">
        <f t="shared" si="13"/>
        <v>0.65859627654925257</v>
      </c>
      <c r="AG13" s="27">
        <v>1.56</v>
      </c>
      <c r="AH13" s="27">
        <f>-4.43-0.097</f>
        <v>-4.5270000000000001</v>
      </c>
      <c r="AI13" s="27">
        <v>7.8E-2</v>
      </c>
      <c r="AJ13" s="26">
        <f t="shared" si="14"/>
        <v>3.2410364910364906E-2</v>
      </c>
      <c r="AK13" s="26">
        <f t="shared" si="15"/>
        <v>1.1153732958244236E-3</v>
      </c>
      <c r="AL13" s="26">
        <f t="shared" si="16"/>
        <v>4.653644501023398E-4</v>
      </c>
      <c r="AM13" s="26">
        <f t="shared" si="17"/>
        <v>2.1409055660156981E-2</v>
      </c>
      <c r="AN13" s="17">
        <f t="shared" si="18"/>
        <v>1.6226563054609799E-2</v>
      </c>
      <c r="AP13" s="17"/>
    </row>
    <row r="14" spans="1:49" x14ac:dyDescent="0.2">
      <c r="A14" s="2"/>
      <c r="E14" s="16"/>
      <c r="AC14" s="2"/>
      <c r="AJ14" s="26"/>
      <c r="AK14" s="26"/>
      <c r="AL14" s="26"/>
      <c r="AM14" s="26"/>
    </row>
    <row r="15" spans="1:49" x14ac:dyDescent="0.2">
      <c r="A15" s="2"/>
      <c r="E15" s="16"/>
      <c r="AC15" s="2"/>
    </row>
    <row r="16" spans="1:49" ht="34" x14ac:dyDescent="0.2">
      <c r="A16" s="3" t="s">
        <v>108</v>
      </c>
      <c r="B16" s="6">
        <f>SUM(C2:C13)</f>
        <v>6153.8400000000011</v>
      </c>
      <c r="C16" s="6"/>
      <c r="E16" s="16"/>
      <c r="AC16" s="2"/>
    </row>
    <row r="17" spans="1:29" ht="34" x14ac:dyDescent="0.2">
      <c r="A17" s="3" t="s">
        <v>103</v>
      </c>
      <c r="B17" s="6">
        <f>SUM(L2:L13)</f>
        <v>6195.5322800969743</v>
      </c>
      <c r="C17" s="6"/>
      <c r="E17" s="16"/>
      <c r="AC17" s="2"/>
    </row>
    <row r="18" spans="1:29" ht="34" x14ac:dyDescent="0.2">
      <c r="A18" s="3" t="s">
        <v>104</v>
      </c>
      <c r="B18" s="6">
        <f>SUM(N2:N13)</f>
        <v>357.10450835893045</v>
      </c>
      <c r="C18" s="6"/>
      <c r="E18" s="16"/>
      <c r="AC18" s="2"/>
    </row>
    <row r="19" spans="1:29" ht="34" x14ac:dyDescent="0.2">
      <c r="A19" s="3" t="s">
        <v>129</v>
      </c>
      <c r="B19" s="6">
        <f>SUM(R2:R13)</f>
        <v>94.364961066897649</v>
      </c>
      <c r="C19" s="6"/>
      <c r="E19" s="16"/>
      <c r="AC19" s="2"/>
    </row>
    <row r="20" spans="1:29" ht="17" x14ac:dyDescent="0.2">
      <c r="A20" s="30" t="s">
        <v>83</v>
      </c>
      <c r="B20" s="32">
        <v>26.26</v>
      </c>
      <c r="E20" s="16"/>
      <c r="AC20" s="2"/>
    </row>
    <row r="21" spans="1:29" ht="17" x14ac:dyDescent="0.2">
      <c r="A21" s="30" t="s">
        <v>127</v>
      </c>
      <c r="B21" s="18" t="e">
        <f>AVERAGE(D2:D13)</f>
        <v>#DIV/0!</v>
      </c>
      <c r="C21" s="17"/>
      <c r="E21" s="16"/>
      <c r="AC21" s="2"/>
    </row>
    <row r="22" spans="1:29" ht="17" x14ac:dyDescent="0.2">
      <c r="A22" s="30" t="s">
        <v>115</v>
      </c>
      <c r="B22" s="18" t="e">
        <f>SUM(AJ2:AJ13)</f>
        <v>#DIV/0!</v>
      </c>
      <c r="C22" s="17"/>
      <c r="E22" s="16"/>
      <c r="AC22" s="2"/>
    </row>
    <row r="23" spans="1:29" ht="17" x14ac:dyDescent="0.2">
      <c r="A23" s="3" t="s">
        <v>85</v>
      </c>
      <c r="B23" s="17">
        <f>AVERAGE(V2:V13)</f>
        <v>11.744843248851497</v>
      </c>
      <c r="C23" s="17"/>
      <c r="E23" s="16"/>
      <c r="AC23" s="2"/>
    </row>
    <row r="24" spans="1:29" ht="17" x14ac:dyDescent="0.2">
      <c r="A24" s="3" t="s">
        <v>133</v>
      </c>
      <c r="B24" s="17">
        <f>AVERAGE(W2:W13)</f>
        <v>394.10851059567722</v>
      </c>
      <c r="C24" s="17"/>
      <c r="E24" s="16"/>
      <c r="AC24" s="2"/>
    </row>
    <row r="25" spans="1:29" ht="17" x14ac:dyDescent="0.2">
      <c r="A25" s="30" t="s">
        <v>134</v>
      </c>
      <c r="B25" s="18">
        <f>SUM(AM2:AM13)</f>
        <v>208.96041118393964</v>
      </c>
      <c r="C25" s="17"/>
      <c r="E25" s="16"/>
      <c r="AC25" s="2"/>
    </row>
    <row r="26" spans="1:29" ht="17" x14ac:dyDescent="0.2">
      <c r="A26" s="3" t="s">
        <v>136</v>
      </c>
      <c r="B26" s="19">
        <f>AVERAGE(AB2:AB13)</f>
        <v>0.1797914635743767</v>
      </c>
      <c r="C26" s="37"/>
      <c r="E26" s="16"/>
      <c r="AC26" s="2"/>
    </row>
    <row r="27" spans="1:29" ht="17" x14ac:dyDescent="0.2">
      <c r="A27" s="30" t="s">
        <v>137</v>
      </c>
      <c r="B27" s="31">
        <f>SUM(AL2:AL13)</f>
        <v>0.32094562229545093</v>
      </c>
      <c r="C27" s="37"/>
      <c r="E27" s="16"/>
      <c r="AC27" s="2"/>
    </row>
    <row r="28" spans="1:29" ht="17" x14ac:dyDescent="0.2">
      <c r="A28" s="3" t="s">
        <v>121</v>
      </c>
      <c r="B28" s="19">
        <f>AVERAGE(Z2:Z13)</f>
        <v>0.26513263072504301</v>
      </c>
      <c r="C28" s="37"/>
      <c r="E28" s="16"/>
      <c r="AC28" s="2"/>
    </row>
    <row r="29" spans="1:29" ht="34" x14ac:dyDescent="0.2">
      <c r="A29" s="30" t="s">
        <v>132</v>
      </c>
      <c r="B29" s="31">
        <f>SUM(AK2:AK13)</f>
        <v>0.31398308597753033</v>
      </c>
      <c r="C29" s="37"/>
      <c r="E29" s="16"/>
      <c r="AC29" s="2"/>
    </row>
    <row r="30" spans="1:29" x14ac:dyDescent="0.2">
      <c r="A30" s="3"/>
      <c r="B30" s="17"/>
      <c r="C30" s="17"/>
      <c r="E30" s="16"/>
      <c r="AC30" s="2"/>
    </row>
    <row r="31" spans="1:29" ht="17" x14ac:dyDescent="0.2">
      <c r="A31" s="3" t="s">
        <v>84</v>
      </c>
      <c r="B31" s="17">
        <f>AVERAGE(U2:U13)</f>
        <v>38.55030439552614</v>
      </c>
      <c r="C31" s="17"/>
      <c r="E31" s="16"/>
      <c r="AC31" s="2"/>
    </row>
    <row r="32" spans="1:29" ht="17" x14ac:dyDescent="0.2">
      <c r="A32" s="3" t="s">
        <v>86</v>
      </c>
      <c r="B32" s="20">
        <f>AVERAGE(AA2:AA13)</f>
        <v>0.32827285111559146</v>
      </c>
      <c r="C32" s="20"/>
      <c r="E32" s="16"/>
      <c r="AC32" s="2"/>
    </row>
  </sheetData>
  <sortState xmlns:xlrd2="http://schemas.microsoft.com/office/spreadsheetml/2017/richdata2" ref="A2:AS32">
    <sortCondition descending="1" ref="C1:C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2DD4-9CCF-8349-AD41-CC6B2329B58B}">
  <dimension ref="A1:AP180"/>
  <sheetViews>
    <sheetView zoomScale="92" workbookViewId="0">
      <pane xSplit="1" ySplit="2" topLeftCell="Z132" activePane="bottomRight" state="frozen"/>
      <selection pane="topRight" activeCell="B1" sqref="B1"/>
      <selection pane="bottomLeft" activeCell="A3" sqref="A3"/>
      <selection pane="bottomRight" activeCell="AB133" sqref="AB133"/>
    </sheetView>
  </sheetViews>
  <sheetFormatPr baseColWidth="10" defaultRowHeight="16" outlineLevelCol="1" x14ac:dyDescent="0.2"/>
  <cols>
    <col min="1" max="1" width="26" bestFit="1" customWidth="1"/>
    <col min="2" max="23" width="19.6640625" customWidth="1" outlineLevel="1"/>
    <col min="24" max="28" width="8.33203125" bestFit="1" customWidth="1"/>
    <col min="29" max="29" width="8.33203125" customWidth="1"/>
    <col min="36" max="37" width="7.83203125" bestFit="1" customWidth="1"/>
    <col min="38" max="38" width="7.33203125" bestFit="1" customWidth="1"/>
    <col min="39" max="39" width="3.5" bestFit="1" customWidth="1"/>
  </cols>
  <sheetData>
    <row r="1" spans="1:41" x14ac:dyDescent="0.2">
      <c r="A1" s="46" t="s">
        <v>164</v>
      </c>
      <c r="B1" s="46">
        <f>C1-1</f>
        <v>1997</v>
      </c>
      <c r="C1" s="46">
        <f>D1-1</f>
        <v>1998</v>
      </c>
      <c r="D1" s="1">
        <v>1999</v>
      </c>
      <c r="E1" s="1">
        <f>D1+1</f>
        <v>2000</v>
      </c>
      <c r="F1" s="1">
        <f t="shared" ref="F1:AA1" si="0">E1+1</f>
        <v>2001</v>
      </c>
      <c r="G1" s="1">
        <f t="shared" si="0"/>
        <v>2002</v>
      </c>
      <c r="H1" s="1">
        <f t="shared" si="0"/>
        <v>2003</v>
      </c>
      <c r="I1" s="1">
        <f t="shared" si="0"/>
        <v>2004</v>
      </c>
      <c r="J1" s="1">
        <f t="shared" si="0"/>
        <v>2005</v>
      </c>
      <c r="K1" s="1">
        <f t="shared" si="0"/>
        <v>2006</v>
      </c>
      <c r="L1" s="1">
        <f t="shared" si="0"/>
        <v>2007</v>
      </c>
      <c r="M1" s="1">
        <f t="shared" si="0"/>
        <v>2008</v>
      </c>
      <c r="N1" s="1">
        <f t="shared" si="0"/>
        <v>2009</v>
      </c>
      <c r="O1" s="1">
        <f t="shared" si="0"/>
        <v>2010</v>
      </c>
      <c r="P1" s="1">
        <f t="shared" si="0"/>
        <v>2011</v>
      </c>
      <c r="Q1" s="1">
        <f t="shared" si="0"/>
        <v>2012</v>
      </c>
      <c r="R1" s="1">
        <f t="shared" si="0"/>
        <v>2013</v>
      </c>
      <c r="S1" s="1">
        <f t="shared" si="0"/>
        <v>2014</v>
      </c>
      <c r="T1" s="1">
        <f t="shared" si="0"/>
        <v>2015</v>
      </c>
      <c r="U1" s="1">
        <f t="shared" si="0"/>
        <v>2016</v>
      </c>
      <c r="V1" s="1">
        <f t="shared" si="0"/>
        <v>2017</v>
      </c>
      <c r="W1" s="1">
        <f>V1+1</f>
        <v>2018</v>
      </c>
      <c r="X1" s="1">
        <f t="shared" si="0"/>
        <v>2019</v>
      </c>
      <c r="Y1" s="1">
        <f t="shared" si="0"/>
        <v>2020</v>
      </c>
      <c r="Z1" s="1">
        <f t="shared" si="0"/>
        <v>2021</v>
      </c>
      <c r="AA1" s="1">
        <f t="shared" si="0"/>
        <v>2022</v>
      </c>
      <c r="AB1" s="1">
        <f>AA1+1</f>
        <v>2023</v>
      </c>
      <c r="AC1" s="1" t="s">
        <v>181</v>
      </c>
      <c r="AE1" s="80">
        <v>2023</v>
      </c>
      <c r="AF1" s="80"/>
      <c r="AG1" s="80"/>
      <c r="AH1" s="80"/>
      <c r="AJ1" s="80" t="s">
        <v>181</v>
      </c>
      <c r="AK1" s="80"/>
      <c r="AL1" s="80"/>
      <c r="AM1" s="80"/>
    </row>
    <row r="2" spans="1:41" x14ac:dyDescent="0.2">
      <c r="AE2" s="1" t="s">
        <v>183</v>
      </c>
      <c r="AF2" s="1" t="s">
        <v>184</v>
      </c>
      <c r="AG2" s="1" t="s">
        <v>185</v>
      </c>
      <c r="AH2" s="1" t="s">
        <v>186</v>
      </c>
      <c r="AJ2" s="1" t="s">
        <v>183</v>
      </c>
      <c r="AK2" s="1" t="s">
        <v>184</v>
      </c>
      <c r="AL2" s="1" t="s">
        <v>185</v>
      </c>
      <c r="AM2" s="1" t="s">
        <v>186</v>
      </c>
      <c r="AO2" s="1" t="s">
        <v>192</v>
      </c>
    </row>
    <row r="3" spans="1:41" x14ac:dyDescent="0.2">
      <c r="A3" s="45" t="s">
        <v>167</v>
      </c>
      <c r="B3" s="45"/>
      <c r="C3" s="45"/>
    </row>
    <row r="4" spans="1:41" s="2" customFormat="1" ht="17" x14ac:dyDescent="0.2">
      <c r="A4" s="3" t="s">
        <v>110</v>
      </c>
      <c r="B4" s="3"/>
      <c r="C4" s="3"/>
      <c r="D4" s="2">
        <v>3.94</v>
      </c>
      <c r="E4" s="2">
        <v>3.2</v>
      </c>
      <c r="F4" s="2">
        <v>2.68</v>
      </c>
      <c r="G4" s="2">
        <v>2.92</v>
      </c>
      <c r="H4" s="2">
        <v>3.85</v>
      </c>
      <c r="I4" s="2">
        <v>4.88</v>
      </c>
      <c r="J4" s="2">
        <v>5.67</v>
      </c>
      <c r="K4" s="2">
        <v>7.53</v>
      </c>
      <c r="L4" s="2">
        <v>8.8699999999999992</v>
      </c>
      <c r="M4" s="2">
        <v>11.14</v>
      </c>
      <c r="N4" s="2">
        <v>10.39</v>
      </c>
      <c r="O4" s="2">
        <v>10.98</v>
      </c>
      <c r="P4" s="2">
        <v>14.96</v>
      </c>
      <c r="Q4" s="2">
        <v>19.12</v>
      </c>
      <c r="R4" s="2">
        <v>24.87</v>
      </c>
      <c r="S4" s="2">
        <v>26.49</v>
      </c>
      <c r="T4" s="2">
        <v>25.28</v>
      </c>
      <c r="U4" s="2">
        <v>23.55</v>
      </c>
      <c r="V4" s="2">
        <v>22.26</v>
      </c>
      <c r="W4" s="2">
        <v>22.61</v>
      </c>
      <c r="X4" s="2">
        <v>24.27</v>
      </c>
      <c r="Y4" s="2">
        <v>23.53</v>
      </c>
      <c r="Z4" s="2">
        <v>33.57</v>
      </c>
      <c r="AA4" s="2">
        <v>44.2</v>
      </c>
      <c r="AB4" s="2">
        <v>35.82</v>
      </c>
      <c r="AC4" s="2">
        <f>SUM(AJ4:AL4)</f>
        <v>28.72</v>
      </c>
      <c r="AH4" s="2">
        <v>8.6300000000000008</v>
      </c>
      <c r="AJ4" s="2">
        <v>9.94</v>
      </c>
      <c r="AK4" s="2">
        <v>9.39</v>
      </c>
      <c r="AL4" s="2">
        <v>9.39</v>
      </c>
      <c r="AO4" s="2">
        <f>SUM(AJ4:AL4)+AH4</f>
        <v>37.35</v>
      </c>
    </row>
    <row r="5" spans="1:41" x14ac:dyDescent="0.2">
      <c r="A5" s="1" t="s">
        <v>148</v>
      </c>
      <c r="B5" s="1"/>
      <c r="C5" s="1"/>
      <c r="H5">
        <v>9.83</v>
      </c>
      <c r="I5">
        <v>11.55</v>
      </c>
      <c r="J5">
        <v>12.34</v>
      </c>
      <c r="K5">
        <v>14.26</v>
      </c>
      <c r="L5">
        <v>13.84</v>
      </c>
      <c r="M5">
        <v>12.5</v>
      </c>
      <c r="N5">
        <v>10.43</v>
      </c>
      <c r="O5">
        <v>13.97</v>
      </c>
      <c r="P5">
        <v>13.74</v>
      </c>
      <c r="Q5">
        <v>12.83</v>
      </c>
      <c r="R5">
        <v>12.21</v>
      </c>
      <c r="S5">
        <v>13.05</v>
      </c>
      <c r="T5">
        <v>13</v>
      </c>
      <c r="U5">
        <v>13.37</v>
      </c>
      <c r="V5">
        <v>14.96</v>
      </c>
      <c r="W5">
        <v>15.78</v>
      </c>
      <c r="X5">
        <v>14.38</v>
      </c>
      <c r="Y5">
        <v>14.46</v>
      </c>
      <c r="Z5">
        <v>18.34</v>
      </c>
      <c r="AA5">
        <v>20.03</v>
      </c>
      <c r="AB5">
        <v>17.52</v>
      </c>
      <c r="AC5" s="2">
        <f t="shared" ref="AC5:AC10" si="1">SUM(AJ5:AL5)</f>
        <v>7.48</v>
      </c>
      <c r="AG5">
        <v>4.53</v>
      </c>
      <c r="AH5">
        <v>4.08</v>
      </c>
      <c r="AJ5">
        <v>3.66</v>
      </c>
      <c r="AK5">
        <v>3.82</v>
      </c>
      <c r="AO5">
        <f>SUM(AJ5:AK5)+SUM(AG5:AH5)</f>
        <v>16.09</v>
      </c>
    </row>
    <row r="6" spans="1:41" x14ac:dyDescent="0.2">
      <c r="A6" s="1" t="s">
        <v>149</v>
      </c>
      <c r="B6" s="1"/>
      <c r="C6" s="1"/>
      <c r="M6">
        <v>5.44</v>
      </c>
      <c r="N6">
        <v>3.52</v>
      </c>
      <c r="O6">
        <v>4.4000000000000004</v>
      </c>
      <c r="P6">
        <v>4.1900000000000004</v>
      </c>
      <c r="Q6">
        <v>4.3600000000000003</v>
      </c>
      <c r="R6">
        <v>4.82</v>
      </c>
      <c r="S6">
        <v>5.65</v>
      </c>
      <c r="T6">
        <v>6.1</v>
      </c>
      <c r="U6">
        <v>9.5</v>
      </c>
      <c r="V6">
        <v>9.26</v>
      </c>
      <c r="W6">
        <v>9.41</v>
      </c>
      <c r="X6">
        <v>8.8800000000000008</v>
      </c>
      <c r="Y6">
        <v>8.61</v>
      </c>
      <c r="Z6">
        <v>11.06</v>
      </c>
      <c r="AA6">
        <v>13.21</v>
      </c>
      <c r="AB6">
        <v>13.28</v>
      </c>
      <c r="AC6" s="2">
        <f t="shared" si="1"/>
        <v>6.26</v>
      </c>
      <c r="AG6">
        <v>3.41</v>
      </c>
      <c r="AH6">
        <v>3.51</v>
      </c>
      <c r="AJ6">
        <v>3.13</v>
      </c>
      <c r="AK6">
        <v>3.13</v>
      </c>
      <c r="AO6">
        <f>SUM(AJ6:AK6)+SUM(AG6:AH6)</f>
        <v>13.18</v>
      </c>
    </row>
    <row r="7" spans="1:41" x14ac:dyDescent="0.2">
      <c r="A7" s="1" t="s">
        <v>187</v>
      </c>
      <c r="B7" s="1"/>
      <c r="C7" s="1"/>
      <c r="D7">
        <v>3.18</v>
      </c>
      <c r="E7">
        <v>3.99</v>
      </c>
      <c r="F7">
        <v>7.3</v>
      </c>
      <c r="G7">
        <v>6.17</v>
      </c>
      <c r="H7">
        <v>5.2</v>
      </c>
      <c r="I7">
        <v>7.19</v>
      </c>
      <c r="J7">
        <v>6.77</v>
      </c>
      <c r="K7">
        <v>7.93</v>
      </c>
      <c r="L7">
        <v>7.65</v>
      </c>
      <c r="M7">
        <v>4.32</v>
      </c>
      <c r="N7">
        <v>2.1800000000000002</v>
      </c>
      <c r="O7">
        <v>3.3</v>
      </c>
      <c r="P7">
        <v>4</v>
      </c>
      <c r="Q7">
        <v>3.9</v>
      </c>
      <c r="R7">
        <v>3.84</v>
      </c>
      <c r="S7">
        <v>4.32</v>
      </c>
      <c r="T7">
        <v>5.8</v>
      </c>
      <c r="U7">
        <v>6.47</v>
      </c>
      <c r="V7">
        <v>7.06</v>
      </c>
      <c r="W7">
        <v>7.6</v>
      </c>
      <c r="X7">
        <v>8.0299999999999994</v>
      </c>
      <c r="Y7">
        <v>8.57</v>
      </c>
      <c r="Z7">
        <v>11.06</v>
      </c>
      <c r="AA7">
        <v>14.22</v>
      </c>
      <c r="AB7">
        <v>16.309999999999999</v>
      </c>
      <c r="AC7" s="2">
        <f t="shared" si="1"/>
        <v>11.030000000000001</v>
      </c>
      <c r="AH7">
        <v>4.1500000000000004</v>
      </c>
      <c r="AJ7">
        <v>3.7</v>
      </c>
      <c r="AK7">
        <v>3.63</v>
      </c>
      <c r="AL7">
        <v>3.7</v>
      </c>
      <c r="AO7" s="2">
        <f>SUM(AJ7:AL7)+AH7</f>
        <v>15.180000000000001</v>
      </c>
    </row>
    <row r="8" spans="1:41" ht="17" x14ac:dyDescent="0.2">
      <c r="A8" s="3" t="s">
        <v>162</v>
      </c>
      <c r="B8" s="3"/>
      <c r="C8" s="3"/>
      <c r="F8">
        <v>1.22</v>
      </c>
      <c r="G8">
        <v>1.0900000000000001</v>
      </c>
      <c r="H8">
        <v>1.07</v>
      </c>
      <c r="I8">
        <v>1.27</v>
      </c>
      <c r="J8">
        <v>1.26</v>
      </c>
      <c r="K8">
        <v>1.53</v>
      </c>
      <c r="L8">
        <v>1.57</v>
      </c>
      <c r="M8">
        <v>2.0499999999999998</v>
      </c>
      <c r="N8">
        <v>1.77</v>
      </c>
      <c r="O8">
        <v>2.31</v>
      </c>
      <c r="P8">
        <v>3.44</v>
      </c>
      <c r="Q8">
        <v>2.89</v>
      </c>
      <c r="R8">
        <v>2.78</v>
      </c>
      <c r="S8">
        <v>3.16</v>
      </c>
      <c r="T8">
        <v>3.5</v>
      </c>
      <c r="U8">
        <v>3.91</v>
      </c>
      <c r="V8">
        <v>5.54</v>
      </c>
      <c r="W8">
        <v>5.88</v>
      </c>
      <c r="X8">
        <v>5.52</v>
      </c>
      <c r="Y8">
        <v>5.26</v>
      </c>
      <c r="Z8">
        <v>6.74</v>
      </c>
      <c r="AA8">
        <v>8.33</v>
      </c>
      <c r="AB8">
        <v>8.25</v>
      </c>
      <c r="AC8" s="2">
        <f t="shared" si="1"/>
        <v>3.6</v>
      </c>
      <c r="AG8">
        <v>2.1800000000000002</v>
      </c>
      <c r="AH8">
        <v>2.02</v>
      </c>
      <c r="AJ8">
        <v>1.86</v>
      </c>
      <c r="AK8">
        <v>1.74</v>
      </c>
      <c r="AO8">
        <f>SUM(AJ8:AK8)+SUM(AG8:AH8)</f>
        <v>7.8000000000000007</v>
      </c>
    </row>
    <row r="9" spans="1:41" x14ac:dyDescent="0.2">
      <c r="A9" s="1" t="s">
        <v>151</v>
      </c>
      <c r="B9" s="1"/>
      <c r="C9" s="1"/>
      <c r="J9">
        <v>710.46</v>
      </c>
      <c r="K9">
        <v>647.88</v>
      </c>
      <c r="L9">
        <v>694.83</v>
      </c>
      <c r="M9">
        <v>691.65</v>
      </c>
      <c r="N9">
        <v>550.67999999999995</v>
      </c>
      <c r="O9">
        <v>471.03</v>
      </c>
      <c r="P9">
        <v>1140</v>
      </c>
      <c r="Q9">
        <v>883.11</v>
      </c>
      <c r="R9">
        <v>785.76</v>
      </c>
      <c r="S9">
        <v>833.01</v>
      </c>
      <c r="T9">
        <v>791.07</v>
      </c>
      <c r="U9">
        <v>693.29</v>
      </c>
      <c r="V9">
        <v>779.26</v>
      </c>
      <c r="W9">
        <v>756.5</v>
      </c>
      <c r="X9">
        <v>718.24</v>
      </c>
      <c r="Y9">
        <v>715.67</v>
      </c>
      <c r="Z9">
        <v>993.91</v>
      </c>
      <c r="AA9">
        <v>1500</v>
      </c>
      <c r="AB9">
        <v>1470</v>
      </c>
      <c r="AC9" s="2">
        <f t="shared" si="1"/>
        <v>710.6</v>
      </c>
      <c r="AG9">
        <v>379.39</v>
      </c>
      <c r="AH9">
        <v>361.93</v>
      </c>
      <c r="AJ9">
        <v>351.79</v>
      </c>
      <c r="AK9">
        <v>358.81</v>
      </c>
      <c r="AO9">
        <f t="shared" ref="AO9:AO10" si="2">SUM(AJ9:AK9)+SUM(AG9:AH9)</f>
        <v>1451.92</v>
      </c>
    </row>
    <row r="10" spans="1:41" x14ac:dyDescent="0.2">
      <c r="A10" s="1" t="s">
        <v>152</v>
      </c>
      <c r="B10" s="65">
        <v>4.0199999999999996</v>
      </c>
      <c r="C10" s="1">
        <v>4.25</v>
      </c>
      <c r="D10">
        <v>5.0599999999999996</v>
      </c>
      <c r="E10">
        <v>7.81</v>
      </c>
      <c r="F10">
        <v>6.36</v>
      </c>
      <c r="G10">
        <v>6.32</v>
      </c>
      <c r="H10">
        <v>7.24</v>
      </c>
      <c r="I10">
        <v>8.76</v>
      </c>
      <c r="J10">
        <v>8.8800000000000008</v>
      </c>
      <c r="K10">
        <v>9.85</v>
      </c>
      <c r="L10">
        <v>10</v>
      </c>
      <c r="M10">
        <v>9.84</v>
      </c>
      <c r="N10">
        <v>8.51</v>
      </c>
      <c r="O10">
        <v>10.35</v>
      </c>
      <c r="P10">
        <v>9.6300000000000008</v>
      </c>
      <c r="Q10">
        <v>8.49</v>
      </c>
      <c r="R10">
        <v>8.0500000000000007</v>
      </c>
      <c r="S10">
        <v>7.34</v>
      </c>
      <c r="T10">
        <v>6.9</v>
      </c>
      <c r="U10">
        <v>6.97</v>
      </c>
      <c r="V10">
        <v>8.35</v>
      </c>
      <c r="W10">
        <v>9.66</v>
      </c>
      <c r="X10">
        <v>9.56</v>
      </c>
      <c r="Y10">
        <v>10.220000000000001</v>
      </c>
      <c r="Z10">
        <v>12.76</v>
      </c>
      <c r="AA10">
        <v>16.13</v>
      </c>
      <c r="AB10">
        <v>17.29</v>
      </c>
      <c r="AC10" s="2">
        <f t="shared" si="1"/>
        <v>6.46</v>
      </c>
      <c r="AG10">
        <v>4.42</v>
      </c>
      <c r="AH10">
        <v>4.26</v>
      </c>
      <c r="AJ10">
        <v>3.23</v>
      </c>
      <c r="AK10">
        <v>3.23</v>
      </c>
      <c r="AO10">
        <f t="shared" si="2"/>
        <v>15.14</v>
      </c>
    </row>
    <row r="11" spans="1:41" x14ac:dyDescent="0.2">
      <c r="A11" s="57" t="s">
        <v>4</v>
      </c>
      <c r="B11" s="57"/>
      <c r="C11" s="57"/>
    </row>
    <row r="13" spans="1:41" x14ac:dyDescent="0.2">
      <c r="A13" s="46" t="s">
        <v>165</v>
      </c>
      <c r="B13" s="47"/>
      <c r="C13" s="47"/>
    </row>
    <row r="14" spans="1:41" ht="17" x14ac:dyDescent="0.2">
      <c r="A14" s="54" t="s">
        <v>110</v>
      </c>
      <c r="B14" s="54"/>
      <c r="C14" s="54"/>
      <c r="E14" s="19">
        <f>E4/D4-1</f>
        <v>-0.18781725888324863</v>
      </c>
      <c r="F14" s="19">
        <f t="shared" ref="F14:AB16" si="3">F4/E4-1</f>
        <v>-0.16249999999999998</v>
      </c>
      <c r="G14" s="19">
        <f t="shared" si="3"/>
        <v>8.9552238805969964E-2</v>
      </c>
      <c r="H14" s="19">
        <f t="shared" si="3"/>
        <v>0.31849315068493156</v>
      </c>
      <c r="I14" s="19">
        <f t="shared" si="3"/>
        <v>0.26753246753246751</v>
      </c>
      <c r="J14" s="19">
        <f t="shared" si="3"/>
        <v>0.16188524590163933</v>
      </c>
      <c r="K14" s="19">
        <f t="shared" si="3"/>
        <v>0.32804232804232814</v>
      </c>
      <c r="L14" s="19">
        <f t="shared" si="3"/>
        <v>0.17795484727755628</v>
      </c>
      <c r="M14" s="19">
        <f t="shared" si="3"/>
        <v>0.25591882750845563</v>
      </c>
      <c r="N14" s="19">
        <f t="shared" si="3"/>
        <v>-6.7324955116696561E-2</v>
      </c>
      <c r="O14" s="19">
        <f t="shared" si="3"/>
        <v>5.678537054860433E-2</v>
      </c>
      <c r="P14" s="19">
        <f t="shared" si="3"/>
        <v>0.36247723132969045</v>
      </c>
      <c r="Q14" s="19">
        <f t="shared" si="3"/>
        <v>0.27807486631016043</v>
      </c>
      <c r="R14" s="19">
        <f t="shared" si="3"/>
        <v>0.30073221757322166</v>
      </c>
      <c r="S14" s="19">
        <f t="shared" si="3"/>
        <v>6.5138721351025275E-2</v>
      </c>
      <c r="T14" s="19">
        <f t="shared" si="3"/>
        <v>-4.5677614194035376E-2</v>
      </c>
      <c r="U14" s="19">
        <f t="shared" si="3"/>
        <v>-6.8433544303797444E-2</v>
      </c>
      <c r="V14" s="19">
        <f>V4/U4-1</f>
        <v>-5.4777070063694255E-2</v>
      </c>
      <c r="W14" s="19">
        <f t="shared" si="3"/>
        <v>1.5723270440251458E-2</v>
      </c>
      <c r="X14" s="19">
        <f t="shared" si="3"/>
        <v>7.3418841220698861E-2</v>
      </c>
      <c r="Y14" s="19">
        <f t="shared" si="3"/>
        <v>-3.0490317264111999E-2</v>
      </c>
      <c r="Z14" s="19">
        <f t="shared" si="3"/>
        <v>0.42668933276668075</v>
      </c>
      <c r="AA14" s="19">
        <f t="shared" si="3"/>
        <v>0.31665177241584752</v>
      </c>
      <c r="AB14" s="19">
        <f t="shared" si="3"/>
        <v>-0.18959276018099547</v>
      </c>
      <c r="AC14" s="19">
        <f>AC4/M4-1</f>
        <v>1.5780969479353679</v>
      </c>
    </row>
    <row r="15" spans="1:41" x14ac:dyDescent="0.2">
      <c r="A15" s="51" t="s">
        <v>148</v>
      </c>
      <c r="B15" s="51"/>
      <c r="C15" s="51"/>
      <c r="I15" s="19">
        <f t="shared" si="3"/>
        <v>0.17497456765005093</v>
      </c>
      <c r="J15" s="19">
        <f t="shared" si="3"/>
        <v>6.8398268398268236E-2</v>
      </c>
      <c r="K15" s="19">
        <f t="shared" si="3"/>
        <v>0.15559157212317665</v>
      </c>
      <c r="L15" s="19">
        <f t="shared" si="3"/>
        <v>-2.9453015427770013E-2</v>
      </c>
      <c r="M15" s="19">
        <f t="shared" si="3"/>
        <v>-9.6820809248554851E-2</v>
      </c>
      <c r="N15" s="19">
        <f t="shared" si="3"/>
        <v>-0.16559999999999997</v>
      </c>
      <c r="O15" s="19">
        <f t="shared" si="3"/>
        <v>0.33940556088207097</v>
      </c>
      <c r="P15" s="19">
        <f t="shared" si="3"/>
        <v>-1.6463851109520422E-2</v>
      </c>
      <c r="Q15" s="19">
        <f t="shared" si="3"/>
        <v>-6.6229985443959305E-2</v>
      </c>
      <c r="R15" s="19">
        <f t="shared" si="3"/>
        <v>-4.8324240062353807E-2</v>
      </c>
      <c r="S15" s="19">
        <f t="shared" si="3"/>
        <v>6.8796068796068699E-2</v>
      </c>
      <c r="T15" s="19">
        <f t="shared" si="3"/>
        <v>-3.8314176245211051E-3</v>
      </c>
      <c r="U15" s="19">
        <f t="shared" si="3"/>
        <v>2.8461538461538316E-2</v>
      </c>
      <c r="V15" s="19">
        <f>V5/U5-1</f>
        <v>0.11892296185489926</v>
      </c>
      <c r="W15" s="19">
        <f t="shared" si="3"/>
        <v>5.4812834224598816E-2</v>
      </c>
      <c r="X15" s="19">
        <f t="shared" si="3"/>
        <v>-8.8719898605830072E-2</v>
      </c>
      <c r="Y15" s="19">
        <f t="shared" si="3"/>
        <v>5.5632823365785455E-3</v>
      </c>
      <c r="Z15" s="19">
        <f t="shared" si="3"/>
        <v>0.268326417704011</v>
      </c>
      <c r="AA15" s="19">
        <f t="shared" si="3"/>
        <v>9.2148309705561759E-2</v>
      </c>
      <c r="AB15" s="19">
        <f t="shared" si="3"/>
        <v>-0.12531203195207197</v>
      </c>
      <c r="AC15" s="19">
        <f t="shared" ref="AC15:AC20" si="4">AC5/M5-1</f>
        <v>-0.40159999999999996</v>
      </c>
    </row>
    <row r="16" spans="1:41" x14ac:dyDescent="0.2">
      <c r="A16" s="51" t="s">
        <v>149</v>
      </c>
      <c r="B16" s="51"/>
      <c r="C16" s="51"/>
      <c r="N16" s="19">
        <f t="shared" si="3"/>
        <v>-0.35294117647058831</v>
      </c>
      <c r="O16" s="19">
        <f t="shared" si="3"/>
        <v>0.25</v>
      </c>
      <c r="P16" s="19">
        <f t="shared" si="3"/>
        <v>-4.7727272727272729E-2</v>
      </c>
      <c r="Q16" s="19">
        <f t="shared" si="3"/>
        <v>4.0572792362768562E-2</v>
      </c>
      <c r="R16" s="19">
        <f t="shared" si="3"/>
        <v>0.10550458715596323</v>
      </c>
      <c r="S16" s="19">
        <f t="shared" si="3"/>
        <v>0.17219917012448138</v>
      </c>
      <c r="T16" s="19">
        <f t="shared" si="3"/>
        <v>7.9646017699114946E-2</v>
      </c>
      <c r="U16" s="19">
        <f t="shared" si="3"/>
        <v>0.55737704918032804</v>
      </c>
      <c r="V16" s="19">
        <f>V6/U6-1</f>
        <v>-2.5263157894736876E-2</v>
      </c>
      <c r="W16" s="19">
        <f t="shared" si="3"/>
        <v>1.6198704103671746E-2</v>
      </c>
      <c r="X16" s="19">
        <f t="shared" si="3"/>
        <v>-5.6323060573857497E-2</v>
      </c>
      <c r="Y16" s="19">
        <f t="shared" si="3"/>
        <v>-3.0405405405405594E-2</v>
      </c>
      <c r="Z16" s="19">
        <f t="shared" si="3"/>
        <v>0.28455284552845539</v>
      </c>
      <c r="AA16" s="19">
        <f t="shared" si="3"/>
        <v>0.19439421338155527</v>
      </c>
      <c r="AB16" s="19">
        <f t="shared" si="3"/>
        <v>5.2990158970476209E-3</v>
      </c>
      <c r="AC16" s="19">
        <f t="shared" si="4"/>
        <v>0.15073529411764697</v>
      </c>
    </row>
    <row r="17" spans="1:42" x14ac:dyDescent="0.2">
      <c r="A17" s="51" t="s">
        <v>150</v>
      </c>
      <c r="B17" s="51"/>
      <c r="C17" s="51"/>
      <c r="E17" s="19">
        <f>E7/D7-1</f>
        <v>0.25471698113207553</v>
      </c>
      <c r="F17" s="19">
        <f t="shared" ref="F17:AB19" si="5">F7/E7-1</f>
        <v>0.82957393483709252</v>
      </c>
      <c r="G17" s="19">
        <f t="shared" si="5"/>
        <v>-0.15479452054794518</v>
      </c>
      <c r="H17" s="19">
        <f t="shared" si="5"/>
        <v>-0.15721231766612642</v>
      </c>
      <c r="I17" s="19">
        <f t="shared" si="5"/>
        <v>0.38269230769230766</v>
      </c>
      <c r="J17" s="19">
        <f t="shared" si="5"/>
        <v>-5.8414464534075172E-2</v>
      </c>
      <c r="K17" s="19">
        <f t="shared" si="5"/>
        <v>0.17134416543574593</v>
      </c>
      <c r="L17" s="19">
        <f t="shared" si="5"/>
        <v>-3.5308953341740112E-2</v>
      </c>
      <c r="M17" s="19">
        <f t="shared" si="5"/>
        <v>-0.43529411764705883</v>
      </c>
      <c r="N17" s="19">
        <f>N7/M7-1</f>
        <v>-0.49537037037037035</v>
      </c>
      <c r="O17" s="19">
        <f t="shared" si="5"/>
        <v>0.51376146788990806</v>
      </c>
      <c r="P17" s="19">
        <f t="shared" si="5"/>
        <v>0.21212121212121215</v>
      </c>
      <c r="Q17" s="19">
        <f t="shared" si="5"/>
        <v>-2.5000000000000022E-2</v>
      </c>
      <c r="R17" s="19">
        <f>R7/Q7-1</f>
        <v>-1.5384615384615441E-2</v>
      </c>
      <c r="S17" s="19">
        <f t="shared" si="5"/>
        <v>0.12500000000000022</v>
      </c>
      <c r="T17" s="19">
        <f t="shared" si="5"/>
        <v>0.34259259259259256</v>
      </c>
      <c r="U17" s="19">
        <f t="shared" si="5"/>
        <v>0.11551724137931041</v>
      </c>
      <c r="V17" s="19">
        <f t="shared" si="5"/>
        <v>9.119010819165374E-2</v>
      </c>
      <c r="W17" s="19">
        <f t="shared" si="5"/>
        <v>7.6487252124645799E-2</v>
      </c>
      <c r="X17" s="19">
        <f t="shared" si="5"/>
        <v>5.6578947368421062E-2</v>
      </c>
      <c r="Y17" s="19">
        <f>Y7/X7-1</f>
        <v>6.7247820672478253E-2</v>
      </c>
      <c r="Z17" s="19">
        <f t="shared" si="5"/>
        <v>0.29054842473745635</v>
      </c>
      <c r="AA17" s="19">
        <f t="shared" si="5"/>
        <v>0.28571428571428581</v>
      </c>
      <c r="AB17" s="19">
        <f t="shared" si="5"/>
        <v>0.14697609001406464</v>
      </c>
      <c r="AC17" s="19">
        <f t="shared" si="4"/>
        <v>1.5532407407407409</v>
      </c>
    </row>
    <row r="18" spans="1:42" ht="17" x14ac:dyDescent="0.2">
      <c r="A18" s="54" t="s">
        <v>162</v>
      </c>
      <c r="B18" s="54"/>
      <c r="C18" s="54"/>
      <c r="G18" s="19">
        <f t="shared" si="5"/>
        <v>-0.10655737704918022</v>
      </c>
      <c r="H18" s="19">
        <f t="shared" si="5"/>
        <v>-1.834862385321101E-2</v>
      </c>
      <c r="I18" s="19">
        <f t="shared" si="5"/>
        <v>0.18691588785046731</v>
      </c>
      <c r="J18" s="19">
        <f t="shared" si="5"/>
        <v>-7.8740157480314821E-3</v>
      </c>
      <c r="K18" s="19">
        <f t="shared" si="5"/>
        <v>0.21428571428571419</v>
      </c>
      <c r="L18" s="19">
        <f t="shared" si="5"/>
        <v>2.6143790849673332E-2</v>
      </c>
      <c r="M18" s="19">
        <f t="shared" si="5"/>
        <v>0.30573248407643305</v>
      </c>
      <c r="N18" s="19">
        <f t="shared" si="5"/>
        <v>-0.13658536585365844</v>
      </c>
      <c r="O18" s="19">
        <f t="shared" si="5"/>
        <v>0.30508474576271194</v>
      </c>
      <c r="P18" s="19">
        <f t="shared" si="5"/>
        <v>0.48917748917748916</v>
      </c>
      <c r="Q18" s="19">
        <f t="shared" si="5"/>
        <v>-0.15988372093023251</v>
      </c>
      <c r="R18" s="19">
        <f t="shared" si="5"/>
        <v>-3.8062283737024361E-2</v>
      </c>
      <c r="S18" s="19">
        <f t="shared" si="5"/>
        <v>0.13669064748201443</v>
      </c>
      <c r="T18" s="19">
        <f t="shared" si="5"/>
        <v>0.10759493670886067</v>
      </c>
      <c r="U18" s="19">
        <f t="shared" si="5"/>
        <v>0.11714285714285722</v>
      </c>
      <c r="V18" s="19">
        <f t="shared" si="5"/>
        <v>0.41687979539641939</v>
      </c>
      <c r="W18" s="19">
        <f t="shared" si="5"/>
        <v>6.1371841155234641E-2</v>
      </c>
      <c r="X18" s="19">
        <f t="shared" si="5"/>
        <v>-6.1224489795918435E-2</v>
      </c>
      <c r="Y18" s="19">
        <f t="shared" si="5"/>
        <v>-4.7101449275362306E-2</v>
      </c>
      <c r="Z18" s="19">
        <f t="shared" si="5"/>
        <v>0.28136882129277585</v>
      </c>
      <c r="AA18" s="19">
        <f t="shared" si="5"/>
        <v>0.23590504451038563</v>
      </c>
      <c r="AB18" s="19">
        <f t="shared" si="5"/>
        <v>-9.6038415366146435E-3</v>
      </c>
      <c r="AC18" s="19">
        <f t="shared" si="4"/>
        <v>0.75609756097560998</v>
      </c>
    </row>
    <row r="19" spans="1:42" x14ac:dyDescent="0.2">
      <c r="A19" s="51" t="s">
        <v>151</v>
      </c>
      <c r="B19" s="51"/>
      <c r="C19" s="51"/>
      <c r="K19" s="19">
        <f t="shared" si="5"/>
        <v>-8.8083776708048345E-2</v>
      </c>
      <c r="L19" s="19">
        <f t="shared" si="5"/>
        <v>7.2467123541396727E-2</v>
      </c>
      <c r="M19" s="19">
        <f t="shared" si="5"/>
        <v>-4.5766590389016981E-3</v>
      </c>
      <c r="N19" s="19">
        <f t="shared" si="5"/>
        <v>-0.20381695944480593</v>
      </c>
      <c r="O19" s="19">
        <f t="shared" si="5"/>
        <v>-0.14463935497929825</v>
      </c>
      <c r="P19" s="19">
        <f t="shared" si="5"/>
        <v>1.4202280109547165</v>
      </c>
      <c r="Q19" s="19">
        <f t="shared" si="5"/>
        <v>-0.2253421052631579</v>
      </c>
      <c r="R19" s="19">
        <f t="shared" si="5"/>
        <v>-0.11023541801134629</v>
      </c>
      <c r="S19" s="19">
        <f t="shared" si="5"/>
        <v>6.0132864996945701E-2</v>
      </c>
      <c r="T19" s="19">
        <f t="shared" si="5"/>
        <v>-5.0347534843519171E-2</v>
      </c>
      <c r="U19" s="19">
        <f t="shared" si="5"/>
        <v>-0.12360473788665993</v>
      </c>
      <c r="V19" s="19">
        <f t="shared" si="5"/>
        <v>0.12400294249159804</v>
      </c>
      <c r="W19" s="19">
        <f t="shared" si="5"/>
        <v>-2.9207196571105931E-2</v>
      </c>
      <c r="X19" s="19">
        <f t="shared" si="5"/>
        <v>-5.0575016523463301E-2</v>
      </c>
      <c r="Y19" s="19">
        <f t="shared" si="5"/>
        <v>-3.5781911338829131E-3</v>
      </c>
      <c r="Z19" s="19">
        <f t="shared" si="5"/>
        <v>0.388782539438568</v>
      </c>
      <c r="AA19" s="19">
        <f t="shared" si="5"/>
        <v>0.50919097302572669</v>
      </c>
      <c r="AB19" s="19">
        <f t="shared" si="5"/>
        <v>-2.0000000000000018E-2</v>
      </c>
      <c r="AC19" s="19">
        <f t="shared" si="4"/>
        <v>2.7398250560254578E-2</v>
      </c>
    </row>
    <row r="20" spans="1:42" x14ac:dyDescent="0.2">
      <c r="A20" s="51" t="s">
        <v>152</v>
      </c>
      <c r="B20" s="51"/>
      <c r="C20" s="19">
        <f>C10/B10-1</f>
        <v>5.7213930348258835E-2</v>
      </c>
      <c r="D20" s="19">
        <f t="shared" ref="D20:AB20" si="6">D10/C10-1</f>
        <v>0.1905882352941175</v>
      </c>
      <c r="E20" s="19">
        <f t="shared" si="6"/>
        <v>0.54347826086956519</v>
      </c>
      <c r="F20" s="19">
        <f t="shared" si="6"/>
        <v>-0.18565941101152361</v>
      </c>
      <c r="G20" s="19">
        <f t="shared" si="6"/>
        <v>-6.2893081761006275E-3</v>
      </c>
      <c r="H20" s="19">
        <f t="shared" si="6"/>
        <v>0.14556962025316444</v>
      </c>
      <c r="I20" s="19">
        <f t="shared" si="6"/>
        <v>0.20994475138121538</v>
      </c>
      <c r="J20" s="19">
        <f t="shared" si="6"/>
        <v>1.3698630136986356E-2</v>
      </c>
      <c r="K20" s="19">
        <f t="shared" si="6"/>
        <v>0.10923423423423406</v>
      </c>
      <c r="L20" s="19">
        <f t="shared" si="6"/>
        <v>1.5228426395939021E-2</v>
      </c>
      <c r="M20" s="19">
        <f t="shared" si="6"/>
        <v>-1.6000000000000014E-2</v>
      </c>
      <c r="N20" s="19">
        <f>N10/M10-1</f>
        <v>-0.13516260162601623</v>
      </c>
      <c r="O20" s="19">
        <f t="shared" si="6"/>
        <v>0.21621621621621623</v>
      </c>
      <c r="P20" s="19">
        <f t="shared" si="6"/>
        <v>-6.9565217391304279E-2</v>
      </c>
      <c r="Q20" s="19">
        <f t="shared" si="6"/>
        <v>-0.11838006230529596</v>
      </c>
      <c r="R20" s="19">
        <f t="shared" si="6"/>
        <v>-5.1825677267373305E-2</v>
      </c>
      <c r="S20" s="19">
        <f t="shared" si="6"/>
        <v>-8.8198757763975233E-2</v>
      </c>
      <c r="T20" s="19">
        <f t="shared" si="6"/>
        <v>-5.9945504087193346E-2</v>
      </c>
      <c r="U20" s="19">
        <f t="shared" si="6"/>
        <v>1.0144927536231751E-2</v>
      </c>
      <c r="V20" s="19">
        <f>V10/U10-1</f>
        <v>0.19799139167862267</v>
      </c>
      <c r="W20" s="19">
        <f t="shared" si="6"/>
        <v>0.15688622754491033</v>
      </c>
      <c r="X20" s="19">
        <f t="shared" si="6"/>
        <v>-1.0351966873705987E-2</v>
      </c>
      <c r="Y20" s="19">
        <f t="shared" si="6"/>
        <v>6.9037656903765621E-2</v>
      </c>
      <c r="Z20" s="19">
        <f t="shared" si="6"/>
        <v>0.24853228962817986</v>
      </c>
      <c r="AA20" s="19">
        <f t="shared" si="6"/>
        <v>0.26410658307210033</v>
      </c>
      <c r="AB20" s="19">
        <f t="shared" si="6"/>
        <v>7.191568505889645E-2</v>
      </c>
      <c r="AC20" s="19">
        <f t="shared" si="4"/>
        <v>-0.3434959349593496</v>
      </c>
    </row>
    <row r="21" spans="1:42" x14ac:dyDescent="0.2">
      <c r="A21" s="56" t="s">
        <v>4</v>
      </c>
      <c r="B21" s="56"/>
      <c r="C21" s="56"/>
    </row>
    <row r="23" spans="1:42" x14ac:dyDescent="0.2">
      <c r="A23" s="55" t="s">
        <v>120</v>
      </c>
      <c r="B23" s="55"/>
      <c r="C23" s="55"/>
    </row>
    <row r="24" spans="1:42" ht="17" x14ac:dyDescent="0.2">
      <c r="A24" s="54" t="s">
        <v>110</v>
      </c>
      <c r="B24" s="54"/>
      <c r="C24" s="54"/>
      <c r="X24" s="17">
        <f>X52*X4</f>
        <v>7.666893</v>
      </c>
      <c r="Y24" s="17">
        <f>Y52*Y4</f>
        <v>6.2542739999999997</v>
      </c>
      <c r="Z24" s="17">
        <f>Z52*Z4</f>
        <v>9.7890120000000014</v>
      </c>
      <c r="AA24" s="17">
        <f>AA52*AA4</f>
        <v>15.858960000000002</v>
      </c>
      <c r="AB24" s="17">
        <f>AB52*AB4</f>
        <v>7.7872680000000001</v>
      </c>
      <c r="AE24">
        <v>2.4700000000000002</v>
      </c>
      <c r="AF24">
        <v>2.09</v>
      </c>
      <c r="AG24">
        <v>1.82</v>
      </c>
      <c r="AH24">
        <v>1.1299999999999999</v>
      </c>
      <c r="AJ24">
        <v>2.93</v>
      </c>
      <c r="AK24">
        <v>2.34</v>
      </c>
      <c r="AL24">
        <v>2.2999999999999998</v>
      </c>
      <c r="AO24" s="24">
        <f>SUM(AH24:AL24)</f>
        <v>8.6999999999999993</v>
      </c>
      <c r="AP24" s="19">
        <f>AO24/AO4</f>
        <v>0.2329317269076305</v>
      </c>
    </row>
    <row r="25" spans="1:42" x14ac:dyDescent="0.2">
      <c r="A25" s="51" t="s">
        <v>148</v>
      </c>
      <c r="B25" s="51"/>
      <c r="C25" s="51"/>
      <c r="X25" s="17">
        <f>X56*X5</f>
        <v>5.973452</v>
      </c>
      <c r="Y25" s="17">
        <f>Y56*Y5</f>
        <v>6.1151340000000003</v>
      </c>
      <c r="Z25" s="17">
        <f>Z56*Z5</f>
        <v>9.1534940000000002</v>
      </c>
      <c r="AA25" s="17">
        <f>AA56*AA5</f>
        <v>10.397573000000001</v>
      </c>
      <c r="AB25" s="17">
        <f>AB56*AB5</f>
        <v>7.3321199999999997</v>
      </c>
      <c r="AE25">
        <v>1.93</v>
      </c>
      <c r="AF25">
        <v>1.97</v>
      </c>
      <c r="AG25">
        <v>1.89</v>
      </c>
      <c r="AH25">
        <v>1.53</v>
      </c>
      <c r="AJ25">
        <v>1.1599999999999999</v>
      </c>
      <c r="AK25">
        <v>1.25</v>
      </c>
      <c r="AO25" s="24">
        <f>SUM(AG25:AK25)</f>
        <v>5.83</v>
      </c>
      <c r="AP25" s="19">
        <f>AO25/AO5</f>
        <v>0.36233685518955872</v>
      </c>
    </row>
    <row r="26" spans="1:42" x14ac:dyDescent="0.2">
      <c r="A26" s="51" t="s">
        <v>149</v>
      </c>
      <c r="B26" s="51"/>
      <c r="C26" s="51"/>
      <c r="X26" s="17">
        <f>X60*X6</f>
        <v>0.61627200000000004</v>
      </c>
      <c r="Y26" s="17">
        <f>Y60*Y6</f>
        <v>0.30393299999999995</v>
      </c>
      <c r="Z26" s="17">
        <f>Z60*Z6</f>
        <v>2.5825100000000001</v>
      </c>
      <c r="AA26" s="17">
        <f>AA60*AA6</f>
        <v>3.7952330000000001</v>
      </c>
      <c r="AB26" s="17">
        <f>AB60*AB6</f>
        <v>3.6772319999999996</v>
      </c>
      <c r="AE26">
        <v>0.82799999999999996</v>
      </c>
      <c r="AF26">
        <v>0.93700000000000006</v>
      </c>
      <c r="AG26">
        <v>0.999</v>
      </c>
      <c r="AH26">
        <v>0.91200000000000003</v>
      </c>
      <c r="AJ26">
        <v>0.86199999999999999</v>
      </c>
      <c r="AK26">
        <v>0.9</v>
      </c>
      <c r="AO26" s="24">
        <f>SUM(AG26:AK26)</f>
        <v>3.673</v>
      </c>
      <c r="AP26" s="19">
        <f t="shared" ref="AP26:AP30" si="7">AO26/AO6</f>
        <v>0.27867981790591806</v>
      </c>
    </row>
    <row r="27" spans="1:42" x14ac:dyDescent="0.2">
      <c r="A27" s="51" t="s">
        <v>150</v>
      </c>
      <c r="B27" s="51"/>
      <c r="C27" s="51"/>
      <c r="X27" s="17">
        <f>X64*X7</f>
        <v>1.161138</v>
      </c>
      <c r="Y27" s="17">
        <f>Y64*Y7</f>
        <v>0.58104600000000006</v>
      </c>
      <c r="Z27" s="17">
        <f>Z64*Z7</f>
        <v>1.4698739999999999</v>
      </c>
      <c r="AA27" s="17">
        <f>AA64*AA7</f>
        <v>2.8454220000000001</v>
      </c>
      <c r="AB27" s="17">
        <f>AB64*AB7</f>
        <v>3.9486509999999999</v>
      </c>
      <c r="AE27" s="24">
        <v>0.96599999999999997</v>
      </c>
      <c r="AF27" s="24">
        <v>1.07</v>
      </c>
      <c r="AG27" s="24">
        <v>0.996</v>
      </c>
      <c r="AH27" s="24">
        <v>0.91300000000000003</v>
      </c>
      <c r="AI27" s="24"/>
      <c r="AJ27" s="24">
        <v>0.70199999999999996</v>
      </c>
      <c r="AK27" s="24">
        <v>0.496</v>
      </c>
      <c r="AL27" s="24">
        <v>0.51900000000000002</v>
      </c>
      <c r="AO27" s="24">
        <f>SUM(AH27:AL27)</f>
        <v>2.63</v>
      </c>
      <c r="AP27" s="19">
        <f t="shared" si="7"/>
        <v>0.17325428194993411</v>
      </c>
    </row>
    <row r="28" spans="1:42" ht="17" x14ac:dyDescent="0.2">
      <c r="A28" s="54" t="s">
        <v>162</v>
      </c>
      <c r="B28" s="54"/>
      <c r="C28" s="54"/>
      <c r="X28" s="17">
        <f>X68*X8</f>
        <v>0.80591999999999986</v>
      </c>
      <c r="Y28" s="17">
        <f>Y68*Y8</f>
        <v>0.41553999999999996</v>
      </c>
      <c r="Z28" s="17">
        <f>Z68*Z8</f>
        <v>1.3621540000000001</v>
      </c>
      <c r="AA28" s="17">
        <f>AA68*AA8</f>
        <v>2.7655600000000002</v>
      </c>
      <c r="AB28" s="17">
        <f>AB68*AB8</f>
        <v>2.6127750000000001</v>
      </c>
      <c r="AE28">
        <v>0.61639999999999995</v>
      </c>
      <c r="AF28">
        <v>0.67730000000000001</v>
      </c>
      <c r="AG28">
        <v>0.69640000000000002</v>
      </c>
      <c r="AH28">
        <v>0.62350000000000005</v>
      </c>
      <c r="AJ28">
        <v>0.52659999999999996</v>
      </c>
      <c r="AK28">
        <v>0.46100000000000002</v>
      </c>
      <c r="AO28" s="24">
        <f>SUM(AG28:AK28)</f>
        <v>2.3075000000000001</v>
      </c>
      <c r="AP28" s="19">
        <f t="shared" si="7"/>
        <v>0.29583333333333334</v>
      </c>
    </row>
    <row r="29" spans="1:42" x14ac:dyDescent="0.2">
      <c r="A29" s="51" t="s">
        <v>151</v>
      </c>
      <c r="B29" s="51"/>
      <c r="C29" s="51"/>
      <c r="X29" s="17">
        <f>X9*X72</f>
        <v>6.8232799999999996</v>
      </c>
      <c r="Y29" s="17">
        <f>Y9*Y72</f>
        <v>65.125969999999995</v>
      </c>
      <c r="Z29" s="17">
        <f>Z9*Z72</f>
        <v>183.47578599999997</v>
      </c>
      <c r="AA29" s="17">
        <f>AA9*AA72</f>
        <v>423.90000000000003</v>
      </c>
      <c r="AB29" s="17">
        <f>AB9*AB72</f>
        <v>390.87300000000005</v>
      </c>
      <c r="AE29">
        <v>123.27</v>
      </c>
      <c r="AF29">
        <v>97.23</v>
      </c>
      <c r="AG29">
        <v>98.01</v>
      </c>
      <c r="AH29">
        <v>72.239999999999995</v>
      </c>
      <c r="AJ29">
        <v>77.84</v>
      </c>
      <c r="AK29">
        <v>69.73</v>
      </c>
      <c r="AO29" s="24">
        <f t="shared" ref="AO29:AO30" si="8">SUM(AG29:AK29)</f>
        <v>317.82</v>
      </c>
      <c r="AP29" s="19">
        <f t="shared" si="7"/>
        <v>0.21889635792605652</v>
      </c>
    </row>
    <row r="30" spans="1:42" x14ac:dyDescent="0.2">
      <c r="A30" s="51" t="s">
        <v>152</v>
      </c>
      <c r="B30" s="51"/>
      <c r="C30" s="51"/>
      <c r="X30" s="17">
        <f>X76*X10</f>
        <v>1.2370639999999999</v>
      </c>
      <c r="Y30" s="17">
        <f>Y76*Y10</f>
        <v>1.363348</v>
      </c>
      <c r="Z30" s="17">
        <f>Z76*Z10</f>
        <v>2.4422639999999998</v>
      </c>
      <c r="AA30" s="17">
        <f>AA76*AA10</f>
        <v>4.2809020000000002</v>
      </c>
      <c r="AB30" s="17">
        <f>AB76*AB10</f>
        <v>4.5386249999999997</v>
      </c>
      <c r="AE30">
        <v>1.21</v>
      </c>
      <c r="AF30">
        <v>1.17</v>
      </c>
      <c r="AG30">
        <v>1.18</v>
      </c>
      <c r="AH30">
        <v>0.99299999999999999</v>
      </c>
      <c r="AJ30">
        <v>0.48699999999999999</v>
      </c>
      <c r="AK30">
        <v>0.52400000000000002</v>
      </c>
      <c r="AO30" s="24">
        <f t="shared" si="8"/>
        <v>3.1840000000000002</v>
      </c>
      <c r="AP30" s="19">
        <f t="shared" si="7"/>
        <v>0.21030383091149274</v>
      </c>
    </row>
    <row r="31" spans="1:42" x14ac:dyDescent="0.2">
      <c r="A31" s="51"/>
      <c r="B31" s="51"/>
      <c r="C31" s="51"/>
    </row>
    <row r="32" spans="1:42" s="55" customFormat="1" x14ac:dyDescent="0.2">
      <c r="A32" s="55" t="s">
        <v>190</v>
      </c>
    </row>
    <row r="33" spans="1:28" s="54" customFormat="1" ht="17" x14ac:dyDescent="0.2">
      <c r="A33" s="54" t="s">
        <v>110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f t="shared" ref="X33:AA33" si="9">X24+SUM(X136:X138)</f>
        <v>6.9598930000000001</v>
      </c>
      <c r="Y33" s="68">
        <f t="shared" si="9"/>
        <v>4.6242739999999998</v>
      </c>
      <c r="Z33" s="68">
        <f t="shared" si="9"/>
        <v>9.0210120000000007</v>
      </c>
      <c r="AA33" s="68">
        <f t="shared" si="9"/>
        <v>7.5639600000000016</v>
      </c>
      <c r="AB33" s="68">
        <f>AB24+SUM(AB136:AB138)</f>
        <v>9.4242679999999996</v>
      </c>
    </row>
    <row r="34" spans="1:28" s="51" customFormat="1" x14ac:dyDescent="0.2">
      <c r="A34" s="51" t="s">
        <v>148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>
        <f t="shared" ref="X34:AA34" si="10">X25+SUM(X143:X145)</f>
        <v>6.489452</v>
      </c>
      <c r="Y34" s="69">
        <f t="shared" si="10"/>
        <v>6.0301340000000003</v>
      </c>
      <c r="Z34" s="69">
        <f t="shared" si="10"/>
        <v>7.482494</v>
      </c>
      <c r="AA34" s="69">
        <f t="shared" si="10"/>
        <v>7.7635730000000018</v>
      </c>
      <c r="AB34" s="69">
        <f>AB25+SUM(AB143:AB145)</f>
        <v>2.40212</v>
      </c>
    </row>
    <row r="35" spans="1:28" s="51" customFormat="1" x14ac:dyDescent="0.2">
      <c r="A35" s="51" t="s">
        <v>149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>
        <f t="shared" ref="X35:AA35" si="11">X26+SUM(X150:X152)</f>
        <v>1.9802719999999998</v>
      </c>
      <c r="Y35" s="69">
        <f t="shared" si="11"/>
        <v>2.2189329999999998</v>
      </c>
      <c r="Z35" s="69">
        <f t="shared" si="11"/>
        <v>2.45451</v>
      </c>
      <c r="AA35" s="69">
        <f t="shared" si="11"/>
        <v>3.4752330000000002</v>
      </c>
      <c r="AB35" s="69">
        <f>AB26+SUM(AB150:AB152)</f>
        <v>3.2082319999999998</v>
      </c>
    </row>
    <row r="36" spans="1:28" s="51" customFormat="1" x14ac:dyDescent="0.2">
      <c r="A36" s="51" t="s">
        <v>150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>
        <f t="shared" ref="X36:AA36" si="12">X27+SUM(Y157:Y159)</f>
        <v>1.5191379999999999</v>
      </c>
      <c r="Y36" s="69">
        <f t="shared" si="12"/>
        <v>1.0050459999999999</v>
      </c>
      <c r="Z36" s="69">
        <f t="shared" si="12"/>
        <v>0.75887399999999972</v>
      </c>
      <c r="AA36" s="69">
        <f t="shared" si="12"/>
        <v>0.57442200000000021</v>
      </c>
      <c r="AB36" s="69">
        <f>AB27+SUM(AC157:AC159)</f>
        <v>2.2106510000000004</v>
      </c>
    </row>
    <row r="37" spans="1:28" s="54" customFormat="1" ht="17" x14ac:dyDescent="0.2">
      <c r="A37" s="54" t="s">
        <v>162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>
        <f t="shared" ref="X37:AA37" si="13">X28+SUM(X164:X166)</f>
        <v>0.50421999999999989</v>
      </c>
      <c r="Y37" s="68">
        <f t="shared" si="13"/>
        <v>0.66683999999999988</v>
      </c>
      <c r="Z37" s="68">
        <f t="shared" si="13"/>
        <v>1.4219540000000002</v>
      </c>
      <c r="AA37" s="68">
        <f t="shared" si="13"/>
        <v>2.0900600000000003</v>
      </c>
      <c r="AB37" s="68">
        <f>AB28+SUM(AB164:AB166)</f>
        <v>0.81957499999999994</v>
      </c>
    </row>
    <row r="38" spans="1:28" s="51" customFormat="1" x14ac:dyDescent="0.2">
      <c r="A38" s="51" t="s">
        <v>151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>
        <f t="shared" ref="X38:AA38" si="14">X29+SUM(X171:X173)</f>
        <v>139.38928000000001</v>
      </c>
      <c r="Y38" s="69">
        <f t="shared" si="14"/>
        <v>175.66296999999997</v>
      </c>
      <c r="Z38" s="69">
        <f t="shared" si="14"/>
        <v>343.78178600000001</v>
      </c>
      <c r="AA38" s="69">
        <f t="shared" si="14"/>
        <v>456.76900000000006</v>
      </c>
      <c r="AB38" s="69">
        <f>AB29+SUM(AB171:AB173)</f>
        <v>471.24200000000002</v>
      </c>
    </row>
    <row r="39" spans="1:28" s="51" customFormat="1" x14ac:dyDescent="0.2">
      <c r="A39" s="51" t="s">
        <v>152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>
        <f>X30+SUM(X178:X180)</f>
        <v>0.75306400000000007</v>
      </c>
      <c r="Y39" s="69">
        <f>Y30+SUM(Y178:Y180)</f>
        <v>0.95234800000000008</v>
      </c>
      <c r="Z39" s="69">
        <f>Z30+SUM(Z178:Z180)</f>
        <v>1.4102639999999997</v>
      </c>
      <c r="AA39" s="69">
        <f>AA30+SUM(AA178:AA180)</f>
        <v>1.7339020000000005</v>
      </c>
      <c r="AB39" s="69">
        <f>AB30+SUM(AB178:AB180)</f>
        <v>1.6496249999999995</v>
      </c>
    </row>
    <row r="40" spans="1:28" s="51" customFormat="1" x14ac:dyDescent="0.2"/>
    <row r="41" spans="1:28" s="55" customFormat="1" x14ac:dyDescent="0.2">
      <c r="A41" s="55" t="s">
        <v>191</v>
      </c>
    </row>
    <row r="42" spans="1:28" s="54" customFormat="1" ht="17" x14ac:dyDescent="0.2">
      <c r="A42" s="54" t="s">
        <v>110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70">
        <f t="shared" ref="X42:AA42" si="15">X33/Y135</f>
        <v>0.44274128498727744</v>
      </c>
      <c r="Y42" s="70">
        <f t="shared" si="15"/>
        <v>0.27378768502072232</v>
      </c>
      <c r="Z42" s="70">
        <f t="shared" si="15"/>
        <v>0.29327087126137846</v>
      </c>
      <c r="AA42" s="70">
        <f t="shared" si="15"/>
        <v>0.25137786640079768</v>
      </c>
      <c r="AB42" s="70">
        <f>AB33/AC135</f>
        <v>0.31456168224299064</v>
      </c>
    </row>
    <row r="43" spans="1:28" s="51" customFormat="1" x14ac:dyDescent="0.2">
      <c r="A43" s="51" t="s">
        <v>148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71">
        <f t="shared" ref="X43:AA43" si="16">X34/Y142</f>
        <v>0.6245863330125121</v>
      </c>
      <c r="Y43" s="71">
        <f t="shared" si="16"/>
        <v>0.48748051738075998</v>
      </c>
      <c r="Z43" s="71">
        <f t="shared" si="16"/>
        <v>0.49389399339933998</v>
      </c>
      <c r="AA43" s="71">
        <f t="shared" si="16"/>
        <v>0.37963682151589251</v>
      </c>
      <c r="AB43" s="71">
        <f>AB34/AC142</f>
        <v>0.11059484346224677</v>
      </c>
    </row>
    <row r="44" spans="1:28" s="51" customFormat="1" x14ac:dyDescent="0.2">
      <c r="A44" s="51" t="s">
        <v>149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71">
        <f t="shared" ref="X44:AA44" si="17">X35/Y149</f>
        <v>0.12743063063063062</v>
      </c>
      <c r="Y44" s="71">
        <f t="shared" si="17"/>
        <v>0.14233053239255933</v>
      </c>
      <c r="Z44" s="71">
        <f t="shared" si="17"/>
        <v>0.15223655647212056</v>
      </c>
      <c r="AA44" s="71">
        <f t="shared" si="17"/>
        <v>0.21766459977452091</v>
      </c>
      <c r="AB44" s="71">
        <f>AB35/AC149</f>
        <v>0.19063711450472395</v>
      </c>
    </row>
    <row r="45" spans="1:28" s="51" customFormat="1" x14ac:dyDescent="0.2">
      <c r="A45" s="51" t="s">
        <v>150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71">
        <f t="shared" ref="X45:AA45" si="18">X36/Y156</f>
        <v>9.9160443864229758E-2</v>
      </c>
      <c r="Y45" s="71">
        <f t="shared" si="18"/>
        <v>6.7137341349365401E-2</v>
      </c>
      <c r="Z45" s="71">
        <f t="shared" si="18"/>
        <v>4.311784090909089E-2</v>
      </c>
      <c r="AA45" s="71">
        <f t="shared" si="18"/>
        <v>2.9949009384775821E-2</v>
      </c>
      <c r="AB45" s="71">
        <f>AB36/AC156</f>
        <v>0.10239710037519109</v>
      </c>
    </row>
    <row r="46" spans="1:28" s="54" customFormat="1" ht="17" x14ac:dyDescent="0.2">
      <c r="A46" s="54" t="s">
        <v>162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70">
        <f t="shared" ref="X46:AA46" si="19">X37/Y163</f>
        <v>7.7811728395061702E-2</v>
      </c>
      <c r="Y46" s="70">
        <f t="shared" si="19"/>
        <v>5.3050119331742231E-2</v>
      </c>
      <c r="Z46" s="70">
        <f t="shared" si="19"/>
        <v>0.20313628571428574</v>
      </c>
      <c r="AA46" s="70">
        <f t="shared" si="19"/>
        <v>0.24445146198830411</v>
      </c>
      <c r="AB46" s="70">
        <f>AB37/AC163</f>
        <v>0.19375295508274229</v>
      </c>
    </row>
    <row r="47" spans="1:28" s="51" customFormat="1" x14ac:dyDescent="0.2">
      <c r="A47" s="51" t="s">
        <v>151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71">
        <f t="shared" ref="X47:AA47" si="20">X38/Y170</f>
        <v>0.17296745132589622</v>
      </c>
      <c r="Y47" s="71">
        <f t="shared" si="20"/>
        <v>9.9859570234779135E-2</v>
      </c>
      <c r="Z47" s="71">
        <f t="shared" si="20"/>
        <v>0.17657997421528696</v>
      </c>
      <c r="AA47" s="71">
        <f t="shared" si="20"/>
        <v>0.24007621150005259</v>
      </c>
      <c r="AB47" s="71">
        <f>AB38/AC170</f>
        <v>0.17115409759853561</v>
      </c>
    </row>
    <row r="48" spans="1:28" s="51" customFormat="1" x14ac:dyDescent="0.2">
      <c r="A48" s="51" t="s">
        <v>152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71">
        <f t="shared" ref="X48:AA48" si="21">X39/Y177</f>
        <v>0.11739111457521434</v>
      </c>
      <c r="Y48" s="71">
        <f t="shared" si="21"/>
        <v>0.11669501286607036</v>
      </c>
      <c r="Z48" s="71">
        <f t="shared" si="21"/>
        <v>0.15417776320104945</v>
      </c>
      <c r="AA48" s="71">
        <f t="shared" si="21"/>
        <v>0.14237986533092464</v>
      </c>
      <c r="AB48" s="71">
        <f>AB39/AC177</f>
        <v>0.11278715985231776</v>
      </c>
    </row>
    <row r="49" spans="1:38" s="51" customFormat="1" x14ac:dyDescent="0.2">
      <c r="X49" s="69"/>
      <c r="Y49" s="69"/>
      <c r="Z49" s="69"/>
      <c r="AA49" s="69"/>
      <c r="AB49" s="69"/>
    </row>
    <row r="50" spans="1:38" s="49" customFormat="1" ht="17" x14ac:dyDescent="0.2">
      <c r="A50" s="54" t="s">
        <v>110</v>
      </c>
      <c r="B50" s="54"/>
      <c r="C50" s="54"/>
      <c r="S50"/>
    </row>
    <row r="51" spans="1:38" s="49" customFormat="1" ht="17" x14ac:dyDescent="0.2">
      <c r="A51" s="48" t="s">
        <v>168</v>
      </c>
      <c r="B51" s="48"/>
      <c r="C51" s="48"/>
      <c r="D51" s="60">
        <v>0.36880000000000002</v>
      </c>
      <c r="E51" s="60">
        <v>0.52859999999999996</v>
      </c>
      <c r="F51" s="60">
        <v>0.61370000000000002</v>
      </c>
      <c r="G51" s="60">
        <v>0.62580000000000002</v>
      </c>
      <c r="H51" s="60">
        <v>0.63980000000000004</v>
      </c>
      <c r="I51" s="60">
        <v>0.69589999999999996</v>
      </c>
      <c r="J51" s="61">
        <v>0.71</v>
      </c>
      <c r="K51" s="60">
        <v>0.71009999999999995</v>
      </c>
      <c r="L51" s="60">
        <v>0.69779999999999998</v>
      </c>
      <c r="M51" s="60">
        <v>0.69359999999999999</v>
      </c>
      <c r="N51" s="60">
        <v>0.6946</v>
      </c>
      <c r="O51" s="61">
        <v>0.68</v>
      </c>
      <c r="P51" s="60">
        <v>0.67390000000000005</v>
      </c>
      <c r="Q51" s="60">
        <v>0.62890000000000001</v>
      </c>
      <c r="R51" s="60">
        <v>0.60509999999999997</v>
      </c>
      <c r="S51" s="60">
        <v>0.59660000000000002</v>
      </c>
      <c r="T51" s="60">
        <v>0.58950000000000002</v>
      </c>
      <c r="U51" s="60">
        <v>0.58609999999999995</v>
      </c>
      <c r="V51" s="60">
        <v>0.56069999999999998</v>
      </c>
      <c r="W51" s="60">
        <v>0.5494</v>
      </c>
      <c r="X51" s="60">
        <v>0.64570000000000005</v>
      </c>
      <c r="Y51" s="60">
        <v>0.60670000000000002</v>
      </c>
      <c r="Z51" s="60">
        <v>0.57509999999999994</v>
      </c>
      <c r="AA51" s="60">
        <v>0.57840000000000003</v>
      </c>
      <c r="AB51" s="60">
        <v>0.55700000000000005</v>
      </c>
      <c r="AC51" s="53"/>
      <c r="AI51" s="53"/>
      <c r="AJ51" s="60">
        <v>0.5554</v>
      </c>
      <c r="AK51" s="60">
        <v>0.55810000000000004</v>
      </c>
      <c r="AL51" s="60">
        <v>0.55889999999999995</v>
      </c>
    </row>
    <row r="52" spans="1:38" s="49" customFormat="1" ht="17" x14ac:dyDescent="0.2">
      <c r="A52" s="48" t="s">
        <v>169</v>
      </c>
      <c r="B52" s="48"/>
      <c r="C52" s="48"/>
      <c r="D52" s="60">
        <v>0.10290000000000001</v>
      </c>
      <c r="E52" s="60">
        <v>0.24479999999999999</v>
      </c>
      <c r="F52" s="60">
        <v>2.5999999999999999E-3</v>
      </c>
      <c r="G52" s="60">
        <v>0.2215</v>
      </c>
      <c r="H52" s="61">
        <v>0.33</v>
      </c>
      <c r="I52" s="60">
        <v>0.43630000000000002</v>
      </c>
      <c r="J52" s="60">
        <v>0.42059999999999997</v>
      </c>
      <c r="K52" s="60">
        <v>0.3574</v>
      </c>
      <c r="L52" s="60">
        <v>0.32500000000000001</v>
      </c>
      <c r="M52" s="60">
        <v>0.33479999999999999</v>
      </c>
      <c r="N52" s="60">
        <v>0.2137</v>
      </c>
      <c r="O52" s="60">
        <v>0.29870000000000002</v>
      </c>
      <c r="P52" s="60">
        <v>0.33600000000000002</v>
      </c>
      <c r="Q52" s="60">
        <v>0.29720000000000002</v>
      </c>
      <c r="R52" s="60">
        <v>0.2908</v>
      </c>
      <c r="S52" s="60">
        <v>0.28499999999999998</v>
      </c>
      <c r="T52" s="60">
        <v>0.22850000000000001</v>
      </c>
      <c r="U52" s="60">
        <v>0.2757</v>
      </c>
      <c r="V52" s="60">
        <v>0.1173</v>
      </c>
      <c r="W52" s="60">
        <v>3.2599999999999997E-2</v>
      </c>
      <c r="X52" s="60">
        <v>0.31590000000000001</v>
      </c>
      <c r="Y52" s="60">
        <v>0.26579999999999998</v>
      </c>
      <c r="Z52" s="60">
        <v>0.29160000000000003</v>
      </c>
      <c r="AA52" s="60">
        <v>0.35880000000000001</v>
      </c>
      <c r="AB52" s="60">
        <v>0.21740000000000001</v>
      </c>
      <c r="AC52" s="53"/>
      <c r="AI52" s="53"/>
      <c r="AJ52" s="60">
        <v>0.22739999999999999</v>
      </c>
      <c r="AK52" s="60">
        <v>0.23350000000000001</v>
      </c>
      <c r="AL52" s="60">
        <v>0.2319</v>
      </c>
    </row>
    <row r="53" spans="1:38" s="49" customFormat="1" ht="17" x14ac:dyDescent="0.2">
      <c r="A53" s="48" t="s">
        <v>170</v>
      </c>
      <c r="B53" s="48"/>
      <c r="C53" s="48"/>
      <c r="D53" s="60">
        <v>5.0999999999999997E-2</v>
      </c>
      <c r="E53" s="60">
        <v>0.2097</v>
      </c>
      <c r="F53" s="60">
        <v>-0.20480000000000001</v>
      </c>
      <c r="G53" s="60">
        <v>0.1183</v>
      </c>
      <c r="H53" s="60">
        <v>0.2084</v>
      </c>
      <c r="I53" s="60">
        <v>0.35249999999999998</v>
      </c>
      <c r="J53" s="60">
        <v>0.37780000000000002</v>
      </c>
      <c r="K53" s="60">
        <v>0.32819999999999999</v>
      </c>
      <c r="L53" s="60">
        <v>0.37230000000000002</v>
      </c>
      <c r="M53" s="60">
        <v>0.28360000000000002</v>
      </c>
      <c r="N53" s="60">
        <v>0.15279999999999999</v>
      </c>
      <c r="O53" s="60">
        <v>0.2954</v>
      </c>
      <c r="P53" s="60">
        <v>0.2848</v>
      </c>
      <c r="Q53" s="60">
        <v>0.31950000000000001</v>
      </c>
      <c r="R53" s="60">
        <v>0.27560000000000001</v>
      </c>
      <c r="S53" s="60">
        <v>0.30080000000000001</v>
      </c>
      <c r="T53" s="60">
        <v>0.20849999999999999</v>
      </c>
      <c r="U53" s="60">
        <v>0.2422</v>
      </c>
      <c r="V53" s="60">
        <v>0.1106</v>
      </c>
      <c r="W53" s="60">
        <v>-0.214</v>
      </c>
      <c r="X53" s="60">
        <v>0.1807</v>
      </c>
      <c r="Y53" s="60">
        <v>0.22090000000000001</v>
      </c>
      <c r="Z53" s="60">
        <v>0.26939999999999997</v>
      </c>
      <c r="AA53" s="60">
        <v>0.29270000000000002</v>
      </c>
      <c r="AB53" s="60">
        <v>0.2019</v>
      </c>
      <c r="AC53" s="53"/>
      <c r="AI53" s="53"/>
      <c r="AJ53" s="60">
        <v>0.21390000000000001</v>
      </c>
      <c r="AK53" s="60">
        <v>0.2303</v>
      </c>
      <c r="AL53" s="60">
        <v>0.23330000000000001</v>
      </c>
    </row>
    <row r="54" spans="1:38" s="50" customFormat="1" x14ac:dyDescent="0.2">
      <c r="A54" s="51" t="s">
        <v>148</v>
      </c>
      <c r="B54" s="51"/>
      <c r="C54" s="5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I54" s="62"/>
      <c r="AJ54" s="62"/>
      <c r="AK54" s="62"/>
    </row>
    <row r="55" spans="1:38" s="48" customFormat="1" ht="17" x14ac:dyDescent="0.2">
      <c r="A55" s="48" t="s">
        <v>168</v>
      </c>
      <c r="D55" s="53"/>
      <c r="E55" s="53"/>
      <c r="F55" s="53"/>
      <c r="G55" s="53"/>
      <c r="H55" s="60">
        <v>0.40289999999999998</v>
      </c>
      <c r="I55" s="60">
        <v>0.44719999999999999</v>
      </c>
      <c r="J55" s="60">
        <v>0.47510000000000002</v>
      </c>
      <c r="K55" s="60">
        <v>0.50919999999999999</v>
      </c>
      <c r="L55" s="61">
        <v>0.53</v>
      </c>
      <c r="M55" s="60">
        <v>0.49959999999999999</v>
      </c>
      <c r="N55" s="60">
        <v>0.47939999999999999</v>
      </c>
      <c r="O55" s="60">
        <v>0.53639999999999999</v>
      </c>
      <c r="P55" s="60">
        <v>0.49299999999999999</v>
      </c>
      <c r="Q55" s="60">
        <v>0.4965</v>
      </c>
      <c r="R55" s="60">
        <v>0.52139999999999997</v>
      </c>
      <c r="S55" s="60">
        <v>0.56930000000000003</v>
      </c>
      <c r="T55" s="60">
        <v>0.58150000000000002</v>
      </c>
      <c r="U55" s="60">
        <v>0.61629999999999996</v>
      </c>
      <c r="V55" s="60">
        <v>0.64259999999999995</v>
      </c>
      <c r="W55" s="60">
        <v>0.65110000000000001</v>
      </c>
      <c r="X55" s="60">
        <v>0.62450000000000006</v>
      </c>
      <c r="Y55" s="60">
        <v>0.70720000000000005</v>
      </c>
      <c r="Z55" s="60">
        <v>0.64100000000000001</v>
      </c>
      <c r="AA55" s="60">
        <v>0.67469999999999997</v>
      </c>
      <c r="AB55" s="60">
        <v>0.68759999999999999</v>
      </c>
      <c r="AC55" s="53"/>
      <c r="AI55" s="53"/>
      <c r="AJ55" s="60">
        <v>0.61009999999999998</v>
      </c>
      <c r="AK55" s="60">
        <v>0.59360000000000002</v>
      </c>
    </row>
    <row r="56" spans="1:38" s="48" customFormat="1" ht="17" x14ac:dyDescent="0.2">
      <c r="A56" s="48" t="s">
        <v>169</v>
      </c>
      <c r="D56" s="53"/>
      <c r="E56" s="53"/>
      <c r="F56" s="53"/>
      <c r="G56" s="53"/>
      <c r="H56" s="60">
        <v>9.8100000000000007E-2</v>
      </c>
      <c r="I56" s="60">
        <v>0.1754</v>
      </c>
      <c r="J56" s="60">
        <v>0.2084</v>
      </c>
      <c r="K56" s="60">
        <v>0.23619999999999999</v>
      </c>
      <c r="L56" s="60">
        <v>0.23619999999999999</v>
      </c>
      <c r="M56" s="60">
        <v>0.25280000000000002</v>
      </c>
      <c r="N56" s="60">
        <v>0.21529999999999999</v>
      </c>
      <c r="O56" s="60">
        <v>0.3256</v>
      </c>
      <c r="P56" s="60">
        <v>0.24890000000000001</v>
      </c>
      <c r="Q56" s="60">
        <v>0.20949999999999999</v>
      </c>
      <c r="R56" s="60">
        <v>0.2445</v>
      </c>
      <c r="S56" s="60">
        <v>0.32400000000000001</v>
      </c>
      <c r="T56" s="60">
        <v>0.34860000000000002</v>
      </c>
      <c r="U56" s="60">
        <v>0.38169999999999998</v>
      </c>
      <c r="V56" s="60">
        <v>0.4365</v>
      </c>
      <c r="W56" s="60">
        <v>0.4456</v>
      </c>
      <c r="X56" s="60">
        <v>0.41539999999999999</v>
      </c>
      <c r="Y56" s="60">
        <v>0.4229</v>
      </c>
      <c r="Z56" s="60">
        <v>0.49909999999999999</v>
      </c>
      <c r="AA56" s="60">
        <v>0.51910000000000001</v>
      </c>
      <c r="AB56" s="60">
        <v>0.41849999999999998</v>
      </c>
      <c r="AC56" s="53"/>
      <c r="AI56" s="53"/>
      <c r="AJ56" s="60">
        <v>0.39040000000000002</v>
      </c>
      <c r="AK56" s="60">
        <v>0.36259999999999998</v>
      </c>
    </row>
    <row r="57" spans="1:38" s="48" customFormat="1" ht="17" x14ac:dyDescent="0.2">
      <c r="A57" s="48" t="s">
        <v>170</v>
      </c>
      <c r="D57" s="53"/>
      <c r="E57" s="53"/>
      <c r="F57" s="53"/>
      <c r="G57" s="53"/>
      <c r="H57" s="60">
        <v>0.12180000000000001</v>
      </c>
      <c r="I57" s="60">
        <v>0.1479</v>
      </c>
      <c r="J57" s="60">
        <v>0.17349999999999999</v>
      </c>
      <c r="K57" s="60">
        <v>0.30449999999999999</v>
      </c>
      <c r="L57" s="60">
        <v>0.192</v>
      </c>
      <c r="M57" s="60">
        <v>0.15359999999999999</v>
      </c>
      <c r="N57" s="60">
        <v>0.14099999999999999</v>
      </c>
      <c r="O57" s="60">
        <v>0.2311</v>
      </c>
      <c r="P57" s="60">
        <v>0.1628</v>
      </c>
      <c r="Q57" s="60">
        <v>0.13469999999999999</v>
      </c>
      <c r="R57" s="60">
        <v>0.1741</v>
      </c>
      <c r="S57" s="60">
        <v>0.21290000000000001</v>
      </c>
      <c r="T57" s="60">
        <v>0.22639999999999999</v>
      </c>
      <c r="U57" s="60">
        <v>0.26550000000000001</v>
      </c>
      <c r="V57" s="60">
        <v>0.24379999999999999</v>
      </c>
      <c r="W57" s="60">
        <v>0.3508</v>
      </c>
      <c r="X57" s="60">
        <v>0.3488</v>
      </c>
      <c r="Y57" s="60">
        <v>0.38690000000000002</v>
      </c>
      <c r="Z57" s="60">
        <v>0.42170000000000002</v>
      </c>
      <c r="AA57" s="60">
        <v>0.43480000000000002</v>
      </c>
      <c r="AB57" s="60">
        <v>0.36969999999999997</v>
      </c>
      <c r="AC57" s="53"/>
      <c r="AI57" s="53"/>
      <c r="AJ57" s="60">
        <v>0.34960000000000002</v>
      </c>
      <c r="AK57" s="60">
        <v>0.32800000000000001</v>
      </c>
    </row>
    <row r="58" spans="1:38" s="50" customFormat="1" x14ac:dyDescent="0.2">
      <c r="A58" s="51" t="s">
        <v>149</v>
      </c>
      <c r="B58" s="51"/>
      <c r="C58" s="51"/>
    </row>
    <row r="59" spans="1:38" s="48" customFormat="1" ht="17" x14ac:dyDescent="0.2">
      <c r="A59" s="48" t="s">
        <v>168</v>
      </c>
      <c r="N59" s="59">
        <v>0.25209999999999999</v>
      </c>
      <c r="O59" s="59">
        <v>0.41410000000000002</v>
      </c>
      <c r="P59" s="59">
        <v>0.45450000000000002</v>
      </c>
      <c r="Q59" s="59">
        <v>0.45619999999999999</v>
      </c>
      <c r="R59" s="59">
        <v>0.4521</v>
      </c>
      <c r="S59" s="59">
        <v>0.46750000000000003</v>
      </c>
      <c r="T59" s="59">
        <v>0.45679999999999998</v>
      </c>
      <c r="U59" s="59">
        <v>0.4284</v>
      </c>
      <c r="V59" s="59">
        <v>0.499</v>
      </c>
      <c r="W59" s="59">
        <v>0.51570000000000005</v>
      </c>
      <c r="X59" s="59">
        <v>0.5202</v>
      </c>
      <c r="Y59" s="59">
        <v>0.49180000000000001</v>
      </c>
      <c r="Z59" s="59">
        <v>0.5484</v>
      </c>
      <c r="AA59" s="59">
        <v>0.56930000000000003</v>
      </c>
      <c r="AB59" s="59">
        <v>0.56889999999999996</v>
      </c>
      <c r="AJ59" s="59">
        <v>0.56969999999999998</v>
      </c>
      <c r="AK59" s="59">
        <v>0.57040000000000002</v>
      </c>
    </row>
    <row r="60" spans="1:38" s="48" customFormat="1" ht="17" x14ac:dyDescent="0.2">
      <c r="A60" s="48" t="s">
        <v>169</v>
      </c>
      <c r="N60" s="59">
        <v>-0.21310000000000001</v>
      </c>
      <c r="O60" s="59">
        <v>6.5699999999999995E-2</v>
      </c>
      <c r="P60" s="59">
        <v>8.4199999999999997E-2</v>
      </c>
      <c r="Q60" s="59">
        <v>8.7900000000000006E-2</v>
      </c>
      <c r="R60" s="59">
        <v>0.1333</v>
      </c>
      <c r="S60" s="59">
        <v>0.184</v>
      </c>
      <c r="T60" s="59">
        <v>0.12330000000000001</v>
      </c>
      <c r="U60" s="59">
        <v>-1.67E-2</v>
      </c>
      <c r="V60" s="59">
        <v>5.6899999999999999E-2</v>
      </c>
      <c r="W60" s="59">
        <v>7.5399999999999995E-2</v>
      </c>
      <c r="X60" s="59">
        <v>6.9400000000000003E-2</v>
      </c>
      <c r="Y60" s="59">
        <v>3.5299999999999998E-2</v>
      </c>
      <c r="Z60" s="59">
        <v>0.23350000000000001</v>
      </c>
      <c r="AA60" s="59">
        <v>0.2873</v>
      </c>
      <c r="AB60" s="59">
        <v>0.27689999999999998</v>
      </c>
      <c r="AJ60" s="59">
        <v>0.27929999999999999</v>
      </c>
      <c r="AK60" s="59">
        <v>0.2802</v>
      </c>
    </row>
    <row r="61" spans="1:38" s="48" customFormat="1" ht="17" x14ac:dyDescent="0.2">
      <c r="A61" s="48" t="s">
        <v>170</v>
      </c>
      <c r="N61" s="59">
        <v>-4.5499999999999999E-2</v>
      </c>
      <c r="O61" s="59">
        <v>-0.1036</v>
      </c>
      <c r="P61" s="59">
        <v>9.2999999999999999E-2</v>
      </c>
      <c r="Q61" s="59">
        <v>-2.64E-2</v>
      </c>
      <c r="R61" s="59">
        <v>7.2300000000000003E-2</v>
      </c>
      <c r="S61" s="59">
        <v>9.5399999999999999E-2</v>
      </c>
      <c r="T61" s="59">
        <v>0.25009999999999999</v>
      </c>
      <c r="U61" s="59">
        <v>2.1100000000000001E-2</v>
      </c>
      <c r="V61" s="59">
        <v>0.23930000000000001</v>
      </c>
      <c r="W61" s="59">
        <v>0.23469999999999999</v>
      </c>
      <c r="X61" s="59">
        <v>2.7400000000000001E-2</v>
      </c>
      <c r="Y61" s="59">
        <v>6.0000000000000001E-3</v>
      </c>
      <c r="Z61" s="59">
        <v>0.1691</v>
      </c>
      <c r="AA61" s="59">
        <v>0.21110000000000001</v>
      </c>
      <c r="AB61" s="59">
        <v>0.2107</v>
      </c>
      <c r="AJ61" s="59">
        <v>0.21240000000000001</v>
      </c>
      <c r="AK61" s="59">
        <v>0.21210000000000001</v>
      </c>
    </row>
    <row r="62" spans="1:38" s="50" customFormat="1" x14ac:dyDescent="0.2">
      <c r="A62" s="51" t="s">
        <v>150</v>
      </c>
      <c r="B62" s="51"/>
      <c r="C62" s="51"/>
    </row>
    <row r="63" spans="1:38" s="48" customFormat="1" ht="17" x14ac:dyDescent="0.2">
      <c r="A63" s="48" t="s">
        <v>168</v>
      </c>
      <c r="C63" s="59">
        <v>0.14080000000000001</v>
      </c>
      <c r="D63" s="59">
        <v>0.28949999999999998</v>
      </c>
      <c r="E63" s="59">
        <v>0.43559999999999999</v>
      </c>
      <c r="F63" s="59">
        <v>0.1353</v>
      </c>
      <c r="G63" s="59">
        <v>0.11550000000000001</v>
      </c>
      <c r="H63" s="64">
        <v>0.25</v>
      </c>
      <c r="I63" s="59">
        <v>0.35099999999999998</v>
      </c>
      <c r="J63" s="59">
        <v>0.2737</v>
      </c>
      <c r="K63" s="59">
        <v>0.26169999999999999</v>
      </c>
      <c r="L63" s="59">
        <v>0.20699999999999999</v>
      </c>
      <c r="M63" s="59">
        <v>0.34200000000000003</v>
      </c>
      <c r="N63" s="59">
        <v>0.2177</v>
      </c>
      <c r="O63" s="59">
        <v>0.37540000000000001</v>
      </c>
      <c r="P63" s="59">
        <v>0.4138</v>
      </c>
      <c r="Q63" s="59">
        <v>0.36549999999999999</v>
      </c>
      <c r="R63" s="59">
        <v>0.34429999999999999</v>
      </c>
      <c r="S63" s="59">
        <v>0.38129999999999997</v>
      </c>
      <c r="T63" s="59">
        <v>0.3589</v>
      </c>
      <c r="U63" s="64">
        <v>0.36</v>
      </c>
      <c r="V63" s="59">
        <v>0.37109999999999999</v>
      </c>
      <c r="W63" s="59">
        <v>0.37969999999999998</v>
      </c>
      <c r="X63" s="59">
        <v>0.37290000000000001</v>
      </c>
      <c r="Y63" s="59">
        <v>0.32400000000000001</v>
      </c>
      <c r="Z63" s="59">
        <v>0.38519999999999999</v>
      </c>
      <c r="AA63" s="59">
        <v>0.43120000000000003</v>
      </c>
      <c r="AB63" s="59">
        <v>0.45450000000000002</v>
      </c>
      <c r="AJ63" s="59">
        <v>0.44500000000000001</v>
      </c>
      <c r="AK63" s="59">
        <v>0.42580000000000001</v>
      </c>
      <c r="AL63" s="59">
        <v>0.41489999999999999</v>
      </c>
    </row>
    <row r="64" spans="1:38" s="48" customFormat="1" ht="17" x14ac:dyDescent="0.2">
      <c r="A64" s="48" t="s">
        <v>169</v>
      </c>
      <c r="C64" s="59">
        <v>-0.2142</v>
      </c>
      <c r="D64" s="59">
        <v>-1.52E-2</v>
      </c>
      <c r="E64" s="59">
        <v>0.20300000000000001</v>
      </c>
      <c r="F64" s="59">
        <v>-0.17780000000000001</v>
      </c>
      <c r="G64" s="59">
        <f>-20.27%</f>
        <v>-0.20269999999999999</v>
      </c>
      <c r="H64" s="59">
        <v>-5.1200000000000002E-2</v>
      </c>
      <c r="I64" s="59">
        <v>4.6100000000000002E-2</v>
      </c>
      <c r="J64" s="59">
        <v>-2.81E-2</v>
      </c>
      <c r="K64" s="59">
        <v>-4.1999999999999997E-3</v>
      </c>
      <c r="L64" s="59">
        <v>-4.2299999999999997E-2</v>
      </c>
      <c r="M64" s="59">
        <v>-6.1999999999999998E-3</v>
      </c>
      <c r="N64" s="59">
        <v>-4.8599999999999997E-2</v>
      </c>
      <c r="O64" s="59">
        <v>0.10929999999999999</v>
      </c>
      <c r="P64" s="59">
        <v>0.18410000000000001</v>
      </c>
      <c r="Q64" s="59">
        <v>0.1273</v>
      </c>
      <c r="R64" s="59">
        <v>9.1899999999999996E-2</v>
      </c>
      <c r="S64" s="59">
        <v>0.13519999999999999</v>
      </c>
      <c r="T64" s="59">
        <v>0.1004</v>
      </c>
      <c r="U64" s="59">
        <v>0.1179</v>
      </c>
      <c r="V64" s="59">
        <v>0.13919999999999999</v>
      </c>
      <c r="W64" s="59">
        <v>0.1933</v>
      </c>
      <c r="X64" s="59">
        <v>0.14460000000000001</v>
      </c>
      <c r="Y64" s="59">
        <v>6.7799999999999999E-2</v>
      </c>
      <c r="Z64" s="59">
        <v>0.13289999999999999</v>
      </c>
      <c r="AA64" s="59">
        <v>0.2001</v>
      </c>
      <c r="AB64" s="59">
        <v>0.24210000000000001</v>
      </c>
      <c r="AJ64" s="59">
        <v>0.22939999999999999</v>
      </c>
      <c r="AK64" s="59">
        <v>0.19950000000000001</v>
      </c>
      <c r="AL64" s="59">
        <v>0.17319999999999999</v>
      </c>
    </row>
    <row r="65" spans="1:39" s="48" customFormat="1" ht="17" x14ac:dyDescent="0.2">
      <c r="A65" s="48" t="s">
        <v>170</v>
      </c>
      <c r="C65" s="59">
        <v>-0.24410000000000001</v>
      </c>
      <c r="D65" s="59">
        <v>1.43E-2</v>
      </c>
      <c r="E65" s="59">
        <v>0.15459999999999999</v>
      </c>
      <c r="F65" s="59">
        <v>-0.1041</v>
      </c>
      <c r="G65" s="59">
        <v>-0.1961</v>
      </c>
      <c r="H65" s="59">
        <v>-7.0699999999999999E-2</v>
      </c>
      <c r="I65" s="59">
        <v>8.5000000000000006E-3</v>
      </c>
      <c r="J65" s="59">
        <v>-4.6300000000000001E-2</v>
      </c>
      <c r="K65" s="59">
        <v>-3.3799999999999997E-2</v>
      </c>
      <c r="L65" s="59">
        <v>-4.8099999999999997E-2</v>
      </c>
      <c r="M65" s="59">
        <v>-0.67930000000000001</v>
      </c>
      <c r="N65" s="59">
        <v>-0.22170000000000001</v>
      </c>
      <c r="O65" s="64">
        <v>0.2</v>
      </c>
      <c r="P65" s="64">
        <v>0.28000000000000003</v>
      </c>
      <c r="Q65" s="59">
        <v>0.113</v>
      </c>
      <c r="R65" s="59">
        <v>7.0800000000000002E-2</v>
      </c>
      <c r="S65" s="59">
        <v>0.12379999999999999</v>
      </c>
      <c r="T65" s="59">
        <v>0.1091</v>
      </c>
      <c r="U65" s="59">
        <v>0.1149</v>
      </c>
      <c r="V65" s="59">
        <v>0.1119</v>
      </c>
      <c r="W65" s="48" t="s">
        <v>188</v>
      </c>
      <c r="X65" s="59">
        <v>0.1084</v>
      </c>
      <c r="Y65" s="59">
        <v>3.8899999999999997E-2</v>
      </c>
      <c r="Z65" s="59">
        <v>0.1033</v>
      </c>
      <c r="AA65" s="59">
        <v>0.1512</v>
      </c>
      <c r="AB65" s="59">
        <v>0.19059999999999999</v>
      </c>
      <c r="AJ65" s="59">
        <v>0.1847</v>
      </c>
      <c r="AK65" s="59">
        <v>0.16289999999999999</v>
      </c>
      <c r="AL65" s="59">
        <v>0.13880000000000001</v>
      </c>
    </row>
    <row r="66" spans="1:39" s="49" customFormat="1" ht="17" x14ac:dyDescent="0.2">
      <c r="A66" s="54" t="s">
        <v>162</v>
      </c>
      <c r="B66" s="54"/>
      <c r="C66" s="54"/>
    </row>
    <row r="67" spans="1:39" s="48" customFormat="1" ht="17" x14ac:dyDescent="0.2">
      <c r="A67" s="48" t="s">
        <v>168</v>
      </c>
      <c r="E67" s="59">
        <v>0.34660000000000002</v>
      </c>
      <c r="F67" s="59">
        <v>0.1767</v>
      </c>
      <c r="G67" s="59">
        <v>0.26329999999999998</v>
      </c>
      <c r="H67" s="59">
        <v>0.28149999999999997</v>
      </c>
      <c r="I67" s="59">
        <v>0.32550000000000001</v>
      </c>
      <c r="J67" s="59">
        <v>0.33200000000000002</v>
      </c>
      <c r="K67" s="59">
        <v>0.38450000000000001</v>
      </c>
      <c r="L67" s="59">
        <v>0.377</v>
      </c>
      <c r="M67" s="59">
        <v>0.36280000000000001</v>
      </c>
      <c r="N67" s="59">
        <v>0.37069999999999997</v>
      </c>
      <c r="O67" s="59">
        <v>0.41320000000000001</v>
      </c>
      <c r="P67" s="59">
        <v>0.29310000000000003</v>
      </c>
      <c r="Q67" s="59">
        <v>0.32879999999999998</v>
      </c>
      <c r="R67" s="59">
        <v>0.3372</v>
      </c>
      <c r="S67" s="59">
        <v>0.34310000000000002</v>
      </c>
      <c r="T67" s="59">
        <v>0.34129999999999999</v>
      </c>
      <c r="U67" s="59">
        <v>0.34129999999999999</v>
      </c>
      <c r="V67" s="59">
        <v>0.33200000000000002</v>
      </c>
      <c r="W67" s="59">
        <v>0.3669</v>
      </c>
      <c r="X67" s="59">
        <v>0.38080000000000003</v>
      </c>
      <c r="Y67" s="59">
        <v>0.32650000000000001</v>
      </c>
      <c r="Z67" s="59">
        <v>0.4027</v>
      </c>
      <c r="AA67" s="59">
        <v>0.48970000000000002</v>
      </c>
      <c r="AB67" s="59">
        <v>0.47060000000000002</v>
      </c>
      <c r="AJ67" s="59">
        <v>0.46829999999999999</v>
      </c>
      <c r="AK67" s="59">
        <v>0.46300000000000002</v>
      </c>
    </row>
    <row r="68" spans="1:39" s="48" customFormat="1" ht="17" x14ac:dyDescent="0.2">
      <c r="A68" s="48" t="s">
        <v>169</v>
      </c>
      <c r="E68" s="59">
        <v>0.1444</v>
      </c>
      <c r="F68" s="59">
        <v>-7.7899999999999997E-2</v>
      </c>
      <c r="G68" s="59">
        <v>3.9100000000000003E-2</v>
      </c>
      <c r="H68" s="59">
        <v>7.6399999999999996E-2</v>
      </c>
      <c r="I68" s="59">
        <v>0.1338</v>
      </c>
      <c r="J68" s="59">
        <v>0.1356</v>
      </c>
      <c r="K68" s="59">
        <v>0.2024</v>
      </c>
      <c r="L68" s="59">
        <v>0.1789</v>
      </c>
      <c r="M68" s="59">
        <v>0.1129</v>
      </c>
      <c r="N68" s="59">
        <v>9.4700000000000006E-2</v>
      </c>
      <c r="O68" s="59">
        <v>0.17330000000000001</v>
      </c>
      <c r="P68" s="59">
        <v>6.2799999999999995E-2</v>
      </c>
      <c r="Q68" s="59">
        <v>6.8599999999999994E-2</v>
      </c>
      <c r="R68" s="59">
        <v>9.0300000000000005E-2</v>
      </c>
      <c r="S68" s="59">
        <v>8.5099999999999995E-2</v>
      </c>
      <c r="T68" s="59">
        <v>7.8399999999999997E-2</v>
      </c>
      <c r="U68" s="59">
        <v>7.8399999999999997E-2</v>
      </c>
      <c r="V68" s="59">
        <v>6.9500000000000006E-2</v>
      </c>
      <c r="W68" s="59">
        <v>0.129</v>
      </c>
      <c r="X68" s="59">
        <v>0.14599999999999999</v>
      </c>
      <c r="Y68" s="59">
        <v>7.9000000000000001E-2</v>
      </c>
      <c r="Z68" s="59">
        <v>0.2021</v>
      </c>
      <c r="AA68" s="59">
        <v>0.33200000000000002</v>
      </c>
      <c r="AB68" s="59">
        <v>0.31669999999999998</v>
      </c>
      <c r="AJ68" s="59">
        <v>0.30940000000000001</v>
      </c>
      <c r="AK68" s="59">
        <v>0.29599999999999999</v>
      </c>
    </row>
    <row r="69" spans="1:39" s="48" customFormat="1" ht="17" x14ac:dyDescent="0.2">
      <c r="A69" s="48" t="s">
        <v>170</v>
      </c>
      <c r="E69" s="64">
        <v>0.03</v>
      </c>
      <c r="F69" s="59">
        <v>-0.6845</v>
      </c>
      <c r="G69" s="59">
        <v>-0.13869999999999999</v>
      </c>
      <c r="H69" s="59">
        <v>-0.16500000000000001</v>
      </c>
      <c r="I69" s="59">
        <v>-0.1066</v>
      </c>
      <c r="J69" s="59">
        <v>4.9399999999999999E-2</v>
      </c>
      <c r="K69" s="59">
        <v>0.17760000000000001</v>
      </c>
      <c r="L69" s="59">
        <v>0.15459999999999999</v>
      </c>
      <c r="M69" s="59">
        <v>-0.185</v>
      </c>
      <c r="N69" s="59">
        <v>3.4500000000000003E-2</v>
      </c>
      <c r="O69" s="59">
        <v>0.12559999999999999</v>
      </c>
      <c r="P69" s="59">
        <v>3.3999999999999998E-3</v>
      </c>
      <c r="Q69" s="59">
        <v>-3.1300000000000001E-2</v>
      </c>
      <c r="R69" s="59">
        <v>5.4199999999999998E-2</v>
      </c>
      <c r="S69" s="64">
        <v>0.06</v>
      </c>
      <c r="T69" s="59">
        <v>5.8999999999999997E-2</v>
      </c>
      <c r="U69" s="59">
        <v>5.8999999999999997E-2</v>
      </c>
      <c r="V69" s="59">
        <v>4.6600000000000003E-2</v>
      </c>
      <c r="W69" s="59">
        <v>0.14630000000000001</v>
      </c>
      <c r="X69" s="59">
        <v>0.1067</v>
      </c>
      <c r="Y69" s="59">
        <v>4.4600000000000001E-2</v>
      </c>
      <c r="Z69" s="59">
        <v>0.14979999999999999</v>
      </c>
      <c r="AA69" s="59">
        <v>0.22850000000000001</v>
      </c>
      <c r="AB69" s="59">
        <v>0.2646</v>
      </c>
      <c r="AJ69" s="59">
        <v>0.26669999999999999</v>
      </c>
      <c r="AK69" s="59">
        <v>0.24840000000000001</v>
      </c>
    </row>
    <row r="70" spans="1:39" s="50" customFormat="1" x14ac:dyDescent="0.2">
      <c r="A70" s="51" t="s">
        <v>151</v>
      </c>
      <c r="B70" s="51"/>
      <c r="C70" s="51"/>
    </row>
    <row r="71" spans="1:39" s="48" customFormat="1" ht="17" x14ac:dyDescent="0.2">
      <c r="A71" s="48" t="s">
        <v>168</v>
      </c>
      <c r="J71" s="48">
        <v>31.61</v>
      </c>
      <c r="K71" s="59">
        <v>0.26300000000000001</v>
      </c>
      <c r="L71" s="59">
        <v>0.27739999999999998</v>
      </c>
      <c r="M71" s="59">
        <v>0.29780000000000001</v>
      </c>
      <c r="N71" s="59">
        <v>0.2235</v>
      </c>
      <c r="O71" s="59">
        <v>0.24890000000000001</v>
      </c>
      <c r="P71" s="59">
        <v>0.34449999999999997</v>
      </c>
      <c r="Q71" s="59">
        <v>0.31230000000000002</v>
      </c>
      <c r="R71" s="59">
        <v>0.30909999999999999</v>
      </c>
      <c r="S71" s="59">
        <v>0.37180000000000002</v>
      </c>
      <c r="T71" s="59">
        <v>0.40300000000000002</v>
      </c>
      <c r="U71" s="59">
        <v>0.44080000000000003</v>
      </c>
      <c r="V71" s="59">
        <v>0.45219999999999999</v>
      </c>
      <c r="W71" s="59">
        <v>0.43940000000000001</v>
      </c>
      <c r="X71" s="59">
        <v>0.42180000000000001</v>
      </c>
      <c r="Y71" s="59">
        <v>0.46910000000000002</v>
      </c>
      <c r="Z71" s="59">
        <v>0.49919999999999998</v>
      </c>
      <c r="AA71" s="59">
        <v>0.56899999999999995</v>
      </c>
      <c r="AB71" s="59">
        <v>0.56779999999999997</v>
      </c>
      <c r="AJ71" s="59">
        <v>0.56889999999999996</v>
      </c>
      <c r="AK71" s="59">
        <v>0.56579999999999997</v>
      </c>
    </row>
    <row r="72" spans="1:39" s="48" customFormat="1" ht="17" x14ac:dyDescent="0.2">
      <c r="A72" s="48" t="s">
        <v>169</v>
      </c>
      <c r="J72" s="59">
        <v>5.0099999999999999E-2</v>
      </c>
      <c r="K72" s="59">
        <v>-5.21E-2</v>
      </c>
      <c r="L72" s="59">
        <v>-3.7400000000000003E-2</v>
      </c>
      <c r="M72" s="59">
        <v>-3.7400000000000003E-2</v>
      </c>
      <c r="N72" s="59">
        <v>1.2999999999999999E-2</v>
      </c>
      <c r="O72" s="59">
        <v>-0.12089999999999999</v>
      </c>
      <c r="P72" s="59">
        <v>1.2800000000000001E-2</v>
      </c>
      <c r="Q72" s="59">
        <v>-6.4299999999999996E-2</v>
      </c>
      <c r="R72" s="59">
        <v>-2.9499999999999998E-2</v>
      </c>
      <c r="S72" s="59">
        <v>8.1199999999999994E-2</v>
      </c>
      <c r="T72" s="59" t="s">
        <v>189</v>
      </c>
      <c r="U72" s="59">
        <v>0.1497</v>
      </c>
      <c r="V72" s="59">
        <v>0.10050000000000001</v>
      </c>
      <c r="W72" s="59">
        <v>9.01E-2</v>
      </c>
      <c r="X72" s="59">
        <v>9.4999999999999998E-3</v>
      </c>
      <c r="Y72" s="59">
        <v>9.0999999999999998E-2</v>
      </c>
      <c r="Z72" s="59">
        <v>0.18459999999999999</v>
      </c>
      <c r="AA72" s="59">
        <v>0.28260000000000002</v>
      </c>
      <c r="AB72" s="59">
        <v>0.26590000000000003</v>
      </c>
      <c r="AJ72" s="59">
        <v>0.23619999999999999</v>
      </c>
      <c r="AK72" s="59">
        <v>0.21890000000000001</v>
      </c>
    </row>
    <row r="73" spans="1:39" s="48" customFormat="1" ht="17" x14ac:dyDescent="0.2">
      <c r="A73" s="48" t="s">
        <v>170</v>
      </c>
      <c r="J73" s="59">
        <v>2.2599999999999999E-2</v>
      </c>
      <c r="K73" s="59">
        <v>-0.15160000000000001</v>
      </c>
      <c r="L73" s="59">
        <v>-5.9700000000000003E-2</v>
      </c>
      <c r="M73" s="59">
        <v>-5.9700000000000003E-2</v>
      </c>
      <c r="N73" s="59">
        <v>-2.3099999999999999E-2</v>
      </c>
      <c r="O73" s="59">
        <v>-0.15060000000000001</v>
      </c>
      <c r="P73" s="59">
        <v>-0.1011</v>
      </c>
      <c r="Q73" s="59">
        <v>-7.0900000000000005E-2</v>
      </c>
      <c r="R73" s="59">
        <v>-0.21329999999999999</v>
      </c>
      <c r="S73" s="59">
        <v>-6.4000000000000005E-4</v>
      </c>
      <c r="T73" s="59">
        <v>0.1041</v>
      </c>
      <c r="U73" s="59">
        <v>0.1245</v>
      </c>
      <c r="V73" s="59">
        <v>9.8900000000000002E-2</v>
      </c>
      <c r="W73" s="59">
        <v>6.7400000000000002E-2</v>
      </c>
      <c r="X73" s="59">
        <v>-8.2000000000000007E-3</v>
      </c>
      <c r="Y73" s="59">
        <v>6.3799999999999996E-2</v>
      </c>
      <c r="Z73" s="59">
        <v>0.128</v>
      </c>
      <c r="AA73" s="59">
        <v>0.17100000000000001</v>
      </c>
      <c r="AB73" s="59">
        <v>0.22939999999999999</v>
      </c>
      <c r="AJ73" s="59">
        <v>0.21329999999999999</v>
      </c>
      <c r="AK73" s="59">
        <v>0.19350000000000001</v>
      </c>
    </row>
    <row r="74" spans="1:39" s="50" customFormat="1" x14ac:dyDescent="0.2">
      <c r="A74" s="51" t="s">
        <v>152</v>
      </c>
      <c r="B74" s="51"/>
      <c r="C74" s="51"/>
    </row>
    <row r="75" spans="1:39" s="48" customFormat="1" ht="17" x14ac:dyDescent="0.2">
      <c r="A75" s="48" t="s">
        <v>168</v>
      </c>
      <c r="B75" s="59">
        <v>0.3886</v>
      </c>
      <c r="C75" s="59">
        <v>0.38250000000000001</v>
      </c>
      <c r="D75" s="66">
        <v>0.39589999999999997</v>
      </c>
      <c r="E75" s="66">
        <v>0.46029999999999999</v>
      </c>
      <c r="F75" s="66">
        <v>0.3634</v>
      </c>
      <c r="G75" s="66">
        <v>0.36370000000000002</v>
      </c>
      <c r="H75" s="66">
        <v>0.35449999999999998</v>
      </c>
      <c r="I75" s="66">
        <v>0.36849999999999999</v>
      </c>
      <c r="J75" s="66">
        <v>0.34189999999999998</v>
      </c>
      <c r="K75" s="66">
        <v>0.35749999999999998</v>
      </c>
      <c r="L75" s="66">
        <v>0.35360000000000003</v>
      </c>
      <c r="M75" s="66">
        <v>0.36170000000000002</v>
      </c>
      <c r="N75" s="66">
        <v>0.30859999999999999</v>
      </c>
      <c r="O75" s="66">
        <v>0.3881</v>
      </c>
      <c r="P75" s="66">
        <v>0.36709999999999998</v>
      </c>
      <c r="Q75" s="66">
        <v>0.32769999999999999</v>
      </c>
      <c r="R75" s="66">
        <v>0.32340000000000002</v>
      </c>
      <c r="S75" s="66">
        <v>0.33739999999999998</v>
      </c>
      <c r="T75" s="66">
        <v>0.33810000000000001</v>
      </c>
      <c r="U75" s="66">
        <v>0.35210000000000002</v>
      </c>
      <c r="V75" s="66">
        <v>0.39150000000000001</v>
      </c>
      <c r="W75" s="66">
        <v>0.39950000000000002</v>
      </c>
      <c r="X75" s="66">
        <v>0.38679999999999998</v>
      </c>
      <c r="Y75" s="66">
        <v>0.37080000000000002</v>
      </c>
      <c r="Z75" s="66">
        <v>0.41739999999999999</v>
      </c>
      <c r="AA75" s="66">
        <v>0.47339999999999999</v>
      </c>
      <c r="AB75" s="66">
        <v>0.47939999999999999</v>
      </c>
      <c r="AC75" s="66"/>
      <c r="AI75" s="66"/>
      <c r="AJ75" s="66">
        <v>0.46100000000000002</v>
      </c>
      <c r="AK75" s="66">
        <v>0.44109999999999999</v>
      </c>
      <c r="AL75" s="66"/>
      <c r="AM75" s="66"/>
    </row>
    <row r="76" spans="1:39" s="48" customFormat="1" ht="17" x14ac:dyDescent="0.2">
      <c r="A76" s="48" t="s">
        <v>169</v>
      </c>
      <c r="B76" s="59">
        <v>0.1293</v>
      </c>
      <c r="C76" s="59">
        <v>0.1232</v>
      </c>
      <c r="D76" s="66">
        <v>0.10349999999999999</v>
      </c>
      <c r="E76" s="66">
        <v>0.22819999999999999</v>
      </c>
      <c r="F76" s="66">
        <v>0.16</v>
      </c>
      <c r="G76" s="66">
        <v>0.10050000000000001</v>
      </c>
      <c r="H76" s="66">
        <v>7.4499999999999997E-2</v>
      </c>
      <c r="I76" s="66">
        <v>8.6599999999999996E-2</v>
      </c>
      <c r="J76" s="66">
        <v>4.19E-2</v>
      </c>
      <c r="K76" s="66">
        <v>7.6499999999999999E-2</v>
      </c>
      <c r="L76" s="66">
        <v>7.2900000000000006E-2</v>
      </c>
      <c r="M76" s="66">
        <v>2.8799999999999999E-2</v>
      </c>
      <c r="N76" s="66">
        <v>-8.5999999999999993E-2</v>
      </c>
      <c r="O76" s="66">
        <v>5.6099999999999997E-2</v>
      </c>
      <c r="P76" s="66">
        <v>1.24E-2</v>
      </c>
      <c r="Q76" s="66">
        <v>-8.2299999999999998E-2</v>
      </c>
      <c r="R76" s="66">
        <v>-2.7199999999999998E-2</v>
      </c>
      <c r="S76" s="66">
        <v>3.6999999999999998E-2</v>
      </c>
      <c r="T76" s="66">
        <v>2.23E-2</v>
      </c>
      <c r="U76" s="66">
        <v>4.3299999999999998E-2</v>
      </c>
      <c r="V76" s="66">
        <v>0.12540000000000001</v>
      </c>
      <c r="W76" s="66">
        <v>0.1467</v>
      </c>
      <c r="X76" s="66">
        <v>0.12939999999999999</v>
      </c>
      <c r="Y76" s="66">
        <v>0.13339999999999999</v>
      </c>
      <c r="Z76" s="66">
        <v>0.19139999999999999</v>
      </c>
      <c r="AA76" s="66">
        <v>0.26540000000000002</v>
      </c>
      <c r="AB76" s="66">
        <v>0.26250000000000001</v>
      </c>
      <c r="AC76" s="66"/>
      <c r="AI76" s="66"/>
      <c r="AJ76" s="66">
        <v>0.23039999999999999</v>
      </c>
      <c r="AK76" s="66">
        <v>0.20169999999999999</v>
      </c>
      <c r="AL76" s="66"/>
      <c r="AM76" s="66"/>
    </row>
    <row r="77" spans="1:39" s="48" customFormat="1" ht="17" x14ac:dyDescent="0.2">
      <c r="A77" s="48" t="s">
        <v>170</v>
      </c>
      <c r="B77" s="59">
        <v>0.1012</v>
      </c>
      <c r="C77" s="59">
        <v>9.6799999999999997E-2</v>
      </c>
      <c r="D77" s="66">
        <v>0.1082</v>
      </c>
      <c r="E77" s="66">
        <v>0.18590000000000001</v>
      </c>
      <c r="F77" s="66">
        <v>4.0399999999999998E-2</v>
      </c>
      <c r="G77" s="66">
        <v>6.7900000000000002E-2</v>
      </c>
      <c r="H77" s="66">
        <v>3.5000000000000003E-2</v>
      </c>
      <c r="I77" s="66">
        <v>6.8599999999999994E-2</v>
      </c>
      <c r="J77" s="66">
        <v>2.9899999999999999E-2</v>
      </c>
      <c r="K77" s="66">
        <v>7.9399999999999998E-2</v>
      </c>
      <c r="L77" s="66">
        <v>-4.7699999999999999E-2</v>
      </c>
      <c r="M77" s="66">
        <v>-7.9899999999999999E-2</v>
      </c>
      <c r="N77" s="66">
        <v>-0.13289999999999999</v>
      </c>
      <c r="O77" s="66">
        <v>8.0199999999999994E-2</v>
      </c>
      <c r="P77" s="66">
        <v>6.6799999999999998E-2</v>
      </c>
      <c r="Q77" s="66">
        <v>-0.1363</v>
      </c>
      <c r="R77" s="66">
        <v>-6.1899999999999997E-2</v>
      </c>
      <c r="S77" s="66">
        <v>1.7299999999999999E-2</v>
      </c>
      <c r="T77" s="66">
        <v>1.5100000000000001E-2</v>
      </c>
      <c r="U77" s="66">
        <v>2.3699999999999999E-2</v>
      </c>
      <c r="V77" s="66">
        <v>9.6100000000000005E-2</v>
      </c>
      <c r="W77" s="66">
        <v>0.13320000000000001</v>
      </c>
      <c r="X77" s="66">
        <v>0.108</v>
      </c>
      <c r="Y77" s="66">
        <v>0.1082</v>
      </c>
      <c r="Z77" s="66">
        <v>0.15670000000000001</v>
      </c>
      <c r="AA77" s="66">
        <v>0.2455</v>
      </c>
      <c r="AB77" s="66">
        <v>0.24360000000000001</v>
      </c>
      <c r="AC77" s="66"/>
      <c r="AI77" s="66"/>
      <c r="AJ77" s="66">
        <v>0.22</v>
      </c>
      <c r="AK77" s="66">
        <v>0.19670000000000001</v>
      </c>
      <c r="AL77" s="66"/>
      <c r="AM77" s="66"/>
    </row>
    <row r="78" spans="1:39" s="50" customFormat="1" x14ac:dyDescent="0.2"/>
    <row r="79" spans="1:39" s="50" customFormat="1" x14ac:dyDescent="0.2"/>
    <row r="80" spans="1:39" x14ac:dyDescent="0.2">
      <c r="A80" s="55" t="s">
        <v>172</v>
      </c>
      <c r="B80" s="55"/>
      <c r="C80" s="55"/>
    </row>
    <row r="81" spans="1:38" ht="17" x14ac:dyDescent="0.2">
      <c r="A81" s="54" t="s">
        <v>110</v>
      </c>
      <c r="B81" s="54"/>
      <c r="C81" s="54"/>
    </row>
    <row r="82" spans="1:38" x14ac:dyDescent="0.2">
      <c r="A82" s="51" t="s">
        <v>148</v>
      </c>
      <c r="B82" s="51"/>
      <c r="C82" s="51"/>
    </row>
    <row r="83" spans="1:38" x14ac:dyDescent="0.2">
      <c r="A83" s="51" t="s">
        <v>149</v>
      </c>
      <c r="B83" s="51"/>
      <c r="C83" s="51"/>
    </row>
    <row r="84" spans="1:38" x14ac:dyDescent="0.2">
      <c r="A84" s="51" t="s">
        <v>150</v>
      </c>
      <c r="B84" s="51"/>
      <c r="C84" s="51"/>
      <c r="Y84" s="63"/>
      <c r="Z84" s="63"/>
      <c r="AA84" s="63"/>
      <c r="AB84" s="63"/>
      <c r="AJ84" s="63"/>
      <c r="AK84" s="63"/>
      <c r="AL84" s="63"/>
    </row>
    <row r="85" spans="1:38" ht="17" x14ac:dyDescent="0.2">
      <c r="A85" s="54" t="s">
        <v>162</v>
      </c>
      <c r="B85" s="54"/>
      <c r="C85" s="54"/>
    </row>
    <row r="86" spans="1:38" x14ac:dyDescent="0.2">
      <c r="A86" s="51" t="s">
        <v>151</v>
      </c>
      <c r="B86" s="51"/>
      <c r="C86" s="51"/>
    </row>
    <row r="87" spans="1:38" x14ac:dyDescent="0.2">
      <c r="A87" s="51" t="s">
        <v>152</v>
      </c>
      <c r="B87" s="51"/>
      <c r="C87" s="51"/>
    </row>
    <row r="88" spans="1:38" x14ac:dyDescent="0.2">
      <c r="A88" s="56" t="s">
        <v>4</v>
      </c>
      <c r="B88" s="56"/>
      <c r="C88" s="56"/>
    </row>
    <row r="90" spans="1:38" x14ac:dyDescent="0.2">
      <c r="A90" s="52" t="s">
        <v>166</v>
      </c>
      <c r="B90" s="52"/>
      <c r="C90" s="52"/>
    </row>
    <row r="91" spans="1:38" ht="17" x14ac:dyDescent="0.2">
      <c r="A91" s="54" t="s">
        <v>110</v>
      </c>
      <c r="B91" s="54"/>
      <c r="C91" s="54"/>
    </row>
    <row r="92" spans="1:38" x14ac:dyDescent="0.2">
      <c r="A92" s="51" t="s">
        <v>148</v>
      </c>
      <c r="B92" s="51"/>
      <c r="C92" s="51"/>
    </row>
    <row r="93" spans="1:38" x14ac:dyDescent="0.2">
      <c r="A93" s="51" t="s">
        <v>149</v>
      </c>
      <c r="B93" s="51"/>
      <c r="C93" s="51"/>
    </row>
    <row r="94" spans="1:38" x14ac:dyDescent="0.2">
      <c r="A94" s="51" t="s">
        <v>150</v>
      </c>
      <c r="B94" s="51"/>
      <c r="C94" s="51"/>
      <c r="Y94" s="63">
        <v>0.41099999999999998</v>
      </c>
      <c r="Z94" s="63">
        <v>0.43769999999999998</v>
      </c>
      <c r="AA94" s="63">
        <v>0.45829999999999999</v>
      </c>
      <c r="AB94" s="63">
        <v>0.50539999999999996</v>
      </c>
      <c r="AJ94" s="63">
        <v>0.56320000000000003</v>
      </c>
      <c r="AK94" s="63">
        <v>0.57210000000000005</v>
      </c>
      <c r="AL94" s="63">
        <v>0.57050000000000001</v>
      </c>
    </row>
    <row r="95" spans="1:38" ht="17" x14ac:dyDescent="0.2">
      <c r="A95" s="54" t="s">
        <v>162</v>
      </c>
      <c r="B95" s="54"/>
      <c r="C95" s="54"/>
    </row>
    <row r="96" spans="1:38" x14ac:dyDescent="0.2">
      <c r="A96" s="51" t="s">
        <v>151</v>
      </c>
      <c r="B96" s="51"/>
      <c r="C96" s="51"/>
      <c r="X96" s="63">
        <v>0.51670000000000005</v>
      </c>
      <c r="Y96" s="63">
        <v>0.5081</v>
      </c>
      <c r="Z96" s="63">
        <v>0.51870000000000005</v>
      </c>
      <c r="AA96" s="63"/>
      <c r="AB96" s="63">
        <v>0.52039999999999997</v>
      </c>
      <c r="AJ96" s="63">
        <v>0.50639999999999996</v>
      </c>
      <c r="AK96" s="63">
        <v>0.53069999999999995</v>
      </c>
    </row>
    <row r="97" spans="1:39" x14ac:dyDescent="0.2">
      <c r="A97" s="51" t="s">
        <v>152</v>
      </c>
      <c r="B97" s="51"/>
      <c r="C97" s="51"/>
      <c r="X97" s="67">
        <v>0.37740000000000001</v>
      </c>
      <c r="Y97" s="67"/>
      <c r="Z97" s="67">
        <v>0.35949999999999999</v>
      </c>
      <c r="AA97" s="67">
        <v>0.37009999999999998</v>
      </c>
      <c r="AB97" s="67">
        <v>0.45400000000000001</v>
      </c>
      <c r="AC97" s="67"/>
      <c r="AI97" s="67"/>
      <c r="AJ97" s="67"/>
      <c r="AK97" s="67"/>
      <c r="AL97" s="67"/>
      <c r="AM97" s="67"/>
    </row>
    <row r="100" spans="1:39" x14ac:dyDescent="0.2">
      <c r="A100" s="46" t="s">
        <v>171</v>
      </c>
      <c r="B100" s="46"/>
      <c r="C100" s="46"/>
    </row>
    <row r="101" spans="1:39" ht="17" x14ac:dyDescent="0.2">
      <c r="A101" s="54" t="s">
        <v>110</v>
      </c>
      <c r="B101" s="54"/>
      <c r="C101" s="54"/>
    </row>
    <row r="102" spans="1:39" ht="17" x14ac:dyDescent="0.2">
      <c r="A102" s="48" t="s">
        <v>173</v>
      </c>
      <c r="B102" s="48"/>
      <c r="C102" s="48"/>
      <c r="X102">
        <v>12.26</v>
      </c>
      <c r="Y102">
        <v>11.21</v>
      </c>
      <c r="Z102">
        <v>12.41</v>
      </c>
      <c r="AA102">
        <v>6.38</v>
      </c>
      <c r="AB102">
        <v>11.32</v>
      </c>
      <c r="AC102">
        <f>13.03</f>
        <v>13.03</v>
      </c>
    </row>
    <row r="103" spans="1:39" ht="17" x14ac:dyDescent="0.2">
      <c r="A103" s="48" t="s">
        <v>32</v>
      </c>
      <c r="B103" s="48"/>
      <c r="C103" s="48"/>
      <c r="X103">
        <f>2.5+13.44</f>
        <v>15.94</v>
      </c>
      <c r="Y103">
        <f>0.5+15.23</f>
        <v>15.73</v>
      </c>
      <c r="Z103">
        <f>2.04+13.7</f>
        <v>15.739999999999998</v>
      </c>
      <c r="AA103">
        <f>1.95+13.54</f>
        <v>15.489999999999998</v>
      </c>
      <c r="AB103">
        <f>0.914+14.48</f>
        <v>15.394</v>
      </c>
      <c r="AC103">
        <f>1.36+13.19</f>
        <v>14.549999999999999</v>
      </c>
    </row>
    <row r="104" spans="1:39" ht="17" x14ac:dyDescent="0.2">
      <c r="A104" s="53" t="s">
        <v>174</v>
      </c>
      <c r="B104" s="53"/>
      <c r="C104" s="53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>
        <f t="shared" ref="X104:AB104" si="22">X102/X103</f>
        <v>0.76913425345043918</v>
      </c>
      <c r="Y104" s="19">
        <f t="shared" si="22"/>
        <v>0.71265098537825811</v>
      </c>
      <c r="Z104" s="19">
        <f t="shared" si="22"/>
        <v>0.78843710292249058</v>
      </c>
      <c r="AA104" s="19">
        <f t="shared" si="22"/>
        <v>0.41187863137508074</v>
      </c>
      <c r="AB104" s="19">
        <f t="shared" si="22"/>
        <v>0.73535143562426919</v>
      </c>
      <c r="AC104" s="19">
        <f>AC102/AC103</f>
        <v>0.89553264604811</v>
      </c>
    </row>
    <row r="105" spans="1:39" x14ac:dyDescent="0.2">
      <c r="A105" s="51" t="s">
        <v>148</v>
      </c>
      <c r="B105" s="51"/>
      <c r="C105" s="51"/>
    </row>
    <row r="106" spans="1:39" ht="17" x14ac:dyDescent="0.2">
      <c r="A106" s="48" t="s">
        <v>173</v>
      </c>
      <c r="B106" s="48"/>
      <c r="C106" s="48"/>
      <c r="X106">
        <f>0.3+5.39</f>
        <v>5.6899999999999995</v>
      </c>
      <c r="Y106">
        <v>6.57</v>
      </c>
      <c r="Z106">
        <v>9.74</v>
      </c>
      <c r="AA106">
        <v>9.07</v>
      </c>
      <c r="AB106">
        <f>8.58</f>
        <v>8.58</v>
      </c>
      <c r="AC106">
        <f>9.69</f>
        <v>9.69</v>
      </c>
    </row>
    <row r="107" spans="1:39" ht="17" x14ac:dyDescent="0.2">
      <c r="A107" s="48" t="s">
        <v>32</v>
      </c>
      <c r="B107" s="48"/>
      <c r="C107" s="48"/>
      <c r="X107">
        <f>0.5+5.3</f>
        <v>5.8</v>
      </c>
      <c r="Y107">
        <f>0.55+6.25</f>
        <v>6.8</v>
      </c>
      <c r="Z107">
        <f>0.5+7.24</f>
        <v>7.74</v>
      </c>
      <c r="AA107">
        <f>0.5+8.24</f>
        <v>8.74</v>
      </c>
      <c r="AB107">
        <f>0.599+10.62</f>
        <v>11.218999999999999</v>
      </c>
      <c r="AC107">
        <f>1.05+12.84</f>
        <v>13.89</v>
      </c>
    </row>
    <row r="108" spans="1:39" ht="17" x14ac:dyDescent="0.2">
      <c r="A108" s="53" t="s">
        <v>174</v>
      </c>
      <c r="B108" s="53"/>
      <c r="C108" s="53"/>
      <c r="X108" s="19">
        <f t="shared" ref="X108:AB108" si="23">X106/X107</f>
        <v>0.9810344827586206</v>
      </c>
      <c r="Y108" s="19">
        <f t="shared" si="23"/>
        <v>0.96617647058823541</v>
      </c>
      <c r="Z108" s="19">
        <f t="shared" si="23"/>
        <v>1.2583979328165376</v>
      </c>
      <c r="AA108" s="19">
        <f t="shared" si="23"/>
        <v>1.0377574370709381</v>
      </c>
      <c r="AB108" s="19">
        <f t="shared" si="23"/>
        <v>0.76477404403244498</v>
      </c>
      <c r="AC108" s="19">
        <f>AC106/AC107</f>
        <v>0.6976241900647947</v>
      </c>
    </row>
    <row r="109" spans="1:39" x14ac:dyDescent="0.2">
      <c r="A109" s="51" t="s">
        <v>149</v>
      </c>
      <c r="B109" s="51"/>
      <c r="C109" s="51"/>
    </row>
    <row r="110" spans="1:39" ht="17" x14ac:dyDescent="0.2">
      <c r="A110" s="48" t="s">
        <v>173</v>
      </c>
      <c r="B110" s="48"/>
      <c r="C110" s="48"/>
      <c r="X110">
        <v>1.05</v>
      </c>
      <c r="Y110">
        <v>2.2799999999999998</v>
      </c>
      <c r="Z110">
        <f>2.83</f>
        <v>2.83</v>
      </c>
      <c r="AA110">
        <f>3.62+0.227</f>
        <v>3.847</v>
      </c>
      <c r="AB110">
        <f>4.06+0.214</f>
        <v>4.274</v>
      </c>
      <c r="AC110">
        <f>3.02+0.241</f>
        <v>3.2610000000000001</v>
      </c>
    </row>
    <row r="111" spans="1:39" ht="17" x14ac:dyDescent="0.2">
      <c r="A111" s="48" t="s">
        <v>32</v>
      </c>
      <c r="B111" s="48"/>
      <c r="C111" s="48"/>
      <c r="X111">
        <v>7.37</v>
      </c>
      <c r="Y111">
        <v>7.61</v>
      </c>
      <c r="Z111">
        <v>10.57</v>
      </c>
      <c r="AA111">
        <v>11.17</v>
      </c>
      <c r="AB111">
        <f>1+10.18</f>
        <v>11.18</v>
      </c>
      <c r="AC111">
        <f>0.499+9.68</f>
        <v>10.179</v>
      </c>
    </row>
    <row r="112" spans="1:39" ht="17" x14ac:dyDescent="0.2">
      <c r="A112" s="53" t="s">
        <v>174</v>
      </c>
      <c r="B112" s="53"/>
      <c r="C112" s="53"/>
      <c r="X112" s="19">
        <f t="shared" ref="X112" si="24">X110/X111</f>
        <v>0.1424694708276798</v>
      </c>
      <c r="Y112" s="19">
        <f t="shared" ref="Y112" si="25">Y110/Y111</f>
        <v>0.29960578186596581</v>
      </c>
      <c r="Z112" s="19">
        <f t="shared" ref="Z112" si="26">Z110/Z111</f>
        <v>0.26773888363292336</v>
      </c>
      <c r="AA112" s="19">
        <f t="shared" ref="AA112" si="27">AA110/AA111</f>
        <v>0.34440465532676812</v>
      </c>
      <c r="AB112" s="19">
        <f t="shared" ref="AB112" si="28">AB110/AB111</f>
        <v>0.38228980322003581</v>
      </c>
      <c r="AC112" s="19">
        <f>AC110/AC111</f>
        <v>0.32036545829649277</v>
      </c>
    </row>
    <row r="113" spans="1:29" x14ac:dyDescent="0.2">
      <c r="A113" s="51" t="s">
        <v>150</v>
      </c>
      <c r="B113" s="51"/>
      <c r="C113" s="51"/>
    </row>
    <row r="114" spans="1:29" ht="17" x14ac:dyDescent="0.2">
      <c r="A114" s="48" t="s">
        <v>173</v>
      </c>
      <c r="B114" s="48"/>
      <c r="C114" s="48"/>
      <c r="X114">
        <f>1.02+2.76</f>
        <v>3.78</v>
      </c>
      <c r="Y114">
        <f>1.85+1.38</f>
        <v>3.23</v>
      </c>
      <c r="Z114">
        <f>1.75+2.17</f>
        <v>3.92</v>
      </c>
      <c r="AA114">
        <f>1.44+2.28</f>
        <v>3.7199999999999998</v>
      </c>
      <c r="AB114">
        <f>1.82+1.77</f>
        <v>3.59</v>
      </c>
      <c r="AC114">
        <f>1.74+0.601</f>
        <v>2.3410000000000002</v>
      </c>
    </row>
    <row r="115" spans="1:29" ht="17" x14ac:dyDescent="0.2">
      <c r="A115" s="48" t="s">
        <v>32</v>
      </c>
      <c r="B115" s="48"/>
      <c r="C115" s="48"/>
      <c r="X115">
        <f>0.022+1.53</f>
        <v>1.552</v>
      </c>
      <c r="Y115">
        <f>0.505+6.53</f>
        <v>7.0350000000000001</v>
      </c>
      <c r="Z115">
        <f>0.833+5.75</f>
        <v>6.5830000000000002</v>
      </c>
      <c r="AA115">
        <f>0.752+4.91</f>
        <v>5.6619999999999999</v>
      </c>
      <c r="AB115">
        <f>4.4+0.33</f>
        <v>4.7300000000000004</v>
      </c>
      <c r="AC115">
        <f>0.999+4.39</f>
        <v>5.3889999999999993</v>
      </c>
    </row>
    <row r="116" spans="1:29" ht="17" x14ac:dyDescent="0.2">
      <c r="A116" s="53" t="s">
        <v>174</v>
      </c>
      <c r="B116" s="53"/>
      <c r="C116" s="53"/>
      <c r="X116" s="19">
        <f t="shared" ref="X116:AB116" si="29">X114/X115</f>
        <v>2.4355670103092781</v>
      </c>
      <c r="Y116" s="19">
        <f t="shared" si="29"/>
        <v>0.45913290689410091</v>
      </c>
      <c r="Z116" s="19">
        <f t="shared" si="29"/>
        <v>0.59547318851587416</v>
      </c>
      <c r="AA116" s="19">
        <f t="shared" si="29"/>
        <v>0.65701165665842454</v>
      </c>
      <c r="AB116" s="19">
        <f t="shared" si="29"/>
        <v>0.7589852008456659</v>
      </c>
      <c r="AC116" s="19">
        <f>AC114/AC115</f>
        <v>0.43440341436259056</v>
      </c>
    </row>
    <row r="117" spans="1:29" ht="17" x14ac:dyDescent="0.2">
      <c r="A117" s="54" t="s">
        <v>162</v>
      </c>
      <c r="B117" s="54"/>
      <c r="C117" s="54"/>
    </row>
    <row r="118" spans="1:29" ht="17" x14ac:dyDescent="0.2">
      <c r="A118" s="48" t="s">
        <v>173</v>
      </c>
      <c r="B118" s="48"/>
      <c r="C118" s="48"/>
      <c r="X118">
        <v>0.89419999999999999</v>
      </c>
      <c r="Y118">
        <v>1.08</v>
      </c>
      <c r="Z118">
        <v>1.35</v>
      </c>
      <c r="AA118">
        <v>2.92</v>
      </c>
      <c r="AB118">
        <v>2.48</v>
      </c>
      <c r="AC118">
        <f>2.68</f>
        <v>2.68</v>
      </c>
    </row>
    <row r="119" spans="1:29" ht="17" x14ac:dyDescent="0.2">
      <c r="A119" s="48" t="s">
        <v>32</v>
      </c>
      <c r="B119" s="48"/>
      <c r="C119" s="48"/>
      <c r="X119">
        <f>0.736+2.88</f>
        <v>3.6159999999999997</v>
      </c>
      <c r="Y119">
        <f>0.5316+2.96</f>
        <v>3.4916</v>
      </c>
      <c r="Z119">
        <f>2.91+0.1607</f>
        <v>3.0707</v>
      </c>
      <c r="AA119">
        <f>3.05+0.1478</f>
        <v>3.1978</v>
      </c>
      <c r="AB119">
        <f>2.54+0.794</f>
        <v>3.3340000000000001</v>
      </c>
      <c r="AC119">
        <f>0.7956+2.55</f>
        <v>3.3455999999999997</v>
      </c>
    </row>
    <row r="120" spans="1:29" ht="17" x14ac:dyDescent="0.2">
      <c r="A120" s="53" t="s">
        <v>174</v>
      </c>
      <c r="B120" s="53"/>
      <c r="C120" s="53"/>
      <c r="X120" s="19">
        <f t="shared" ref="X120:AB120" si="30">X118/X119</f>
        <v>0.24728982300884958</v>
      </c>
      <c r="Y120" s="19">
        <f t="shared" si="30"/>
        <v>0.30931378164738232</v>
      </c>
      <c r="Z120" s="19">
        <f t="shared" si="30"/>
        <v>0.43963917022177357</v>
      </c>
      <c r="AA120" s="19">
        <f t="shared" si="30"/>
        <v>0.91312777534555001</v>
      </c>
      <c r="AB120" s="19">
        <f t="shared" si="30"/>
        <v>0.74385122975404916</v>
      </c>
      <c r="AC120" s="19">
        <f>AC118/AC119</f>
        <v>0.80105212816834059</v>
      </c>
    </row>
    <row r="121" spans="1:29" x14ac:dyDescent="0.2">
      <c r="A121" s="51" t="s">
        <v>151</v>
      </c>
      <c r="B121" s="51"/>
      <c r="C121" s="51"/>
    </row>
    <row r="122" spans="1:29" ht="17" x14ac:dyDescent="0.2">
      <c r="A122" s="48" t="s">
        <v>173</v>
      </c>
      <c r="B122" s="48"/>
      <c r="C122" s="48"/>
      <c r="X122">
        <v>146.94</v>
      </c>
      <c r="Y122">
        <v>220.39</v>
      </c>
      <c r="Z122">
        <v>222.66</v>
      </c>
      <c r="AA122">
        <v>342.76</v>
      </c>
      <c r="AB122">
        <f>439.34</f>
        <v>439.34</v>
      </c>
      <c r="AC122">
        <f>288.36+33.77</f>
        <v>322.13</v>
      </c>
    </row>
    <row r="123" spans="1:29" ht="17" x14ac:dyDescent="0.2">
      <c r="A123" s="48" t="s">
        <v>32</v>
      </c>
      <c r="B123" s="48"/>
      <c r="C123" s="48"/>
      <c r="X123">
        <f>93.18+678.58</f>
        <v>771.76</v>
      </c>
      <c r="Y123">
        <f>586.56+93.18</f>
        <v>679.74</v>
      </c>
      <c r="Z123">
        <f>692.98+121.11</f>
        <v>814.09</v>
      </c>
      <c r="AA123">
        <f>120.01+635.74</f>
        <v>755.75</v>
      </c>
      <c r="AB123">
        <f>425.31+225.64</f>
        <v>650.95000000000005</v>
      </c>
      <c r="AC123">
        <f>131.49+468.66</f>
        <v>600.15000000000009</v>
      </c>
    </row>
    <row r="124" spans="1:29" ht="17" x14ac:dyDescent="0.2">
      <c r="A124" s="53" t="s">
        <v>174</v>
      </c>
      <c r="B124" s="53"/>
      <c r="C124" s="53"/>
      <c r="X124" s="19">
        <f t="shared" ref="X124:AB124" si="31">X122/X123</f>
        <v>0.19039597802425626</v>
      </c>
      <c r="Y124" s="19">
        <f t="shared" si="31"/>
        <v>0.32422691028922823</v>
      </c>
      <c r="Z124" s="19">
        <f t="shared" si="31"/>
        <v>0.27350784311316928</v>
      </c>
      <c r="AA124" s="19">
        <f t="shared" si="31"/>
        <v>0.4535362222957327</v>
      </c>
      <c r="AB124" s="19">
        <f t="shared" si="31"/>
        <v>0.67492126891466309</v>
      </c>
      <c r="AC124" s="19">
        <f>AC122/AC123</f>
        <v>0.53674914604682156</v>
      </c>
    </row>
    <row r="125" spans="1:29" x14ac:dyDescent="0.2">
      <c r="A125" s="51" t="s">
        <v>152</v>
      </c>
      <c r="B125" s="51"/>
      <c r="C125" s="51"/>
    </row>
    <row r="126" spans="1:29" ht="17" x14ac:dyDescent="0.2">
      <c r="A126" s="48" t="s">
        <v>173</v>
      </c>
      <c r="B126" s="48"/>
      <c r="C126" s="48"/>
      <c r="X126">
        <f>2.73+0.01+0.034</f>
        <v>2.7739999999999996</v>
      </c>
      <c r="Y126">
        <f>0.035+3.72</f>
        <v>3.7550000000000003</v>
      </c>
      <c r="Z126">
        <f>0.039+3.52</f>
        <v>3.5590000000000002</v>
      </c>
      <c r="AA126">
        <f>0.013+4.52</f>
        <v>4.5329999999999995</v>
      </c>
      <c r="AB126">
        <f>6.08+0.002</f>
        <v>6.0819999999999999</v>
      </c>
      <c r="AC126">
        <f>6.29+0.054</f>
        <v>6.3440000000000003</v>
      </c>
    </row>
    <row r="127" spans="1:29" ht="17" x14ac:dyDescent="0.2">
      <c r="A127" s="48" t="s">
        <v>32</v>
      </c>
      <c r="B127" s="48"/>
      <c r="C127" s="48"/>
      <c r="X127">
        <f>0.173+1.9</f>
        <v>2.073</v>
      </c>
      <c r="Y127">
        <f>0.795+1.83</f>
        <v>2.625</v>
      </c>
      <c r="Z127">
        <f>0.143+2.4</f>
        <v>2.5429999999999997</v>
      </c>
      <c r="AA127">
        <f>0.175+2.54</f>
        <v>2.7149999999999999</v>
      </c>
      <c r="AB127">
        <f>0.217+2.71</f>
        <v>2.927</v>
      </c>
      <c r="AC127">
        <f>0.236+2.85</f>
        <v>3.0860000000000003</v>
      </c>
    </row>
    <row r="128" spans="1:29" ht="17" x14ac:dyDescent="0.2">
      <c r="A128" s="53" t="s">
        <v>174</v>
      </c>
      <c r="B128" s="53"/>
      <c r="C128" s="53"/>
      <c r="X128" s="19">
        <f t="shared" ref="X128:AB128" si="32">X126/X127</f>
        <v>1.3381572600096476</v>
      </c>
      <c r="Y128" s="19">
        <f t="shared" si="32"/>
        <v>1.4304761904761907</v>
      </c>
      <c r="Z128" s="19">
        <f t="shared" si="32"/>
        <v>1.3995281163979554</v>
      </c>
      <c r="AA128" s="19">
        <f t="shared" si="32"/>
        <v>1.6696132596685083</v>
      </c>
      <c r="AB128" s="19">
        <f t="shared" si="32"/>
        <v>2.077895456098394</v>
      </c>
      <c r="AC128" s="19">
        <f>AC126/AC127</f>
        <v>2.0557355800388852</v>
      </c>
    </row>
    <row r="131" spans="1:38" x14ac:dyDescent="0.2">
      <c r="A131" s="46" t="s">
        <v>175</v>
      </c>
      <c r="B131" s="46"/>
      <c r="C131" s="46"/>
    </row>
    <row r="132" spans="1:38" ht="17" x14ac:dyDescent="0.2">
      <c r="A132" s="54" t="s">
        <v>110</v>
      </c>
      <c r="B132" s="54"/>
      <c r="C132" s="54"/>
    </row>
    <row r="133" spans="1:38" ht="17" x14ac:dyDescent="0.2">
      <c r="A133" s="48" t="s">
        <v>176</v>
      </c>
      <c r="B133" s="48"/>
      <c r="C133" s="48"/>
      <c r="X133">
        <v>16.190000000000001</v>
      </c>
      <c r="Y133">
        <v>17.079999999999998</v>
      </c>
      <c r="Z133">
        <v>21.17</v>
      </c>
      <c r="AA133">
        <v>28.29</v>
      </c>
      <c r="AB133">
        <v>28.58</v>
      </c>
      <c r="AC133">
        <v>29.41</v>
      </c>
    </row>
    <row r="134" spans="1:38" ht="17" x14ac:dyDescent="0.2">
      <c r="A134" s="48" t="s">
        <v>177</v>
      </c>
      <c r="B134" s="48"/>
      <c r="C134" s="48"/>
      <c r="X134">
        <f>16.77-X102-11.87</f>
        <v>-7.3599999999999994</v>
      </c>
      <c r="Y134">
        <f>18.52-Y102-8.67</f>
        <v>-1.3600000000000012</v>
      </c>
      <c r="Z134">
        <f>20.08-Z102-11.95</f>
        <v>-4.2800000000000011</v>
      </c>
      <c r="AA134">
        <f>20.72-AA102-11.87</f>
        <v>2.4700000000000006</v>
      </c>
      <c r="AB134">
        <f>22.46-AB102-9.63</f>
        <v>1.5099999999999998</v>
      </c>
      <c r="AC134">
        <f>23.33-9.75-AC102</f>
        <v>0.54999999999999893</v>
      </c>
    </row>
    <row r="135" spans="1:38" s="1" customFormat="1" ht="17" x14ac:dyDescent="0.2">
      <c r="A135" s="58" t="s">
        <v>182</v>
      </c>
      <c r="B135" s="58"/>
      <c r="C135" s="58"/>
      <c r="X135" s="1">
        <f t="shared" ref="X135:AB135" si="33">SUM(X133:X134)</f>
        <v>8.8300000000000018</v>
      </c>
      <c r="Y135" s="1">
        <f t="shared" si="33"/>
        <v>15.719999999999997</v>
      </c>
      <c r="Z135" s="1">
        <f t="shared" si="33"/>
        <v>16.89</v>
      </c>
      <c r="AA135" s="1">
        <f t="shared" si="33"/>
        <v>30.759999999999998</v>
      </c>
      <c r="AB135" s="1">
        <f t="shared" si="33"/>
        <v>30.089999999999996</v>
      </c>
      <c r="AC135" s="1">
        <f>SUM(AC133:AC134)</f>
        <v>29.96</v>
      </c>
    </row>
    <row r="136" spans="1:38" ht="17" x14ac:dyDescent="0.2">
      <c r="A136" s="48" t="s">
        <v>178</v>
      </c>
      <c r="B136" s="48"/>
      <c r="C136" s="48"/>
      <c r="X136">
        <v>1.4</v>
      </c>
      <c r="Y136">
        <v>1.39</v>
      </c>
      <c r="Z136">
        <v>1.58</v>
      </c>
      <c r="AA136">
        <v>1.76</v>
      </c>
      <c r="AB136">
        <v>1.81</v>
      </c>
      <c r="AC136">
        <f>SUM(AJ136:AL136)</f>
        <v>1.2669999999999999</v>
      </c>
      <c r="AJ136">
        <v>0.437</v>
      </c>
      <c r="AK136">
        <v>0.41099999999999998</v>
      </c>
      <c r="AL136">
        <v>0.41899999999999998</v>
      </c>
    </row>
    <row r="137" spans="1:38" ht="17" x14ac:dyDescent="0.2">
      <c r="A137" s="48" t="s">
        <v>180</v>
      </c>
      <c r="B137" s="48"/>
      <c r="C137" s="48"/>
      <c r="X137">
        <f>-0.887</f>
        <v>-0.88700000000000001</v>
      </c>
      <c r="Y137">
        <v>-1.41</v>
      </c>
      <c r="Z137">
        <f>-1.89+0.003</f>
        <v>-1.887</v>
      </c>
      <c r="AA137">
        <f>-2.26+0.005</f>
        <v>-2.2549999999999999</v>
      </c>
      <c r="AB137">
        <f>-1.45+0.127</f>
        <v>-1.323</v>
      </c>
      <c r="AC137">
        <f t="shared" ref="AC137:AC138" si="34">SUM(AJ137:AL137)</f>
        <v>-0.77500000000000002</v>
      </c>
      <c r="AJ137">
        <f>-0.214+0.005</f>
        <v>-0.20899999999999999</v>
      </c>
      <c r="AK137">
        <f>-0.184+0.003</f>
        <v>-0.18099999999999999</v>
      </c>
      <c r="AL137">
        <f>-0.387+0.002</f>
        <v>-0.38500000000000001</v>
      </c>
    </row>
    <row r="138" spans="1:38" ht="17" x14ac:dyDescent="0.2">
      <c r="A138" s="48" t="s">
        <v>179</v>
      </c>
      <c r="B138" s="48"/>
      <c r="C138" s="48"/>
      <c r="X138">
        <v>-1.22</v>
      </c>
      <c r="Y138">
        <v>-1.61</v>
      </c>
      <c r="Z138">
        <v>-0.46100000000000002</v>
      </c>
      <c r="AA138">
        <v>-7.8</v>
      </c>
      <c r="AB138">
        <v>1.1499999999999999</v>
      </c>
      <c r="AC138">
        <f t="shared" si="34"/>
        <v>2.0840000000000001</v>
      </c>
      <c r="AJ138">
        <v>0.189</v>
      </c>
      <c r="AK138">
        <v>1.17</v>
      </c>
      <c r="AL138">
        <v>0.72499999999999998</v>
      </c>
    </row>
    <row r="139" spans="1:38" x14ac:dyDescent="0.2">
      <c r="A139" s="51" t="s">
        <v>148</v>
      </c>
      <c r="B139" s="51"/>
      <c r="C139" s="51"/>
    </row>
    <row r="140" spans="1:38" ht="17" x14ac:dyDescent="0.2">
      <c r="A140" s="48" t="s">
        <v>176</v>
      </c>
      <c r="B140" s="48"/>
      <c r="C140" s="48"/>
      <c r="X140">
        <v>9.26</v>
      </c>
      <c r="Y140">
        <v>9.11</v>
      </c>
      <c r="Z140">
        <v>10.99</v>
      </c>
      <c r="AA140">
        <v>13.19</v>
      </c>
      <c r="AB140">
        <v>17.23</v>
      </c>
      <c r="AC140">
        <v>18.260000000000002</v>
      </c>
    </row>
    <row r="141" spans="1:38" ht="17" x14ac:dyDescent="0.2">
      <c r="A141" s="48" t="s">
        <v>177</v>
      </c>
      <c r="B141" s="48"/>
      <c r="C141" s="48"/>
      <c r="X141">
        <f>8.76-X106</f>
        <v>3.0700000000000003</v>
      </c>
      <c r="Y141">
        <f>10.24-Y106-2.39</f>
        <v>1.2799999999999998</v>
      </c>
      <c r="Z141">
        <f>13.69-Z106-2.57</f>
        <v>1.3799999999999994</v>
      </c>
      <c r="AA141">
        <f>14.02-AA106-2.99</f>
        <v>1.9599999999999991</v>
      </c>
      <c r="AB141">
        <f>15.12-AB106-3.32</f>
        <v>3.2199999999999993</v>
      </c>
      <c r="AC141">
        <f>16.79-AC106-3.64</f>
        <v>3.4599999999999995</v>
      </c>
    </row>
    <row r="142" spans="1:38" s="1" customFormat="1" ht="17" x14ac:dyDescent="0.2">
      <c r="A142" s="58" t="s">
        <v>182</v>
      </c>
      <c r="B142" s="58"/>
      <c r="C142" s="58"/>
      <c r="X142" s="1">
        <f t="shared" ref="X142" si="35">SUM(X140:X141)</f>
        <v>12.33</v>
      </c>
      <c r="Y142" s="1">
        <f t="shared" ref="Y142" si="36">SUM(Y140:Y141)</f>
        <v>10.389999999999999</v>
      </c>
      <c r="Z142" s="1">
        <f t="shared" ref="Z142" si="37">SUM(Z140:Z141)</f>
        <v>12.37</v>
      </c>
      <c r="AA142" s="1">
        <f t="shared" ref="AA142" si="38">SUM(AA140:AA141)</f>
        <v>15.149999999999999</v>
      </c>
      <c r="AB142" s="1">
        <f t="shared" ref="AB142" si="39">SUM(AB140:AB141)</f>
        <v>20.45</v>
      </c>
      <c r="AC142" s="1">
        <f>SUM(AC140:AC141)</f>
        <v>21.720000000000002</v>
      </c>
    </row>
    <row r="143" spans="1:38" ht="17" x14ac:dyDescent="0.2">
      <c r="A143" s="48" t="s">
        <v>178</v>
      </c>
      <c r="B143" s="48"/>
      <c r="C143" s="48"/>
      <c r="X143">
        <v>1.05</v>
      </c>
      <c r="Y143">
        <v>0.99199999999999999</v>
      </c>
      <c r="Z143">
        <v>0.95399999999999996</v>
      </c>
      <c r="AA143">
        <v>0.97899999999999998</v>
      </c>
      <c r="AB143">
        <v>1.24</v>
      </c>
      <c r="AC143">
        <f>SUM(AJ143:AL143)</f>
        <v>0.74299999999999999</v>
      </c>
      <c r="AJ143">
        <v>0.36199999999999999</v>
      </c>
      <c r="AK143">
        <v>0.38100000000000001</v>
      </c>
    </row>
    <row r="144" spans="1:38" ht="17" x14ac:dyDescent="0.2">
      <c r="A144" s="48" t="s">
        <v>180</v>
      </c>
      <c r="B144" s="48"/>
      <c r="C144" s="48"/>
      <c r="X144">
        <f>-0.847</f>
        <v>-0.84699999999999998</v>
      </c>
      <c r="Y144">
        <v>-0.64900000000000002</v>
      </c>
      <c r="Z144">
        <v>-2.46</v>
      </c>
      <c r="AA144">
        <v>-2.8</v>
      </c>
      <c r="AB144">
        <v>-5.07</v>
      </c>
      <c r="AC144">
        <f t="shared" ref="AC144:AC145" si="40">SUM(AJ144:AL144)</f>
        <v>-2.31</v>
      </c>
      <c r="AJ144">
        <v>-1.25</v>
      </c>
      <c r="AK144">
        <v>-1.06</v>
      </c>
    </row>
    <row r="145" spans="1:38" ht="17" x14ac:dyDescent="0.2">
      <c r="A145" s="48" t="s">
        <v>179</v>
      </c>
      <c r="B145" s="48"/>
      <c r="C145" s="48"/>
      <c r="X145">
        <v>0.313</v>
      </c>
      <c r="Y145">
        <v>-0.42799999999999999</v>
      </c>
      <c r="Z145">
        <v>-0.16500000000000001</v>
      </c>
      <c r="AA145">
        <v>-0.81299999999999994</v>
      </c>
      <c r="AB145">
        <v>-1.1000000000000001</v>
      </c>
      <c r="AC145">
        <f t="shared" si="40"/>
        <v>4.0000000000000036E-3</v>
      </c>
      <c r="AJ145">
        <v>-0.30099999999999999</v>
      </c>
      <c r="AK145">
        <v>0.30499999999999999</v>
      </c>
    </row>
    <row r="146" spans="1:38" x14ac:dyDescent="0.2">
      <c r="A146" s="51" t="s">
        <v>149</v>
      </c>
      <c r="B146" s="51"/>
      <c r="C146" s="51"/>
    </row>
    <row r="147" spans="1:38" ht="17" x14ac:dyDescent="0.2">
      <c r="A147" s="48" t="s">
        <v>176</v>
      </c>
      <c r="B147" s="48"/>
      <c r="C147" s="48"/>
      <c r="X147">
        <v>16.75</v>
      </c>
      <c r="Y147">
        <v>15.52</v>
      </c>
      <c r="Z147">
        <v>15.64</v>
      </c>
      <c r="AA147">
        <v>16.3</v>
      </c>
      <c r="AB147">
        <v>16.489999999999998</v>
      </c>
      <c r="AC147">
        <v>16.32</v>
      </c>
    </row>
    <row r="148" spans="1:38" ht="17" x14ac:dyDescent="0.2">
      <c r="A148" s="48" t="s">
        <v>177</v>
      </c>
      <c r="B148" s="48"/>
      <c r="C148" s="48"/>
      <c r="X148">
        <f>3.27-X110-1.79</f>
        <v>0.42999999999999972</v>
      </c>
      <c r="Y148">
        <f>4.32-Y110-2.02</f>
        <v>2.0000000000000462E-2</v>
      </c>
      <c r="Z148">
        <f>5.23-Z110-2.45</f>
        <v>-4.9999999999999822E-2</v>
      </c>
      <c r="AA148">
        <f>6.94-AA110-3.27</f>
        <v>-0.1769999999999996</v>
      </c>
      <c r="AB148">
        <f>7.86-AB110-4.11</f>
        <v>-0.52400000000000002</v>
      </c>
      <c r="AC148">
        <f>6.88-AC110-3.11</f>
        <v>0.5089999999999999</v>
      </c>
    </row>
    <row r="149" spans="1:38" s="1" customFormat="1" ht="17" x14ac:dyDescent="0.2">
      <c r="A149" s="58" t="s">
        <v>182</v>
      </c>
      <c r="B149" s="58"/>
      <c r="C149" s="58"/>
      <c r="X149" s="1">
        <f t="shared" ref="X149" si="41">SUM(X147:X148)</f>
        <v>17.18</v>
      </c>
      <c r="Y149" s="1">
        <f t="shared" ref="Y149" si="42">SUM(Y147:Y148)</f>
        <v>15.54</v>
      </c>
      <c r="Z149" s="1">
        <f t="shared" ref="Z149" si="43">SUM(Z147:Z148)</f>
        <v>15.59</v>
      </c>
      <c r="AA149" s="1">
        <f t="shared" ref="AA149" si="44">SUM(AA147:AA148)</f>
        <v>16.123000000000001</v>
      </c>
      <c r="AB149" s="1">
        <f t="shared" ref="AB149" si="45">SUM(AB147:AB148)</f>
        <v>15.965999999999998</v>
      </c>
      <c r="AC149" s="1">
        <f>SUM(AC147:AC148)</f>
        <v>16.829000000000001</v>
      </c>
    </row>
    <row r="150" spans="1:38" ht="17" x14ac:dyDescent="0.2">
      <c r="A150" s="48" t="s">
        <v>178</v>
      </c>
      <c r="B150" s="48"/>
      <c r="C150" s="48"/>
      <c r="X150">
        <v>2.0499999999999998</v>
      </c>
      <c r="Y150">
        <v>1.99</v>
      </c>
      <c r="Z150">
        <v>1.26</v>
      </c>
      <c r="AA150">
        <v>1.25</v>
      </c>
      <c r="AB150">
        <v>1.1100000000000001</v>
      </c>
      <c r="AC150">
        <f>SUM(AJ150:AL150)</f>
        <v>0.44799999999999995</v>
      </c>
      <c r="AJ150">
        <v>0.23499999999999999</v>
      </c>
      <c r="AK150">
        <v>0.21299999999999999</v>
      </c>
    </row>
    <row r="151" spans="1:38" ht="17" x14ac:dyDescent="0.2">
      <c r="A151" s="48" t="s">
        <v>180</v>
      </c>
      <c r="B151" s="48"/>
      <c r="C151" s="48"/>
      <c r="X151">
        <v>-0.52600000000000002</v>
      </c>
      <c r="Y151">
        <f>-0.392+0.004-0.13</f>
        <v>-0.51800000000000002</v>
      </c>
      <c r="Z151">
        <f>-0.767-0.032-0.132</f>
        <v>-0.93100000000000005</v>
      </c>
      <c r="AA151">
        <f>-1.06-0.003-0.159</f>
        <v>-1.222</v>
      </c>
      <c r="AB151">
        <f>-0.827+0.001-0.179</f>
        <v>-1.0049999999999999</v>
      </c>
      <c r="AC151">
        <f t="shared" ref="AC151:AC152" si="46">SUM(AJ151:AL151)</f>
        <v>-0.495</v>
      </c>
      <c r="AJ151">
        <f>-0.226+0.002-0.032</f>
        <v>-0.25600000000000001</v>
      </c>
      <c r="AK151">
        <f>-0.185+0.001-0.055</f>
        <v>-0.23899999999999999</v>
      </c>
    </row>
    <row r="152" spans="1:38" ht="17" x14ac:dyDescent="0.2">
      <c r="A152" s="48" t="s">
        <v>179</v>
      </c>
      <c r="B152" s="48"/>
      <c r="C152" s="48"/>
      <c r="X152">
        <v>-0.16</v>
      </c>
      <c r="Y152">
        <v>0.443</v>
      </c>
      <c r="Z152">
        <v>-0.45700000000000002</v>
      </c>
      <c r="AA152">
        <v>-0.34799999999999998</v>
      </c>
      <c r="AB152">
        <v>-0.57399999999999995</v>
      </c>
      <c r="AC152">
        <f t="shared" si="46"/>
        <v>-0.29799999999999999</v>
      </c>
      <c r="AJ152">
        <v>-8.3000000000000004E-2</v>
      </c>
      <c r="AK152">
        <v>-0.215</v>
      </c>
    </row>
    <row r="153" spans="1:38" x14ac:dyDescent="0.2">
      <c r="A153" s="51" t="s">
        <v>150</v>
      </c>
      <c r="B153" s="51"/>
      <c r="C153" s="51"/>
    </row>
    <row r="154" spans="1:38" ht="17" x14ac:dyDescent="0.2">
      <c r="A154" s="48" t="s">
        <v>176</v>
      </c>
      <c r="B154" s="48"/>
      <c r="C154" s="48"/>
      <c r="X154">
        <v>6.09</v>
      </c>
      <c r="Y154">
        <v>14.82</v>
      </c>
      <c r="Z154">
        <v>15.08</v>
      </c>
      <c r="AA154">
        <v>17.46</v>
      </c>
      <c r="AB154">
        <v>17.75</v>
      </c>
      <c r="AC154">
        <f>19.07</f>
        <v>19.07</v>
      </c>
    </row>
    <row r="155" spans="1:38" ht="17" x14ac:dyDescent="0.2">
      <c r="A155" s="48" t="s">
        <v>177</v>
      </c>
      <c r="B155" s="48"/>
      <c r="C155" s="48"/>
      <c r="X155">
        <f>0.022+1.53</f>
        <v>1.552</v>
      </c>
      <c r="Y155">
        <f>7.18-Y114-3.45</f>
        <v>0.49999999999999956</v>
      </c>
      <c r="Z155">
        <f>8.25-Z114-4.44</f>
        <v>-0.11000000000000032</v>
      </c>
      <c r="AA155">
        <f>9.45-AA114-5.59</f>
        <v>0.13999999999999968</v>
      </c>
      <c r="AB155">
        <f>10.69-AB114-5.67</f>
        <v>1.4299999999999997</v>
      </c>
      <c r="AC155">
        <f>10.3-AC114-5.44</f>
        <v>2.5190000000000001</v>
      </c>
    </row>
    <row r="156" spans="1:38" s="1" customFormat="1" ht="17" x14ac:dyDescent="0.2">
      <c r="A156" s="58" t="s">
        <v>182</v>
      </c>
      <c r="B156" s="58"/>
      <c r="C156" s="58"/>
      <c r="X156" s="1">
        <f t="shared" ref="X156" si="47">SUM(X154:X155)</f>
        <v>7.6419999999999995</v>
      </c>
      <c r="Y156" s="1">
        <f t="shared" ref="Y156:AB156" si="48">SUM(Y154:Y155)</f>
        <v>15.32</v>
      </c>
      <c r="Z156" s="1">
        <f t="shared" si="48"/>
        <v>14.969999999999999</v>
      </c>
      <c r="AA156" s="1">
        <f t="shared" si="48"/>
        <v>17.600000000000001</v>
      </c>
      <c r="AB156" s="1">
        <f t="shared" si="48"/>
        <v>19.18</v>
      </c>
      <c r="AC156" s="1">
        <f>SUM(AC154:AC155)</f>
        <v>21.588999999999999</v>
      </c>
    </row>
    <row r="157" spans="1:38" ht="17" x14ac:dyDescent="0.2">
      <c r="A157" s="48" t="s">
        <v>178</v>
      </c>
      <c r="B157" s="48"/>
      <c r="C157" s="48"/>
      <c r="X157">
        <v>0.94499999999999995</v>
      </c>
      <c r="Y157">
        <v>1.26</v>
      </c>
      <c r="Z157">
        <v>1.5129999999999999</v>
      </c>
      <c r="AA157">
        <v>1.6639999999999999</v>
      </c>
      <c r="AB157">
        <v>1.754</v>
      </c>
      <c r="AC157">
        <f>SUM(AJ157:AL157)</f>
        <v>1.393</v>
      </c>
      <c r="AJ157">
        <v>0.45600000000000002</v>
      </c>
      <c r="AK157">
        <v>0.46700000000000003</v>
      </c>
      <c r="AL157">
        <v>0.47</v>
      </c>
    </row>
    <row r="158" spans="1:38" ht="17" x14ac:dyDescent="0.2">
      <c r="A158" s="48" t="s">
        <v>180</v>
      </c>
      <c r="B158" s="48"/>
      <c r="C158" s="48"/>
      <c r="X158">
        <f>-1.28-1.56</f>
        <v>-2.84</v>
      </c>
      <c r="Y158">
        <f>-0.882-0.184</f>
        <v>-1.0660000000000001</v>
      </c>
      <c r="Z158">
        <f>-1.25-0.229</f>
        <v>-1.4790000000000001</v>
      </c>
      <c r="AA158">
        <f>-2.04-0.257</f>
        <v>-2.2970000000000002</v>
      </c>
      <c r="AB158">
        <f>-2.62-0.255</f>
        <v>-2.875</v>
      </c>
      <c r="AC158">
        <f t="shared" ref="AC158:AC159" si="49">SUM(AJ158:AL158)</f>
        <v>-1.9919999999999998</v>
      </c>
      <c r="AJ158">
        <f>-0.584-0.069</f>
        <v>-0.65300000000000002</v>
      </c>
      <c r="AK158">
        <f>-0.567-0.072</f>
        <v>-0.6389999999999999</v>
      </c>
      <c r="AL158">
        <f>-0.636-0.064</f>
        <v>-0.7</v>
      </c>
    </row>
    <row r="159" spans="1:38" ht="17" x14ac:dyDescent="0.2">
      <c r="A159" s="48" t="s">
        <v>179</v>
      </c>
      <c r="B159" s="48"/>
      <c r="C159" s="48"/>
      <c r="X159">
        <v>-0.30599999999999999</v>
      </c>
      <c r="Y159">
        <v>0.16400000000000001</v>
      </c>
      <c r="Z159">
        <v>0.39</v>
      </c>
      <c r="AA159">
        <v>-7.8E-2</v>
      </c>
      <c r="AB159">
        <v>-1.1499999999999999</v>
      </c>
      <c r="AC159">
        <f t="shared" si="49"/>
        <v>-1.139</v>
      </c>
      <c r="AJ159">
        <v>-1.1299999999999999</v>
      </c>
      <c r="AK159">
        <v>-0.193</v>
      </c>
      <c r="AL159">
        <v>0.184</v>
      </c>
    </row>
    <row r="160" spans="1:38" ht="17" x14ac:dyDescent="0.2">
      <c r="A160" s="54" t="s">
        <v>162</v>
      </c>
      <c r="B160" s="54"/>
      <c r="C160" s="54"/>
    </row>
    <row r="161" spans="1:37" ht="17" x14ac:dyDescent="0.2">
      <c r="A161" s="48" t="s">
        <v>176</v>
      </c>
      <c r="B161" s="48"/>
      <c r="C161" s="48"/>
      <c r="X161">
        <v>5.41</v>
      </c>
      <c r="Y161">
        <v>5.48</v>
      </c>
      <c r="Z161">
        <v>5.83</v>
      </c>
      <c r="AA161">
        <v>6.25</v>
      </c>
      <c r="AB161">
        <v>7.3</v>
      </c>
      <c r="AC161">
        <v>2.68</v>
      </c>
    </row>
    <row r="162" spans="1:37" ht="17" x14ac:dyDescent="0.2">
      <c r="A162" s="48" t="s">
        <v>177</v>
      </c>
      <c r="B162" s="48"/>
      <c r="C162" s="48"/>
      <c r="X162">
        <f>3.02-1.82-X118</f>
        <v>0.30579999999999996</v>
      </c>
      <c r="Y162">
        <v>1</v>
      </c>
      <c r="Z162">
        <f>9.63-Z118-1.54</f>
        <v>6.7400000000000011</v>
      </c>
      <c r="AA162">
        <f>5.73-AA118-2.06</f>
        <v>0.75000000000000044</v>
      </c>
      <c r="AB162">
        <f>5.91-AB118-2.18</f>
        <v>1.25</v>
      </c>
      <c r="AC162">
        <f>6.33-AC118-2.1</f>
        <v>1.5499999999999998</v>
      </c>
    </row>
    <row r="163" spans="1:37" s="1" customFormat="1" ht="17" x14ac:dyDescent="0.2">
      <c r="A163" s="58" t="s">
        <v>182</v>
      </c>
      <c r="B163" s="58"/>
      <c r="C163" s="58"/>
      <c r="X163" s="1">
        <f t="shared" ref="X163" si="50">SUM(X161:X162)</f>
        <v>5.7157999999999998</v>
      </c>
      <c r="Y163" s="1">
        <f t="shared" ref="Y163:AB163" si="51">SUM(Y161:Y162)</f>
        <v>6.48</v>
      </c>
      <c r="Z163" s="1">
        <f>SUM(Z161:Z162)</f>
        <v>12.57</v>
      </c>
      <c r="AA163" s="1">
        <f t="shared" si="51"/>
        <v>7</v>
      </c>
      <c r="AB163" s="1">
        <f t="shared" si="51"/>
        <v>8.5500000000000007</v>
      </c>
      <c r="AC163" s="1">
        <f>SUM(AC161:AC162)</f>
        <v>4.2300000000000004</v>
      </c>
    </row>
    <row r="164" spans="1:37" ht="17" x14ac:dyDescent="0.2">
      <c r="A164" s="48" t="s">
        <v>178</v>
      </c>
      <c r="B164" s="48"/>
      <c r="C164" s="48"/>
      <c r="X164">
        <v>0.59309999999999996</v>
      </c>
      <c r="Y164">
        <v>0.62509999999999999</v>
      </c>
      <c r="Z164">
        <v>0.59670000000000001</v>
      </c>
      <c r="AA164">
        <v>0.55179999999999996</v>
      </c>
      <c r="AB164">
        <v>0.60950000000000004</v>
      </c>
      <c r="AC164">
        <f>SUM(AJ164:AK164)</f>
        <v>0.3145</v>
      </c>
      <c r="AJ164">
        <v>0.15490000000000001</v>
      </c>
      <c r="AK164">
        <v>0.15959999999999999</v>
      </c>
    </row>
    <row r="165" spans="1:37" ht="17" x14ac:dyDescent="0.2">
      <c r="A165" s="48" t="s">
        <v>180</v>
      </c>
      <c r="B165" s="48"/>
      <c r="C165" s="48"/>
      <c r="X165">
        <f>-0.5281-0.1</f>
        <v>-0.62809999999999999</v>
      </c>
      <c r="Y165">
        <v>1.2999999999999999E-3</v>
      </c>
      <c r="Z165">
        <v>-5.8900000000000001E-2</v>
      </c>
      <c r="AA165">
        <v>-0.25040000000000001</v>
      </c>
      <c r="AB165">
        <v>-0.86270000000000002</v>
      </c>
      <c r="AC165">
        <f t="shared" ref="AC165:AC166" si="52">SUM(AJ165:AK165)</f>
        <v>-0.37470000000000003</v>
      </c>
      <c r="AJ165">
        <v>-0.1409</v>
      </c>
      <c r="AK165">
        <v>-0.23380000000000001</v>
      </c>
    </row>
    <row r="166" spans="1:37" ht="17" x14ac:dyDescent="0.2">
      <c r="A166" s="48" t="s">
        <v>179</v>
      </c>
      <c r="B166" s="48"/>
      <c r="C166" s="48"/>
      <c r="X166">
        <v>-0.26669999999999999</v>
      </c>
      <c r="Y166">
        <v>-0.37509999999999999</v>
      </c>
      <c r="Z166">
        <v>-0.47799999999999998</v>
      </c>
      <c r="AA166">
        <v>-0.97689999999999999</v>
      </c>
      <c r="AB166">
        <v>-1.54</v>
      </c>
      <c r="AC166">
        <f t="shared" si="52"/>
        <v>-0.2621</v>
      </c>
      <c r="AJ166">
        <v>-9.8900000000000002E-2</v>
      </c>
      <c r="AK166">
        <v>-0.16320000000000001</v>
      </c>
    </row>
    <row r="167" spans="1:37" x14ac:dyDescent="0.2">
      <c r="A167" s="51" t="s">
        <v>151</v>
      </c>
      <c r="B167" s="51"/>
      <c r="C167" s="51"/>
    </row>
    <row r="168" spans="1:37" ht="17" x14ac:dyDescent="0.2">
      <c r="A168" s="48" t="s">
        <v>176</v>
      </c>
      <c r="B168" s="48"/>
      <c r="C168" s="48"/>
      <c r="X168">
        <v>1330</v>
      </c>
      <c r="Y168">
        <v>1210</v>
      </c>
      <c r="Z168">
        <v>1910</v>
      </c>
      <c r="AA168">
        <v>2100</v>
      </c>
      <c r="AB168">
        <v>2370</v>
      </c>
      <c r="AC168">
        <v>2920</v>
      </c>
    </row>
    <row r="169" spans="1:37" ht="17" x14ac:dyDescent="0.2">
      <c r="A169" s="48" t="s">
        <v>177</v>
      </c>
      <c r="B169" s="48"/>
      <c r="C169" s="48"/>
      <c r="X169">
        <f>333.96-X122-268.64</f>
        <v>-81.62</v>
      </c>
      <c r="Y169">
        <f>402.82-Y122-586.56</f>
        <v>-404.12999999999994</v>
      </c>
      <c r="Z169">
        <f>517.65-Z122-445.89</f>
        <v>-150.89999999999998</v>
      </c>
      <c r="AA169">
        <f>715.12-AA122-525.47</f>
        <v>-153.11000000000001</v>
      </c>
      <c r="AB169">
        <f>800.67-AB122-828.73</f>
        <v>-467.40000000000003</v>
      </c>
      <c r="AC169">
        <f>742.4-AC122-586.95</f>
        <v>-166.68000000000006</v>
      </c>
    </row>
    <row r="170" spans="1:37" s="1" customFormat="1" ht="17" x14ac:dyDescent="0.2">
      <c r="A170" s="58" t="s">
        <v>182</v>
      </c>
      <c r="B170" s="58"/>
      <c r="C170" s="58"/>
      <c r="X170" s="1">
        <f t="shared" ref="X170" si="53">SUM(X168:X169)</f>
        <v>1248.3800000000001</v>
      </c>
      <c r="Y170" s="1">
        <f t="shared" ref="Y170:AB170" si="54">SUM(Y168:Y169)</f>
        <v>805.87000000000012</v>
      </c>
      <c r="Z170" s="1">
        <f t="shared" si="54"/>
        <v>1759.1</v>
      </c>
      <c r="AA170" s="1">
        <f t="shared" si="54"/>
        <v>1946.8899999999999</v>
      </c>
      <c r="AB170" s="1">
        <f t="shared" si="54"/>
        <v>1902.6</v>
      </c>
      <c r="AC170" s="1">
        <f>SUM(AC168:AC169)</f>
        <v>2753.3199999999997</v>
      </c>
    </row>
    <row r="171" spans="1:37" ht="17" x14ac:dyDescent="0.2">
      <c r="A171" s="48" t="s">
        <v>178</v>
      </c>
      <c r="B171" s="48"/>
      <c r="C171" s="48"/>
      <c r="X171">
        <v>148.02600000000001</v>
      </c>
      <c r="Y171">
        <v>141.52699999999999</v>
      </c>
      <c r="Z171">
        <v>136.49600000000001</v>
      </c>
      <c r="AA171">
        <v>186.04900000000001</v>
      </c>
      <c r="AB171">
        <v>186.00899999999999</v>
      </c>
      <c r="AC171">
        <f>SUM(AJ171:AK171)</f>
        <v>0</v>
      </c>
    </row>
    <row r="172" spans="1:37" ht="17" x14ac:dyDescent="0.2">
      <c r="A172" s="48" t="s">
        <v>180</v>
      </c>
      <c r="B172" s="48"/>
      <c r="C172" s="48"/>
      <c r="X172">
        <f>-37.53-18.08</f>
        <v>-55.61</v>
      </c>
      <c r="Y172">
        <f>-21.3-15.93</f>
        <v>-37.230000000000004</v>
      </c>
      <c r="Z172">
        <f>28.53-15.41</f>
        <v>13.120000000000001</v>
      </c>
      <c r="AA172">
        <f>-55.51-22.06</f>
        <v>-77.569999999999993</v>
      </c>
      <c r="AB172">
        <f>-86.44-40.9</f>
        <v>-127.34</v>
      </c>
      <c r="AC172">
        <f t="shared" ref="AC172:AC173" si="55">SUM(AJ172:AK172)</f>
        <v>0</v>
      </c>
    </row>
    <row r="173" spans="1:37" ht="17" x14ac:dyDescent="0.2">
      <c r="A173" s="48" t="s">
        <v>179</v>
      </c>
      <c r="B173" s="48"/>
      <c r="C173" s="48"/>
      <c r="X173">
        <v>40.15</v>
      </c>
      <c r="Y173">
        <v>6.24</v>
      </c>
      <c r="Z173">
        <v>10.69</v>
      </c>
      <c r="AA173">
        <v>-75.61</v>
      </c>
      <c r="AB173">
        <v>21.7</v>
      </c>
      <c r="AC173">
        <f t="shared" si="55"/>
        <v>0</v>
      </c>
    </row>
    <row r="174" spans="1:37" x14ac:dyDescent="0.2">
      <c r="A174" s="51" t="s">
        <v>152</v>
      </c>
      <c r="B174" s="51"/>
      <c r="C174" s="51"/>
    </row>
    <row r="175" spans="1:37" ht="17" x14ac:dyDescent="0.2">
      <c r="A175" s="48" t="s">
        <v>176</v>
      </c>
      <c r="B175" s="48"/>
      <c r="C175" s="48"/>
      <c r="X175">
        <v>5.01</v>
      </c>
      <c r="Y175">
        <v>5.61</v>
      </c>
      <c r="Z175">
        <v>6.84</v>
      </c>
      <c r="AA175">
        <v>7.71</v>
      </c>
      <c r="AB175">
        <v>10.18</v>
      </c>
      <c r="AC175">
        <v>12.65</v>
      </c>
    </row>
    <row r="176" spans="1:37" ht="17" x14ac:dyDescent="0.2">
      <c r="A176" s="48" t="s">
        <v>177</v>
      </c>
      <c r="B176" s="48"/>
      <c r="C176" s="48"/>
      <c r="X176">
        <f>5.85-X126-2.06</f>
        <v>1.016</v>
      </c>
      <c r="Y176">
        <f>7.61-Y126-3.05</f>
        <v>0.80500000000000016</v>
      </c>
      <c r="Z176">
        <f>7.83-Z126-2.95</f>
        <v>1.3209999999999997</v>
      </c>
      <c r="AA176">
        <f>9.81-AA126-3.84</f>
        <v>1.4370000000000012</v>
      </c>
      <c r="AB176">
        <f>11.81-AB126-3.73</f>
        <v>1.9980000000000007</v>
      </c>
      <c r="AC176">
        <f>11.87-AC126-3.55</f>
        <v>1.9759999999999991</v>
      </c>
    </row>
    <row r="177" spans="1:29" s="1" customFormat="1" ht="17" x14ac:dyDescent="0.2">
      <c r="A177" s="58" t="s">
        <v>182</v>
      </c>
      <c r="B177" s="58"/>
      <c r="C177" s="58"/>
      <c r="X177" s="1">
        <f t="shared" ref="X177" si="56">SUM(X175:X176)</f>
        <v>6.0259999999999998</v>
      </c>
      <c r="Y177" s="1">
        <f t="shared" ref="Y177:AB177" si="57">SUM(Y175:Y176)</f>
        <v>6.4150000000000009</v>
      </c>
      <c r="Z177" s="1">
        <f t="shared" si="57"/>
        <v>8.1609999999999996</v>
      </c>
      <c r="AA177" s="1">
        <f t="shared" si="57"/>
        <v>9.147000000000002</v>
      </c>
      <c r="AB177" s="1">
        <f t="shared" si="57"/>
        <v>12.178000000000001</v>
      </c>
      <c r="AC177" s="1">
        <f>SUM(AC175:AC176)</f>
        <v>14.625999999999999</v>
      </c>
    </row>
    <row r="178" spans="1:29" ht="17" x14ac:dyDescent="0.2">
      <c r="A178" s="48" t="s">
        <v>178</v>
      </c>
      <c r="B178" s="48"/>
      <c r="C178" s="48"/>
      <c r="X178">
        <v>0.85399999999999998</v>
      </c>
      <c r="Y178">
        <v>0.92300000000000004</v>
      </c>
      <c r="Z178">
        <v>1.05</v>
      </c>
      <c r="AA178">
        <v>1.22</v>
      </c>
      <c r="AB178">
        <v>1.56</v>
      </c>
      <c r="AC178">
        <f>SUM(AJ178:AK178)</f>
        <v>0</v>
      </c>
    </row>
    <row r="179" spans="1:29" ht="17" x14ac:dyDescent="0.2">
      <c r="A179" s="48" t="s">
        <v>180</v>
      </c>
      <c r="B179" s="48"/>
      <c r="C179" s="48"/>
      <c r="X179">
        <f>-1.17-0.069</f>
        <v>-1.2389999999999999</v>
      </c>
      <c r="Y179">
        <f>-1.28-0.075</f>
        <v>-1.355</v>
      </c>
      <c r="Z179">
        <f>-1.84-0.097</f>
        <v>-1.9370000000000001</v>
      </c>
      <c r="AA179">
        <f>-3.55-0.087</f>
        <v>-3.637</v>
      </c>
      <c r="AB179">
        <f>-4.43-0.097</f>
        <v>-4.5270000000000001</v>
      </c>
      <c r="AC179">
        <f t="shared" ref="AC179:AC180" si="58">SUM(AJ179:AK179)</f>
        <v>0</v>
      </c>
    </row>
    <row r="180" spans="1:29" ht="17" x14ac:dyDescent="0.2">
      <c r="A180" s="48" t="s">
        <v>179</v>
      </c>
      <c r="B180" s="48"/>
      <c r="C180" s="48"/>
      <c r="X180">
        <v>-9.9000000000000005E-2</v>
      </c>
      <c r="Y180">
        <v>2.1000000000000001E-2</v>
      </c>
      <c r="Z180">
        <v>-0.14499999999999999</v>
      </c>
      <c r="AA180">
        <v>-0.13</v>
      </c>
      <c r="AB180">
        <v>7.8E-2</v>
      </c>
      <c r="AC180">
        <f t="shared" si="58"/>
        <v>0</v>
      </c>
    </row>
  </sheetData>
  <mergeCells count="2">
    <mergeCell ref="AJ1:AM1"/>
    <mergeCell ref="AE1:AH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708D-5B9A-7842-8018-02D3E1FECA45}">
  <dimension ref="A1:AW35"/>
  <sheetViews>
    <sheetView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U17" sqref="U17"/>
    </sheetView>
  </sheetViews>
  <sheetFormatPr baseColWidth="10" defaultRowHeight="16" x14ac:dyDescent="0.2"/>
  <cols>
    <col min="1" max="1" width="17.33203125" bestFit="1" customWidth="1"/>
    <col min="2" max="2" width="6.6640625" bestFit="1" customWidth="1"/>
    <col min="3" max="3" width="10.6640625" bestFit="1" customWidth="1"/>
    <col min="4" max="4" width="8.83203125" bestFit="1" customWidth="1"/>
    <col min="5" max="5" width="10.5" bestFit="1" customWidth="1"/>
    <col min="6" max="6" width="11" customWidth="1"/>
    <col min="7" max="8" width="8" bestFit="1" customWidth="1"/>
    <col min="9" max="9" width="10.1640625" bestFit="1" customWidth="1"/>
    <col min="10" max="10" width="8.6640625" bestFit="1" customWidth="1"/>
    <col min="11" max="11" width="9.6640625" bestFit="1" customWidth="1"/>
    <col min="12" max="12" width="6.1640625" bestFit="1" customWidth="1"/>
    <col min="13" max="13" width="8.33203125" customWidth="1"/>
    <col min="14" max="14" width="8.1640625" bestFit="1" customWidth="1"/>
    <col min="15" max="15" width="9.83203125" bestFit="1" customWidth="1"/>
    <col min="16" max="16" width="9.83203125" customWidth="1"/>
    <col min="17" max="17" width="9.33203125" bestFit="1" customWidth="1"/>
    <col min="18" max="19" width="8" bestFit="1" customWidth="1"/>
    <col min="20" max="20" width="8.83203125" bestFit="1" customWidth="1"/>
    <col min="21" max="21" width="11.33203125" customWidth="1"/>
    <col min="22" max="22" width="7.6640625" bestFit="1" customWidth="1"/>
    <col min="23" max="23" width="9.5" bestFit="1" customWidth="1"/>
    <col min="24" max="24" width="6.6640625" customWidth="1"/>
    <col min="25" max="25" width="9.33203125" bestFit="1" customWidth="1"/>
    <col min="26" max="26" width="13.1640625" customWidth="1"/>
    <col min="27" max="27" width="9" bestFit="1" customWidth="1"/>
    <col min="29" max="29" width="8.6640625" customWidth="1"/>
    <col min="30" max="30" width="8.1640625" bestFit="1" customWidth="1"/>
    <col min="31" max="31" width="5.83203125" bestFit="1" customWidth="1"/>
    <col min="32" max="32" width="8" bestFit="1" customWidth="1"/>
    <col min="33" max="33" width="8.33203125" bestFit="1" customWidth="1"/>
    <col min="34" max="34" width="9.33203125" bestFit="1" customWidth="1"/>
    <col min="35" max="35" width="8.1640625" bestFit="1" customWidth="1"/>
    <col min="36" max="36" width="8.1640625" customWidth="1"/>
    <col min="37" max="38" width="9.33203125" bestFit="1" customWidth="1"/>
    <col min="39" max="39" width="10" bestFit="1" customWidth="1"/>
    <col min="40" max="40" width="9.33203125" bestFit="1" customWidth="1"/>
    <col min="41" max="41" width="7.83203125" bestFit="1" customWidth="1"/>
    <col min="42" max="42" width="7.1640625" bestFit="1" customWidth="1"/>
    <col min="43" max="43" width="10.5" bestFit="1" customWidth="1"/>
    <col min="44" max="44" width="9.33203125" bestFit="1" customWidth="1"/>
    <col min="45" max="45" width="8.6640625" bestFit="1" customWidth="1"/>
  </cols>
  <sheetData>
    <row r="1" spans="1:49" s="2" customFormat="1" ht="64" customHeight="1" x14ac:dyDescent="0.2">
      <c r="A1" s="3" t="s">
        <v>27</v>
      </c>
      <c r="B1" s="3" t="s">
        <v>28</v>
      </c>
      <c r="C1" s="3" t="s">
        <v>31</v>
      </c>
      <c r="D1" s="3" t="s">
        <v>113</v>
      </c>
      <c r="E1" s="3" t="s">
        <v>29</v>
      </c>
      <c r="F1" s="3" t="s">
        <v>30</v>
      </c>
      <c r="G1" s="3" t="s">
        <v>32</v>
      </c>
      <c r="H1" s="3" t="s">
        <v>33</v>
      </c>
      <c r="I1" s="3" t="s">
        <v>34</v>
      </c>
      <c r="J1" s="3" t="s">
        <v>96</v>
      </c>
      <c r="K1" s="3" t="s">
        <v>101</v>
      </c>
      <c r="L1" s="3" t="s">
        <v>100</v>
      </c>
      <c r="M1" s="3" t="s">
        <v>35</v>
      </c>
      <c r="N1" s="3" t="s">
        <v>105</v>
      </c>
      <c r="O1" s="3" t="s">
        <v>141</v>
      </c>
      <c r="P1" s="3" t="s">
        <v>142</v>
      </c>
      <c r="Q1" s="3" t="s">
        <v>120</v>
      </c>
      <c r="R1" s="3" t="s">
        <v>128</v>
      </c>
      <c r="S1" s="3" t="s">
        <v>36</v>
      </c>
      <c r="T1" s="3" t="s">
        <v>37</v>
      </c>
      <c r="U1" s="3" t="s">
        <v>38</v>
      </c>
      <c r="V1" s="3" t="s">
        <v>122</v>
      </c>
      <c r="W1" s="3" t="s">
        <v>130</v>
      </c>
      <c r="X1" s="3" t="s">
        <v>143</v>
      </c>
      <c r="Y1" s="3" t="s">
        <v>121</v>
      </c>
      <c r="Z1" s="3" t="s">
        <v>39</v>
      </c>
      <c r="AA1" s="3" t="s">
        <v>135</v>
      </c>
      <c r="AB1" s="3" t="s">
        <v>124</v>
      </c>
      <c r="AC1" s="3" t="s">
        <v>118</v>
      </c>
      <c r="AD1" s="3" t="s">
        <v>125</v>
      </c>
      <c r="AE1" s="3" t="s">
        <v>140</v>
      </c>
      <c r="AF1" s="3" t="s">
        <v>123</v>
      </c>
      <c r="AG1" s="3" t="s">
        <v>126</v>
      </c>
      <c r="AH1" s="3" t="s">
        <v>119</v>
      </c>
      <c r="AI1" s="3" t="s">
        <v>116</v>
      </c>
      <c r="AJ1" s="3" t="s">
        <v>145</v>
      </c>
      <c r="AK1" s="3" t="s">
        <v>138</v>
      </c>
      <c r="AL1" s="3" t="s">
        <v>139</v>
      </c>
      <c r="AM1" s="3" t="s">
        <v>131</v>
      </c>
      <c r="AN1" s="3" t="s">
        <v>112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/>
      <c r="AV1" s="3"/>
      <c r="AW1" s="3"/>
    </row>
    <row r="2" spans="1:49" ht="17" x14ac:dyDescent="0.2">
      <c r="A2" s="25" t="s">
        <v>65</v>
      </c>
      <c r="B2" t="s">
        <v>66</v>
      </c>
      <c r="C2" s="24">
        <f>Overview!C15</f>
        <v>210.91</v>
      </c>
      <c r="D2" t="e">
        <f>Overview!D15</f>
        <v>#DIV/0!</v>
      </c>
      <c r="E2" s="24">
        <f t="shared" ref="E2:E13" si="0">C2/F2</f>
        <v>52.334987593052105</v>
      </c>
      <c r="F2" s="17">
        <v>4.03</v>
      </c>
      <c r="G2" s="24">
        <f>11.89+20.1</f>
        <v>31.990000000000002</v>
      </c>
      <c r="H2" s="24">
        <f>18.77</f>
        <v>18.77</v>
      </c>
      <c r="I2" s="17">
        <f t="shared" ref="I2:I13" si="1">H2/G2</f>
        <v>0.58674585808065016</v>
      </c>
      <c r="J2" s="17" t="s">
        <v>97</v>
      </c>
      <c r="K2" s="24">
        <f t="shared" ref="K2:K13" si="2">G2-H2+C2</f>
        <v>224.13</v>
      </c>
      <c r="L2" s="33" t="e">
        <f t="shared" ref="L2:L13" si="3">C2/B$17</f>
        <v>#REF!</v>
      </c>
      <c r="M2" s="39">
        <v>57</v>
      </c>
      <c r="N2" s="33">
        <f t="shared" ref="N2:N13" si="4">M2/B$19</f>
        <v>0.64368202379048756</v>
      </c>
      <c r="O2" s="36" t="e">
        <f t="shared" ref="O2:O13" si="5">N2/L2</f>
        <v>#REF!</v>
      </c>
      <c r="P2" s="36">
        <v>35.75</v>
      </c>
      <c r="Q2" s="35">
        <v>15.56</v>
      </c>
      <c r="R2" s="35">
        <f t="shared" ref="R2:R13" si="6">Q2+AF2+AG2+AH2</f>
        <v>21.483999999999998</v>
      </c>
      <c r="S2" s="38">
        <v>19.885999999999999</v>
      </c>
      <c r="T2" s="76">
        <f t="shared" ref="T2:T13" si="7">K2/S2</f>
        <v>11.270743236447752</v>
      </c>
      <c r="U2" s="76">
        <f t="shared" ref="U2:U13" si="8">K2/M2</f>
        <v>3.9321052631578945</v>
      </c>
      <c r="V2" s="76">
        <f>K2/Q2</f>
        <v>14.404241645244214</v>
      </c>
      <c r="W2" s="76">
        <f>K2/R2</f>
        <v>10.43241482033141</v>
      </c>
      <c r="X2" s="28">
        <f>P2/M2</f>
        <v>0.6271929824561403</v>
      </c>
      <c r="Y2" s="28">
        <f t="shared" ref="Y2:Y13" si="9">Q2/M2</f>
        <v>0.27298245614035088</v>
      </c>
      <c r="Z2" s="19">
        <f t="shared" ref="Z2:Z13" si="10">S2/M2</f>
        <v>0.34887719298245612</v>
      </c>
      <c r="AA2" s="28">
        <f t="shared" ref="AA2:AA13" si="11">R2/AD2</f>
        <v>0.3350592638802245</v>
      </c>
      <c r="AB2" s="29">
        <v>87.11</v>
      </c>
      <c r="AC2" s="27">
        <f>35.89-18.77-40.11</f>
        <v>-22.99</v>
      </c>
      <c r="AD2" s="27">
        <f t="shared" ref="AD2:AD13" si="12">SUM(AB2:AC2)</f>
        <v>64.12</v>
      </c>
      <c r="AE2" s="19">
        <f t="shared" ref="AE2:AE13" si="13">AD2/K2</f>
        <v>0.2860839691250614</v>
      </c>
      <c r="AF2" s="27">
        <v>1.73</v>
      </c>
      <c r="AG2" s="27">
        <v>-0.84599999999999997</v>
      </c>
      <c r="AH2" s="27">
        <v>5.04</v>
      </c>
      <c r="AI2" s="26" t="e">
        <f t="shared" ref="AI2:AI13" si="14">D2*L2</f>
        <v>#DIV/0!</v>
      </c>
      <c r="AJ2" s="19" t="e">
        <f>X2*L2</f>
        <v>#REF!</v>
      </c>
      <c r="AK2" s="26" t="e">
        <f t="shared" ref="AK2:AK13" si="15">Y2*L2</f>
        <v>#REF!</v>
      </c>
      <c r="AL2" s="26" t="e">
        <f t="shared" ref="AL2:AL13" si="16">AA2*L2</f>
        <v>#REF!</v>
      </c>
      <c r="AM2" s="26" t="e">
        <f t="shared" ref="AM2:AM13" si="17">V2*L2</f>
        <v>#REF!</v>
      </c>
      <c r="AN2" s="17" t="e">
        <f t="shared" ref="AN2:AN13" si="18">L2*T2</f>
        <v>#REF!</v>
      </c>
      <c r="AO2">
        <v>20</v>
      </c>
      <c r="AP2" s="17">
        <f>AO2*S2</f>
        <v>397.71999999999997</v>
      </c>
      <c r="AQ2" s="22">
        <f>AP2-G2+H2</f>
        <v>384.49999999999994</v>
      </c>
      <c r="AR2" s="17">
        <f>AQ2/F2</f>
        <v>95.409429280397006</v>
      </c>
      <c r="AS2" s="19">
        <f>AR2/E2-1</f>
        <v>0.82305248684272891</v>
      </c>
    </row>
    <row r="3" spans="1:49" ht="17" x14ac:dyDescent="0.2">
      <c r="A3" s="2" t="s">
        <v>55</v>
      </c>
      <c r="B3" t="s">
        <v>56</v>
      </c>
      <c r="C3" s="24">
        <f>Overview!C17</f>
        <v>110.29</v>
      </c>
      <c r="D3" t="e">
        <f>Overview!D17</f>
        <v>#DIV/0!</v>
      </c>
      <c r="E3" s="24">
        <f t="shared" si="0"/>
        <v>340.61148857319336</v>
      </c>
      <c r="F3" s="17">
        <v>0.32379999999999998</v>
      </c>
      <c r="G3" s="24">
        <f>1.16</f>
        <v>1.1599999999999999</v>
      </c>
      <c r="H3" s="24">
        <f>2.89+3.5</f>
        <v>6.3900000000000006</v>
      </c>
      <c r="I3" s="17">
        <f t="shared" si="1"/>
        <v>5.5086206896551735</v>
      </c>
      <c r="J3" s="17" t="s">
        <v>97</v>
      </c>
      <c r="K3" s="24">
        <f t="shared" si="2"/>
        <v>105.06</v>
      </c>
      <c r="L3" s="33" t="e">
        <f t="shared" si="3"/>
        <v>#REF!</v>
      </c>
      <c r="M3" s="39">
        <v>6.89</v>
      </c>
      <c r="N3" s="33">
        <f t="shared" si="4"/>
        <v>7.7806476209060685E-2</v>
      </c>
      <c r="O3" s="36" t="e">
        <f t="shared" si="5"/>
        <v>#REF!</v>
      </c>
      <c r="P3" s="36">
        <v>4.9800000000000004</v>
      </c>
      <c r="Q3" s="35">
        <v>0.38729999999999998</v>
      </c>
      <c r="R3" s="35">
        <f t="shared" si="6"/>
        <v>1.0865</v>
      </c>
      <c r="S3" s="38">
        <v>2.778</v>
      </c>
      <c r="T3" s="76">
        <f t="shared" si="7"/>
        <v>37.818574514038879</v>
      </c>
      <c r="U3" s="76">
        <f t="shared" si="8"/>
        <v>15.248185776487665</v>
      </c>
      <c r="V3" s="76">
        <f>K3/Q3</f>
        <v>271.2625871417506</v>
      </c>
      <c r="W3" s="76">
        <f>K3/R3</f>
        <v>96.695812241141283</v>
      </c>
      <c r="X3" s="28">
        <f t="shared" ref="X3:X13" si="19">P3/M3</f>
        <v>0.72278664731494935</v>
      </c>
      <c r="Y3" s="28">
        <f t="shared" si="9"/>
        <v>5.621190130624093E-2</v>
      </c>
      <c r="Z3" s="19">
        <f t="shared" si="10"/>
        <v>0.40319303338171264</v>
      </c>
      <c r="AA3" s="28">
        <f t="shared" si="11"/>
        <v>0.13649497487437187</v>
      </c>
      <c r="AB3" s="29">
        <v>12.01</v>
      </c>
      <c r="AC3" s="27">
        <f>5.92-2.89-7.08</f>
        <v>-4.0500000000000007</v>
      </c>
      <c r="AD3" s="27">
        <f t="shared" si="12"/>
        <v>7.9599999999999991</v>
      </c>
      <c r="AE3" s="19">
        <f t="shared" si="13"/>
        <v>7.5766228821625731E-2</v>
      </c>
      <c r="AF3" s="27">
        <v>0.28220000000000001</v>
      </c>
      <c r="AG3" s="27">
        <v>-0.14630000000000001</v>
      </c>
      <c r="AH3" s="27">
        <v>0.56330000000000002</v>
      </c>
      <c r="AI3" s="26" t="e">
        <f t="shared" si="14"/>
        <v>#DIV/0!</v>
      </c>
      <c r="AJ3" s="19" t="e">
        <f t="shared" ref="AJ3:AJ13" si="20">X3*L3</f>
        <v>#REF!</v>
      </c>
      <c r="AK3" s="26" t="e">
        <f t="shared" si="15"/>
        <v>#REF!</v>
      </c>
      <c r="AL3" s="26" t="e">
        <f t="shared" si="16"/>
        <v>#REF!</v>
      </c>
      <c r="AM3" s="26" t="e">
        <f t="shared" si="17"/>
        <v>#REF!</v>
      </c>
      <c r="AN3" s="17" t="e">
        <f t="shared" si="18"/>
        <v>#REF!</v>
      </c>
      <c r="AO3" s="17"/>
      <c r="AP3" s="17"/>
      <c r="AQ3" s="22"/>
      <c r="AR3" s="17"/>
      <c r="AS3" s="19"/>
    </row>
    <row r="4" spans="1:49" ht="17" x14ac:dyDescent="0.2">
      <c r="A4" s="2" t="s">
        <v>53</v>
      </c>
      <c r="B4" t="s">
        <v>54</v>
      </c>
      <c r="C4" s="24">
        <f>Overview!C19</f>
        <v>69</v>
      </c>
      <c r="D4" t="e">
        <f>Overview!D19</f>
        <v>#DIV/0!</v>
      </c>
      <c r="E4" s="24">
        <f t="shared" si="0"/>
        <v>283.53057199211048</v>
      </c>
      <c r="F4" s="17">
        <v>0.24335999999999999</v>
      </c>
      <c r="G4" s="24">
        <f>0.74287</f>
        <v>0.74287000000000003</v>
      </c>
      <c r="H4" s="24">
        <f>3.7+0.05842</f>
        <v>3.7584200000000001</v>
      </c>
      <c r="I4" s="17">
        <f t="shared" si="1"/>
        <v>5.059323973238925</v>
      </c>
      <c r="J4" s="17" t="s">
        <v>97</v>
      </c>
      <c r="K4" s="24">
        <f t="shared" si="2"/>
        <v>65.984449999999995</v>
      </c>
      <c r="L4" s="33" t="e">
        <f t="shared" si="3"/>
        <v>#REF!</v>
      </c>
      <c r="M4" s="39">
        <v>3.06</v>
      </c>
      <c r="N4" s="33">
        <f t="shared" si="4"/>
        <v>3.455556127717354E-2</v>
      </c>
      <c r="O4" s="36" t="e">
        <f t="shared" si="5"/>
        <v>#REF!</v>
      </c>
      <c r="P4" s="36">
        <v>2.2999999999999998</v>
      </c>
      <c r="Q4" s="35">
        <v>-2E-3</v>
      </c>
      <c r="R4" s="35">
        <f t="shared" si="6"/>
        <v>-3.1210000000000009E-2</v>
      </c>
      <c r="S4" s="38">
        <v>1.1659999999999999</v>
      </c>
      <c r="T4" s="76">
        <f t="shared" si="7"/>
        <v>56.590437392795884</v>
      </c>
      <c r="U4" s="76">
        <f t="shared" si="8"/>
        <v>21.563545751633985</v>
      </c>
      <c r="V4" s="76"/>
      <c r="W4" s="76"/>
      <c r="X4" s="28">
        <f t="shared" si="19"/>
        <v>0.75163398692810446</v>
      </c>
      <c r="Y4" s="28">
        <f t="shared" si="9"/>
        <v>-6.5359477124183002E-4</v>
      </c>
      <c r="Z4" s="19">
        <f t="shared" si="10"/>
        <v>0.38104575163398691</v>
      </c>
      <c r="AA4" s="28">
        <f t="shared" si="11"/>
        <v>-6.7847826086956609E-2</v>
      </c>
      <c r="AB4" s="29">
        <v>2</v>
      </c>
      <c r="AC4" s="27">
        <f>4.84-3.7-2.68</f>
        <v>-1.5400000000000005</v>
      </c>
      <c r="AD4" s="27">
        <f t="shared" si="12"/>
        <v>0.45999999999999952</v>
      </c>
      <c r="AE4" s="19">
        <f t="shared" si="13"/>
        <v>6.9713394595241687E-3</v>
      </c>
      <c r="AF4" s="27">
        <v>0.14524999999999999</v>
      </c>
      <c r="AG4" s="27">
        <f>-0.04946-0.17653</f>
        <v>-0.22599</v>
      </c>
      <c r="AH4" s="27">
        <v>5.1529999999999999E-2</v>
      </c>
      <c r="AI4" s="26" t="e">
        <f t="shared" si="14"/>
        <v>#DIV/0!</v>
      </c>
      <c r="AJ4" s="19" t="e">
        <f t="shared" si="20"/>
        <v>#REF!</v>
      </c>
      <c r="AK4" s="26" t="e">
        <f t="shared" si="15"/>
        <v>#REF!</v>
      </c>
      <c r="AL4" s="26" t="e">
        <f t="shared" si="16"/>
        <v>#REF!</v>
      </c>
      <c r="AM4" s="26" t="e">
        <f t="shared" si="17"/>
        <v>#REF!</v>
      </c>
      <c r="AN4" s="17" t="e">
        <f t="shared" si="18"/>
        <v>#REF!</v>
      </c>
      <c r="AO4" s="17"/>
      <c r="AP4" s="17"/>
      <c r="AQ4" s="22"/>
      <c r="AR4" s="17"/>
      <c r="AS4" s="19"/>
    </row>
    <row r="5" spans="1:49" ht="17" x14ac:dyDescent="0.2">
      <c r="A5" s="25" t="s">
        <v>59</v>
      </c>
      <c r="B5" t="s">
        <v>60</v>
      </c>
      <c r="C5" s="24">
        <f>Overview!C20</f>
        <v>60.16</v>
      </c>
      <c r="D5" t="e">
        <f>Overview!D20</f>
        <v>#DIV/0!</v>
      </c>
      <c r="E5" s="24">
        <f t="shared" si="0"/>
        <v>78.649775790615891</v>
      </c>
      <c r="F5" s="17">
        <v>0.76490999999999998</v>
      </c>
      <c r="G5" s="24">
        <f>0.9933</f>
        <v>0.99329999999999996</v>
      </c>
      <c r="H5" s="24">
        <f>3.34</f>
        <v>3.34</v>
      </c>
      <c r="I5" s="17">
        <f t="shared" si="1"/>
        <v>3.3625289439242927</v>
      </c>
      <c r="J5" s="17" t="s">
        <v>97</v>
      </c>
      <c r="K5" s="24">
        <f t="shared" si="2"/>
        <v>57.813299999999998</v>
      </c>
      <c r="L5" s="33" t="e">
        <f t="shared" si="3"/>
        <v>#REF!</v>
      </c>
      <c r="M5" s="39">
        <v>5.3</v>
      </c>
      <c r="N5" s="33">
        <f t="shared" si="4"/>
        <v>5.9851135545431297E-2</v>
      </c>
      <c r="O5" s="36" t="e">
        <f t="shared" si="5"/>
        <v>#REF!</v>
      </c>
      <c r="P5" s="36">
        <v>4.07</v>
      </c>
      <c r="Q5" s="35">
        <v>1.24</v>
      </c>
      <c r="R5" s="35">
        <f t="shared" si="6"/>
        <v>1.2753999999999999</v>
      </c>
      <c r="S5" s="38">
        <v>1.9359999999999999</v>
      </c>
      <c r="T5" s="76">
        <f t="shared" si="7"/>
        <v>29.862241735537189</v>
      </c>
      <c r="U5" s="76">
        <f t="shared" si="8"/>
        <v>10.908169811320755</v>
      </c>
      <c r="V5" s="76">
        <f>K5/Q5</f>
        <v>46.623629032258066</v>
      </c>
      <c r="W5" s="76">
        <f>K5/R5</f>
        <v>45.329543672573315</v>
      </c>
      <c r="X5" s="28">
        <f t="shared" si="19"/>
        <v>0.76792452830188684</v>
      </c>
      <c r="Y5" s="28">
        <f t="shared" si="9"/>
        <v>0.2339622641509434</v>
      </c>
      <c r="Z5" s="19">
        <f t="shared" si="10"/>
        <v>0.36528301886792452</v>
      </c>
      <c r="AA5" s="28">
        <f t="shared" si="11"/>
        <v>0.95392670157068071</v>
      </c>
      <c r="AB5" s="29">
        <v>3.13</v>
      </c>
      <c r="AC5" s="27">
        <f>4.92-3.34-3.373</f>
        <v>-1.7930000000000001</v>
      </c>
      <c r="AD5" s="27">
        <f t="shared" si="12"/>
        <v>1.3369999999999997</v>
      </c>
      <c r="AE5" s="19">
        <f t="shared" si="13"/>
        <v>2.3126166470345055E-2</v>
      </c>
      <c r="AF5" s="27">
        <v>0.1134</v>
      </c>
      <c r="AG5" s="27">
        <v>-0.2041</v>
      </c>
      <c r="AH5" s="27">
        <v>0.12609999999999999</v>
      </c>
      <c r="AI5" s="26" t="e">
        <f t="shared" si="14"/>
        <v>#DIV/0!</v>
      </c>
      <c r="AJ5" s="19" t="e">
        <f t="shared" si="20"/>
        <v>#REF!</v>
      </c>
      <c r="AK5" s="26" t="e">
        <f t="shared" si="15"/>
        <v>#REF!</v>
      </c>
      <c r="AL5" s="26" t="e">
        <f t="shared" si="16"/>
        <v>#REF!</v>
      </c>
      <c r="AM5" s="26" t="e">
        <f t="shared" si="17"/>
        <v>#REF!</v>
      </c>
      <c r="AN5" s="17" t="e">
        <f t="shared" si="18"/>
        <v>#REF!</v>
      </c>
      <c r="AO5" s="17"/>
      <c r="AP5" s="17"/>
      <c r="AQ5" s="22"/>
      <c r="AR5" s="17"/>
      <c r="AS5" s="19"/>
    </row>
    <row r="6" spans="1:49" ht="17" x14ac:dyDescent="0.2">
      <c r="A6" s="2" t="s">
        <v>51</v>
      </c>
      <c r="B6" t="s">
        <v>52</v>
      </c>
      <c r="C6" s="24">
        <f>Overview!C22</f>
        <v>58.77</v>
      </c>
      <c r="D6" t="e">
        <f>Overview!D22</f>
        <v>#DIV/0!</v>
      </c>
      <c r="E6" s="24">
        <f t="shared" si="0"/>
        <v>175.69506726457399</v>
      </c>
      <c r="F6" s="17">
        <v>0.33450000000000002</v>
      </c>
      <c r="G6" s="24">
        <f>0.74397</f>
        <v>0.74397000000000002</v>
      </c>
      <c r="H6" s="24">
        <f>2.96</f>
        <v>2.96</v>
      </c>
      <c r="I6" s="17">
        <f t="shared" si="1"/>
        <v>3.9786550532951597</v>
      </c>
      <c r="J6" s="17" t="s">
        <v>97</v>
      </c>
      <c r="K6" s="24">
        <f t="shared" si="2"/>
        <v>56.553970000000007</v>
      </c>
      <c r="L6" s="33" t="e">
        <f t="shared" si="3"/>
        <v>#REF!</v>
      </c>
      <c r="M6" s="39">
        <v>2.13</v>
      </c>
      <c r="N6" s="33">
        <f t="shared" si="4"/>
        <v>2.4053380889012953E-2</v>
      </c>
      <c r="O6" s="36" t="e">
        <f t="shared" si="5"/>
        <v>#REF!</v>
      </c>
      <c r="P6" s="36">
        <v>1.72</v>
      </c>
      <c r="Q6" s="35">
        <v>-3.3459999999999997E-2</v>
      </c>
      <c r="R6" s="35">
        <f t="shared" si="6"/>
        <v>-6.7699999999999844E-3</v>
      </c>
      <c r="S6" s="38">
        <v>0.65995400000000004</v>
      </c>
      <c r="T6" s="76">
        <f t="shared" si="7"/>
        <v>85.693805931928594</v>
      </c>
      <c r="U6" s="76">
        <f t="shared" si="8"/>
        <v>26.551159624413149</v>
      </c>
      <c r="V6" s="76"/>
      <c r="W6" s="76"/>
      <c r="X6" s="28">
        <f t="shared" si="19"/>
        <v>0.80751173708920188</v>
      </c>
      <c r="Y6" s="28">
        <f t="shared" si="9"/>
        <v>-1.5708920187793428E-2</v>
      </c>
      <c r="Z6" s="19">
        <f t="shared" si="10"/>
        <v>0.30983755868544605</v>
      </c>
      <c r="AA6" s="28">
        <f t="shared" si="11"/>
        <v>1.9929349425964034E-2</v>
      </c>
      <c r="AB6" s="29">
        <v>0.82030000000000003</v>
      </c>
      <c r="AC6" s="27">
        <f>3.59-2.96-1.79</f>
        <v>-1.1600000000000001</v>
      </c>
      <c r="AD6" s="27">
        <f t="shared" si="12"/>
        <v>-0.33970000000000011</v>
      </c>
      <c r="AE6" s="19">
        <f t="shared" si="13"/>
        <v>-6.0066516992529446E-3</v>
      </c>
      <c r="AF6" s="27">
        <v>4.4470000000000003E-2</v>
      </c>
      <c r="AG6" s="27">
        <f>-0.03482-0.02759</f>
        <v>-6.2409999999999993E-2</v>
      </c>
      <c r="AH6" s="27">
        <v>4.4630000000000003E-2</v>
      </c>
      <c r="AI6" s="26" t="e">
        <f t="shared" si="14"/>
        <v>#DIV/0!</v>
      </c>
      <c r="AJ6" s="19" t="e">
        <f t="shared" si="20"/>
        <v>#REF!</v>
      </c>
      <c r="AK6" s="26" t="e">
        <f t="shared" si="15"/>
        <v>#REF!</v>
      </c>
      <c r="AL6" s="26" t="e">
        <f t="shared" si="16"/>
        <v>#REF!</v>
      </c>
      <c r="AM6" s="26" t="e">
        <f t="shared" si="17"/>
        <v>#REF!</v>
      </c>
      <c r="AN6" s="17" t="e">
        <f t="shared" si="18"/>
        <v>#REF!</v>
      </c>
      <c r="AO6" s="17"/>
      <c r="AP6" s="17"/>
      <c r="AQ6" s="22"/>
      <c r="AR6" s="17"/>
      <c r="AS6" s="19"/>
    </row>
    <row r="7" spans="1:49" ht="17" x14ac:dyDescent="0.2">
      <c r="A7" s="2" t="s">
        <v>47</v>
      </c>
      <c r="B7" t="s">
        <v>48</v>
      </c>
      <c r="C7" s="24">
        <f>Overview!C23</f>
        <v>44</v>
      </c>
      <c r="D7" t="e">
        <f>Overview!D23</f>
        <v>#DIV/0!</v>
      </c>
      <c r="E7" s="24">
        <f t="shared" si="0"/>
        <v>128.76792508047996</v>
      </c>
      <c r="F7" s="17">
        <v>0.3417</v>
      </c>
      <c r="G7" s="24">
        <v>1.28</v>
      </c>
      <c r="H7" s="24">
        <f>1.67+0.00252</f>
        <v>1.67252</v>
      </c>
      <c r="I7" s="17">
        <f t="shared" si="1"/>
        <v>1.3066562500000001</v>
      </c>
      <c r="J7" s="17" t="s">
        <v>97</v>
      </c>
      <c r="K7" s="24">
        <f t="shared" si="2"/>
        <v>43.607480000000002</v>
      </c>
      <c r="L7" s="33" t="e">
        <f t="shared" si="3"/>
        <v>#REF!</v>
      </c>
      <c r="M7" s="39">
        <v>1.3</v>
      </c>
      <c r="N7" s="33">
        <f t="shared" si="4"/>
        <v>1.4680467209256734E-2</v>
      </c>
      <c r="O7" s="36" t="e">
        <f t="shared" si="5"/>
        <v>#REF!</v>
      </c>
      <c r="P7" s="36">
        <v>0.98973999999999995</v>
      </c>
      <c r="Q7" s="35">
        <v>-0.18548999999999999</v>
      </c>
      <c r="R7" s="35">
        <f t="shared" si="6"/>
        <v>-0.28935</v>
      </c>
      <c r="S7" s="38">
        <v>0.25440600000000002</v>
      </c>
      <c r="T7" s="76">
        <f t="shared" si="7"/>
        <v>171.40900764919067</v>
      </c>
      <c r="U7" s="76">
        <f t="shared" si="8"/>
        <v>33.544215384615384</v>
      </c>
      <c r="V7" s="76"/>
      <c r="W7" s="76"/>
      <c r="X7" s="28">
        <f t="shared" si="19"/>
        <v>0.76133846153846152</v>
      </c>
      <c r="Y7" s="28">
        <f t="shared" si="9"/>
        <v>-0.14268461538461538</v>
      </c>
      <c r="Z7" s="19">
        <f t="shared" si="10"/>
        <v>0.19569692307692307</v>
      </c>
      <c r="AA7" s="28">
        <f t="shared" si="11"/>
        <v>-0.51883662966881261</v>
      </c>
      <c r="AB7" s="29">
        <v>0.82365999999999995</v>
      </c>
      <c r="AC7" s="27">
        <f>2.09-1.76-0.59597</f>
        <v>-0.26597000000000015</v>
      </c>
      <c r="AD7" s="27">
        <f t="shared" si="12"/>
        <v>0.5576899999999998</v>
      </c>
      <c r="AE7" s="19">
        <f t="shared" si="13"/>
        <v>1.2788860993572657E-2</v>
      </c>
      <c r="AF7" s="27">
        <v>0.13582</v>
      </c>
      <c r="AG7" s="27">
        <f>-0.02055-0.1144</f>
        <v>-0.13495000000000001</v>
      </c>
      <c r="AH7" s="27">
        <v>-0.10473</v>
      </c>
      <c r="AI7" s="26" t="e">
        <f t="shared" si="14"/>
        <v>#DIV/0!</v>
      </c>
      <c r="AJ7" s="19" t="e">
        <f t="shared" si="20"/>
        <v>#REF!</v>
      </c>
      <c r="AK7" s="26" t="e">
        <f t="shared" si="15"/>
        <v>#REF!</v>
      </c>
      <c r="AL7" s="26" t="e">
        <f t="shared" si="16"/>
        <v>#REF!</v>
      </c>
      <c r="AM7" s="26" t="e">
        <f t="shared" si="17"/>
        <v>#REF!</v>
      </c>
      <c r="AN7" s="17" t="e">
        <f t="shared" si="18"/>
        <v>#REF!</v>
      </c>
      <c r="AO7" s="17"/>
      <c r="AP7" s="17"/>
      <c r="AQ7" s="22"/>
      <c r="AR7" s="17"/>
      <c r="AS7" s="19"/>
    </row>
    <row r="8" spans="1:49" ht="17" x14ac:dyDescent="0.2">
      <c r="A8" s="2" t="s">
        <v>49</v>
      </c>
      <c r="B8" t="s">
        <v>50</v>
      </c>
      <c r="C8" s="24">
        <f>Overview!C24</f>
        <v>38.51</v>
      </c>
      <c r="D8" t="e">
        <f>Overview!D24</f>
        <v>#DIV/0!</v>
      </c>
      <c r="E8" s="24">
        <f t="shared" si="0"/>
        <v>254.78001984783324</v>
      </c>
      <c r="F8" s="17">
        <v>0.15115000000000001</v>
      </c>
      <c r="G8" s="24">
        <f>1.13</f>
        <v>1.1299999999999999</v>
      </c>
      <c r="H8" s="24">
        <f>2.1</f>
        <v>2.1</v>
      </c>
      <c r="I8" s="17">
        <f t="shared" si="1"/>
        <v>1.8584070796460179</v>
      </c>
      <c r="J8" s="17" t="s">
        <v>97</v>
      </c>
      <c r="K8" s="24">
        <f t="shared" si="2"/>
        <v>37.54</v>
      </c>
      <c r="L8" s="33" t="e">
        <f t="shared" si="3"/>
        <v>#REF!</v>
      </c>
      <c r="M8" s="39">
        <v>1.62</v>
      </c>
      <c r="N8" s="33">
        <f t="shared" si="4"/>
        <v>1.8294120676150698E-2</v>
      </c>
      <c r="O8" s="36" t="e">
        <f t="shared" si="5"/>
        <v>#REF!</v>
      </c>
      <c r="P8" s="36">
        <v>1.25</v>
      </c>
      <c r="Q8" s="35">
        <v>-0.22702</v>
      </c>
      <c r="R8" s="35">
        <f t="shared" si="6"/>
        <v>-0.26036000000000004</v>
      </c>
      <c r="S8" s="38">
        <v>0.462343</v>
      </c>
      <c r="T8" s="76">
        <f t="shared" si="7"/>
        <v>81.195130022515755</v>
      </c>
      <c r="U8" s="76">
        <f t="shared" si="8"/>
        <v>23.172839506172838</v>
      </c>
      <c r="V8" s="76"/>
      <c r="W8" s="76"/>
      <c r="X8" s="28">
        <f t="shared" si="19"/>
        <v>0.77160493827160492</v>
      </c>
      <c r="Y8" s="28">
        <f t="shared" si="9"/>
        <v>-0.14013580246913579</v>
      </c>
      <c r="Z8" s="19">
        <f t="shared" si="10"/>
        <v>0.28539691358024688</v>
      </c>
      <c r="AA8" s="28">
        <f t="shared" si="11"/>
        <v>-1.0013846153846155</v>
      </c>
      <c r="AB8" s="29">
        <v>1.23</v>
      </c>
      <c r="AC8" s="27">
        <f>2.97-2.24-1.7</f>
        <v>-0.97</v>
      </c>
      <c r="AD8" s="27">
        <f t="shared" si="12"/>
        <v>0.26</v>
      </c>
      <c r="AE8" s="19">
        <f t="shared" si="13"/>
        <v>6.9259456579648382E-3</v>
      </c>
      <c r="AF8" s="27">
        <v>6.6820000000000004E-2</v>
      </c>
      <c r="AG8" s="27">
        <f>-0.03153-0.0972</f>
        <v>-0.12873000000000001</v>
      </c>
      <c r="AH8" s="27">
        <v>2.8570000000000002E-2</v>
      </c>
      <c r="AI8" s="26" t="e">
        <f t="shared" si="14"/>
        <v>#DIV/0!</v>
      </c>
      <c r="AJ8" s="19" t="e">
        <f t="shared" si="20"/>
        <v>#REF!</v>
      </c>
      <c r="AK8" s="26" t="e">
        <f t="shared" si="15"/>
        <v>#REF!</v>
      </c>
      <c r="AL8" s="26" t="e">
        <f t="shared" si="16"/>
        <v>#REF!</v>
      </c>
      <c r="AM8" s="26" t="e">
        <f t="shared" si="17"/>
        <v>#REF!</v>
      </c>
      <c r="AN8" s="17" t="e">
        <f t="shared" si="18"/>
        <v>#REF!</v>
      </c>
      <c r="AO8" s="17"/>
      <c r="AP8" s="17"/>
      <c r="AQ8" s="22"/>
      <c r="AR8" s="17"/>
      <c r="AS8" s="19"/>
    </row>
    <row r="9" spans="1:49" ht="17" x14ac:dyDescent="0.2">
      <c r="A9" s="25" t="s">
        <v>61</v>
      </c>
      <c r="B9" t="s">
        <v>62</v>
      </c>
      <c r="C9" s="24">
        <f>Overview!C27</f>
        <v>26.14</v>
      </c>
      <c r="D9" t="e">
        <f>Overview!D27</f>
        <v>#DIV/0!</v>
      </c>
      <c r="E9" s="24">
        <f t="shared" si="0"/>
        <v>172.50709430475814</v>
      </c>
      <c r="F9" s="17">
        <v>0.15153</v>
      </c>
      <c r="G9" s="24">
        <f>3.54</f>
        <v>3.54</v>
      </c>
      <c r="H9" s="24">
        <f>0.86444+1.43</f>
        <v>2.2944399999999998</v>
      </c>
      <c r="I9" s="17">
        <f t="shared" si="1"/>
        <v>0.64814689265536718</v>
      </c>
      <c r="J9" s="17" t="s">
        <v>97</v>
      </c>
      <c r="K9" s="24">
        <f t="shared" si="2"/>
        <v>27.385560000000002</v>
      </c>
      <c r="L9" s="33" t="e">
        <f t="shared" si="3"/>
        <v>#REF!</v>
      </c>
      <c r="M9" s="39">
        <v>3.81</v>
      </c>
      <c r="N9" s="33">
        <f t="shared" si="4"/>
        <v>4.3025061590206269E-2</v>
      </c>
      <c r="O9" s="36" t="e">
        <f t="shared" si="5"/>
        <v>#REF!</v>
      </c>
      <c r="P9" s="36">
        <v>2.2999999999999998</v>
      </c>
      <c r="Q9" s="35">
        <v>0.70342000000000005</v>
      </c>
      <c r="R9" s="35">
        <f t="shared" si="6"/>
        <v>0.41345999999999994</v>
      </c>
      <c r="S9" s="38">
        <v>1.3480000000000001</v>
      </c>
      <c r="T9" s="76">
        <f t="shared" si="7"/>
        <v>20.315697329376853</v>
      </c>
      <c r="U9" s="76">
        <f t="shared" si="8"/>
        <v>7.1878110236220474</v>
      </c>
      <c r="V9" s="76">
        <f>K9/Q9</f>
        <v>38.932017855619684</v>
      </c>
      <c r="W9" s="76">
        <f>K9/R9</f>
        <v>66.235089246843728</v>
      </c>
      <c r="X9" s="28">
        <f t="shared" si="19"/>
        <v>0.60367454068241466</v>
      </c>
      <c r="Y9" s="28">
        <f t="shared" si="9"/>
        <v>0.18462467191601051</v>
      </c>
      <c r="Z9" s="19">
        <f t="shared" si="10"/>
        <v>0.35380577427821525</v>
      </c>
      <c r="AA9" s="28">
        <f>R9/AD9</f>
        <v>-0.46612252260377435</v>
      </c>
      <c r="AB9" s="29">
        <v>0.13297999999999999</v>
      </c>
      <c r="AC9" s="27">
        <f>2.57-1.64-1.95</f>
        <v>-1.02</v>
      </c>
      <c r="AD9" s="27">
        <f t="shared" si="12"/>
        <v>-0.88702000000000003</v>
      </c>
      <c r="AE9" s="19">
        <f t="shared" si="13"/>
        <v>-3.2390062500091285E-2</v>
      </c>
      <c r="AF9" s="27">
        <v>0.57077999999999995</v>
      </c>
      <c r="AG9" s="27">
        <f>-0.27213-0.45791</f>
        <v>-0.73004000000000002</v>
      </c>
      <c r="AH9" s="27">
        <v>-0.13070000000000001</v>
      </c>
      <c r="AI9" s="26" t="e">
        <f t="shared" si="14"/>
        <v>#DIV/0!</v>
      </c>
      <c r="AJ9" s="19" t="e">
        <f t="shared" si="20"/>
        <v>#REF!</v>
      </c>
      <c r="AK9" s="26" t="e">
        <f t="shared" si="15"/>
        <v>#REF!</v>
      </c>
      <c r="AL9" s="26" t="e">
        <f t="shared" si="16"/>
        <v>#REF!</v>
      </c>
      <c r="AM9" s="26" t="e">
        <f t="shared" si="17"/>
        <v>#REF!</v>
      </c>
      <c r="AN9" s="17" t="e">
        <f t="shared" si="18"/>
        <v>#REF!</v>
      </c>
      <c r="AO9" s="17">
        <v>20</v>
      </c>
      <c r="AP9" s="17">
        <f>AO9*S9</f>
        <v>26.96</v>
      </c>
      <c r="AQ9" s="22">
        <f>AP9-G9+H9</f>
        <v>25.714440000000003</v>
      </c>
      <c r="AR9" s="17">
        <f>AQ9/F9</f>
        <v>169.6986735299941</v>
      </c>
      <c r="AS9" s="19">
        <f>AR9/E9-1</f>
        <v>-1.6280030604437501E-2</v>
      </c>
    </row>
    <row r="10" spans="1:49" ht="17" x14ac:dyDescent="0.2">
      <c r="A10" s="25" t="s">
        <v>63</v>
      </c>
      <c r="B10" t="s">
        <v>64</v>
      </c>
      <c r="C10" s="24" t="e">
        <f>Overview!#REF!</f>
        <v>#REF!</v>
      </c>
      <c r="D10" t="e">
        <f>Overview!#REF!</f>
        <v>#REF!</v>
      </c>
      <c r="E10" s="24" t="e">
        <f t="shared" si="0"/>
        <v>#REF!</v>
      </c>
      <c r="F10" s="17">
        <v>0.61553000000000002</v>
      </c>
      <c r="G10" s="24">
        <f>0.175+8.43</f>
        <v>8.6050000000000004</v>
      </c>
      <c r="H10" s="24">
        <f>0.846+0.136</f>
        <v>0.98199999999999998</v>
      </c>
      <c r="I10" s="17">
        <f t="shared" si="1"/>
        <v>0.11411969785008715</v>
      </c>
      <c r="J10" s="17" t="s">
        <v>97</v>
      </c>
      <c r="K10" s="24" t="e">
        <f t="shared" si="2"/>
        <v>#REF!</v>
      </c>
      <c r="L10" s="33" t="e">
        <f t="shared" si="3"/>
        <v>#REF!</v>
      </c>
      <c r="M10" s="39">
        <v>3.81</v>
      </c>
      <c r="N10" s="33">
        <f t="shared" si="4"/>
        <v>4.3025061590206269E-2</v>
      </c>
      <c r="O10" s="36" t="e">
        <f t="shared" si="5"/>
        <v>#REF!</v>
      </c>
      <c r="P10" s="36">
        <v>3.08</v>
      </c>
      <c r="Q10" s="35">
        <v>1.18</v>
      </c>
      <c r="R10" s="35">
        <f t="shared" si="6"/>
        <v>3.42</v>
      </c>
      <c r="S10" s="38">
        <v>2.0640000000000001</v>
      </c>
      <c r="T10" s="76" t="e">
        <f t="shared" si="7"/>
        <v>#REF!</v>
      </c>
      <c r="U10" s="76" t="e">
        <f t="shared" si="8"/>
        <v>#REF!</v>
      </c>
      <c r="V10" s="76" t="e">
        <f>K10/Q10</f>
        <v>#REF!</v>
      </c>
      <c r="W10" s="76" t="e">
        <f>K10/R10</f>
        <v>#REF!</v>
      </c>
      <c r="X10" s="28">
        <f t="shared" si="19"/>
        <v>0.80839895013123364</v>
      </c>
      <c r="Y10" s="28">
        <f t="shared" si="9"/>
        <v>0.30971128608923881</v>
      </c>
      <c r="Z10" s="19">
        <f t="shared" si="10"/>
        <v>0.54173228346456692</v>
      </c>
      <c r="AA10" s="28">
        <f t="shared" si="11"/>
        <v>0.30989488945270022</v>
      </c>
      <c r="AB10" s="29">
        <v>14.32</v>
      </c>
      <c r="AC10" s="27">
        <f>1.11-0.644-3.75</f>
        <v>-3.2839999999999998</v>
      </c>
      <c r="AD10" s="27">
        <f t="shared" si="12"/>
        <v>11.036000000000001</v>
      </c>
      <c r="AE10" s="19" t="e">
        <f t="shared" si="13"/>
        <v>#REF!</v>
      </c>
      <c r="AF10" s="27">
        <v>0.48499999999999999</v>
      </c>
      <c r="AG10" s="27">
        <v>5.0000000000000001E-3</v>
      </c>
      <c r="AH10" s="27">
        <v>1.75</v>
      </c>
      <c r="AI10" s="26" t="e">
        <f t="shared" si="14"/>
        <v>#REF!</v>
      </c>
      <c r="AJ10" s="19" t="e">
        <f t="shared" si="20"/>
        <v>#REF!</v>
      </c>
      <c r="AK10" s="26" t="e">
        <f t="shared" si="15"/>
        <v>#REF!</v>
      </c>
      <c r="AL10" s="26" t="e">
        <f t="shared" si="16"/>
        <v>#REF!</v>
      </c>
      <c r="AM10" s="26" t="e">
        <f t="shared" si="17"/>
        <v>#REF!</v>
      </c>
      <c r="AN10" s="17" t="e">
        <f t="shared" si="18"/>
        <v>#REF!</v>
      </c>
      <c r="AO10" s="17">
        <v>20</v>
      </c>
      <c r="AP10" s="17">
        <f>AO10*S10</f>
        <v>41.28</v>
      </c>
      <c r="AQ10" s="22">
        <f>AP10-G10+H10</f>
        <v>33.656999999999996</v>
      </c>
      <c r="AR10" s="17">
        <f>AQ10/F10</f>
        <v>54.679706919240324</v>
      </c>
      <c r="AS10" s="19" t="e">
        <f>AR10/E10-1</f>
        <v>#REF!</v>
      </c>
    </row>
    <row r="11" spans="1:49" ht="17" x14ac:dyDescent="0.2">
      <c r="A11" s="2" t="s">
        <v>57</v>
      </c>
      <c r="B11" t="s">
        <v>58</v>
      </c>
      <c r="C11" s="24">
        <f>Overview!C28</f>
        <v>26.07</v>
      </c>
      <c r="D11" t="e">
        <f>Overview!D28</f>
        <v>#DIV/0!</v>
      </c>
      <c r="E11" s="24">
        <f t="shared" si="0"/>
        <v>154.96641502704631</v>
      </c>
      <c r="F11" s="17">
        <v>0.16822999999999999</v>
      </c>
      <c r="G11" s="24">
        <f>1.15</f>
        <v>1.1499999999999999</v>
      </c>
      <c r="H11" s="24">
        <f>2.2</f>
        <v>2.2000000000000002</v>
      </c>
      <c r="I11" s="17">
        <f t="shared" si="1"/>
        <v>1.9130434782608698</v>
      </c>
      <c r="J11" s="17" t="s">
        <v>97</v>
      </c>
      <c r="K11" s="24">
        <f t="shared" si="2"/>
        <v>25.02</v>
      </c>
      <c r="L11" s="33" t="e">
        <f t="shared" si="3"/>
        <v>#REF!</v>
      </c>
      <c r="M11" s="39">
        <v>2.2599999999999998</v>
      </c>
      <c r="N11" s="33">
        <f t="shared" si="4"/>
        <v>2.5521427609938627E-2</v>
      </c>
      <c r="O11" s="36" t="e">
        <f t="shared" si="5"/>
        <v>#REF!</v>
      </c>
      <c r="P11" s="36">
        <v>1.68</v>
      </c>
      <c r="Q11" s="35">
        <v>-0.46</v>
      </c>
      <c r="R11" s="35">
        <f t="shared" si="6"/>
        <v>-0.34500000000000003</v>
      </c>
      <c r="S11" s="38">
        <v>0.51200000000000001</v>
      </c>
      <c r="T11" s="76">
        <f t="shared" si="7"/>
        <v>48.8671875</v>
      </c>
      <c r="U11" s="76">
        <f t="shared" si="8"/>
        <v>11.070796460176991</v>
      </c>
      <c r="V11" s="76"/>
      <c r="W11" s="76"/>
      <c r="X11" s="28">
        <f t="shared" si="19"/>
        <v>0.74336283185840712</v>
      </c>
      <c r="Y11" s="28">
        <f t="shared" si="9"/>
        <v>-0.2035398230088496</v>
      </c>
      <c r="Z11" s="19">
        <f t="shared" si="10"/>
        <v>0.22654867256637171</v>
      </c>
      <c r="AA11" s="28">
        <f t="shared" si="11"/>
        <v>-6.9696969696969702E-2</v>
      </c>
      <c r="AB11" s="29">
        <v>6.04</v>
      </c>
      <c r="AC11" s="27">
        <f>2.92-2.32-1.69</f>
        <v>-1.0899999999999999</v>
      </c>
      <c r="AD11" s="27">
        <f t="shared" si="12"/>
        <v>4.95</v>
      </c>
      <c r="AE11" s="19">
        <f t="shared" si="13"/>
        <v>0.19784172661870505</v>
      </c>
      <c r="AF11" s="27">
        <v>8.4000000000000005E-2</v>
      </c>
      <c r="AG11" s="27">
        <f>-0.015-0.008</f>
        <v>-2.3E-2</v>
      </c>
      <c r="AH11" s="27">
        <v>5.3999999999999999E-2</v>
      </c>
      <c r="AI11" s="26" t="e">
        <f t="shared" si="14"/>
        <v>#DIV/0!</v>
      </c>
      <c r="AJ11" s="19" t="e">
        <f t="shared" si="20"/>
        <v>#REF!</v>
      </c>
      <c r="AK11" s="26" t="e">
        <f t="shared" si="15"/>
        <v>#REF!</v>
      </c>
      <c r="AL11" s="26" t="e">
        <f t="shared" si="16"/>
        <v>#REF!</v>
      </c>
      <c r="AM11" s="26" t="e">
        <f t="shared" si="17"/>
        <v>#REF!</v>
      </c>
      <c r="AN11" s="17" t="e">
        <f t="shared" si="18"/>
        <v>#REF!</v>
      </c>
      <c r="AO11" s="17"/>
      <c r="AQ11" s="22"/>
      <c r="AR11" s="17"/>
      <c r="AS11" s="19"/>
    </row>
    <row r="12" spans="1:49" ht="17" x14ac:dyDescent="0.2">
      <c r="A12" s="2" t="s">
        <v>45</v>
      </c>
      <c r="B12" t="s">
        <v>46</v>
      </c>
      <c r="C12" s="24">
        <f>Overview!C29</f>
        <v>21.21</v>
      </c>
      <c r="D12" t="e">
        <f>Overview!D29</f>
        <v>#DIV/0!</v>
      </c>
      <c r="E12" s="24">
        <f t="shared" si="0"/>
        <v>491.54113557358056</v>
      </c>
      <c r="F12" s="17">
        <v>4.3150000000000001E-2</v>
      </c>
      <c r="G12" s="24">
        <f>0.57234</f>
        <v>0.57233999999999996</v>
      </c>
      <c r="H12" s="24">
        <f>0.99342+0.32455</f>
        <v>1.3179699999999999</v>
      </c>
      <c r="I12" s="17">
        <f t="shared" si="1"/>
        <v>2.3027745745535868</v>
      </c>
      <c r="J12" s="17" t="s">
        <v>97</v>
      </c>
      <c r="K12" s="24">
        <f t="shared" si="2"/>
        <v>20.464370000000002</v>
      </c>
      <c r="L12" s="33" t="e">
        <f t="shared" si="3"/>
        <v>#REF!</v>
      </c>
      <c r="M12" s="39">
        <v>0.75188999999999995</v>
      </c>
      <c r="N12" s="33">
        <f t="shared" si="4"/>
        <v>8.490843453821572E-3</v>
      </c>
      <c r="O12" s="36" t="e">
        <f t="shared" si="5"/>
        <v>#REF!</v>
      </c>
      <c r="P12" s="36">
        <v>0.59575999999999996</v>
      </c>
      <c r="Q12" s="35">
        <v>-0.11647</v>
      </c>
      <c r="R12" s="35">
        <f t="shared" si="6"/>
        <v>-0.12936</v>
      </c>
      <c r="S12" s="38">
        <v>5.6203999999999997E-2</v>
      </c>
      <c r="T12" s="76">
        <f t="shared" si="7"/>
        <v>364.10878229307531</v>
      </c>
      <c r="U12" s="76">
        <f t="shared" si="8"/>
        <v>27.217239223822638</v>
      </c>
      <c r="V12" s="76"/>
      <c r="W12" s="76"/>
      <c r="X12" s="28">
        <f t="shared" si="19"/>
        <v>0.79234994480575616</v>
      </c>
      <c r="Y12" s="28">
        <f t="shared" si="9"/>
        <v>-0.15490297782920376</v>
      </c>
      <c r="Z12" s="19">
        <f t="shared" si="10"/>
        <v>7.4750295920945883E-2</v>
      </c>
      <c r="AA12" s="28">
        <f t="shared" si="11"/>
        <v>0.30757525322174162</v>
      </c>
      <c r="AB12" s="29">
        <v>0.52942</v>
      </c>
      <c r="AC12" s="27">
        <f>1.59-1.4-1.14</f>
        <v>-0.94999999999999973</v>
      </c>
      <c r="AD12" s="27">
        <f t="shared" si="12"/>
        <v>-0.42057999999999973</v>
      </c>
      <c r="AE12" s="19">
        <f t="shared" si="13"/>
        <v>-2.0551817622531242E-2</v>
      </c>
      <c r="AF12" s="27">
        <v>1.925E-2</v>
      </c>
      <c r="AG12" s="27">
        <v>-4.9500000000000004E-3</v>
      </c>
      <c r="AH12" s="27">
        <v>-2.7189999999999999E-2</v>
      </c>
      <c r="AI12" s="26" t="e">
        <f t="shared" si="14"/>
        <v>#DIV/0!</v>
      </c>
      <c r="AJ12" s="19" t="e">
        <f t="shared" si="20"/>
        <v>#REF!</v>
      </c>
      <c r="AK12" s="26" t="e">
        <f t="shared" si="15"/>
        <v>#REF!</v>
      </c>
      <c r="AL12" s="26" t="e">
        <f t="shared" si="16"/>
        <v>#REF!</v>
      </c>
      <c r="AM12" s="26" t="e">
        <f t="shared" si="17"/>
        <v>#REF!</v>
      </c>
      <c r="AN12" s="17" t="e">
        <f t="shared" si="18"/>
        <v>#REF!</v>
      </c>
      <c r="AO12" s="17"/>
      <c r="AQ12" s="22"/>
      <c r="AR12" s="17"/>
      <c r="AS12" s="19"/>
    </row>
    <row r="13" spans="1:49" ht="17" x14ac:dyDescent="0.2">
      <c r="A13" s="2" t="s">
        <v>67</v>
      </c>
      <c r="B13" t="s">
        <v>68</v>
      </c>
      <c r="C13" s="24">
        <f>Overview!C30</f>
        <v>18.47</v>
      </c>
      <c r="D13" t="e">
        <f>Overview!D30</f>
        <v>#DIV/0!</v>
      </c>
      <c r="E13" s="24">
        <f t="shared" si="0"/>
        <v>59.034103621312369</v>
      </c>
      <c r="F13" s="17">
        <v>0.31286999999999998</v>
      </c>
      <c r="G13" s="24"/>
      <c r="H13" s="24">
        <f>0.92596+0.2048</f>
        <v>1.13076</v>
      </c>
      <c r="I13" s="17" t="e">
        <f t="shared" si="1"/>
        <v>#DIV/0!</v>
      </c>
      <c r="J13" s="17" t="s">
        <v>97</v>
      </c>
      <c r="K13" s="24">
        <f t="shared" si="2"/>
        <v>17.33924</v>
      </c>
      <c r="L13" s="33" t="e">
        <f t="shared" si="3"/>
        <v>#REF!</v>
      </c>
      <c r="M13" s="39">
        <v>0.62114999999999998</v>
      </c>
      <c r="N13" s="33">
        <f t="shared" si="4"/>
        <v>7.0144401592537077E-3</v>
      </c>
      <c r="O13" s="36" t="e">
        <f t="shared" si="5"/>
        <v>#REF!</v>
      </c>
      <c r="P13" s="36">
        <v>0.44186999999999999</v>
      </c>
      <c r="Q13" s="35">
        <v>-0.37170999999999998</v>
      </c>
      <c r="R13" s="35">
        <f t="shared" si="6"/>
        <v>-0.36821999999999999</v>
      </c>
      <c r="S13" s="38">
        <v>-0.68369999999999997</v>
      </c>
      <c r="T13" s="76">
        <f t="shared" si="7"/>
        <v>-25.360889278923505</v>
      </c>
      <c r="U13" s="76">
        <f t="shared" si="8"/>
        <v>27.914738790952267</v>
      </c>
      <c r="V13" s="76"/>
      <c r="W13" s="76"/>
      <c r="X13" s="28">
        <f t="shared" si="19"/>
        <v>0.71137406423569183</v>
      </c>
      <c r="Y13" s="28">
        <f t="shared" si="9"/>
        <v>-0.59842228125251551</v>
      </c>
      <c r="Z13" s="19">
        <f t="shared" si="10"/>
        <v>-1.1007003139338325</v>
      </c>
      <c r="AA13" s="28">
        <f t="shared" si="11"/>
        <v>-0.37931496265773884</v>
      </c>
      <c r="AB13" s="29">
        <v>1.24</v>
      </c>
      <c r="AC13" s="27">
        <f>1.07-0.7732-0.56605</f>
        <v>-0.26924999999999999</v>
      </c>
      <c r="AD13" s="27">
        <f t="shared" si="12"/>
        <v>0.97075</v>
      </c>
      <c r="AE13" s="19">
        <f t="shared" si="13"/>
        <v>5.5985729478339304E-2</v>
      </c>
      <c r="AF13" s="27">
        <v>3.891E-2</v>
      </c>
      <c r="AG13" s="27">
        <f>-0.01396-0.0013</f>
        <v>-1.5259999999999999E-2</v>
      </c>
      <c r="AH13" s="27">
        <v>-2.0160000000000001E-2</v>
      </c>
      <c r="AI13" s="26" t="e">
        <f t="shared" si="14"/>
        <v>#DIV/0!</v>
      </c>
      <c r="AJ13" s="19" t="e">
        <f t="shared" si="20"/>
        <v>#REF!</v>
      </c>
      <c r="AK13" s="26" t="e">
        <f t="shared" si="15"/>
        <v>#REF!</v>
      </c>
      <c r="AL13" s="26" t="e">
        <f t="shared" si="16"/>
        <v>#REF!</v>
      </c>
      <c r="AM13" s="26" t="e">
        <f t="shared" si="17"/>
        <v>#REF!</v>
      </c>
      <c r="AN13" s="17" t="e">
        <f t="shared" si="18"/>
        <v>#REF!</v>
      </c>
      <c r="AO13" s="17"/>
      <c r="AQ13" s="22"/>
      <c r="AR13" s="17"/>
      <c r="AS13" s="19"/>
    </row>
    <row r="14" spans="1:49" x14ac:dyDescent="0.2">
      <c r="A14" s="2"/>
      <c r="E14" s="16"/>
      <c r="AB14" s="2"/>
    </row>
    <row r="15" spans="1:49" x14ac:dyDescent="0.2">
      <c r="A15" s="2"/>
      <c r="E15" s="16"/>
      <c r="AB15" s="2"/>
    </row>
    <row r="16" spans="1:49" x14ac:dyDescent="0.2">
      <c r="A16" s="2"/>
      <c r="E16" s="16"/>
      <c r="AB16" s="2"/>
    </row>
    <row r="17" spans="1:28" ht="34" x14ac:dyDescent="0.2">
      <c r="A17" s="3" t="s">
        <v>108</v>
      </c>
      <c r="B17" s="6" t="e">
        <f>SUM(C2:C13)</f>
        <v>#REF!</v>
      </c>
      <c r="C17" s="6"/>
      <c r="E17" s="16"/>
      <c r="AB17" s="2"/>
    </row>
    <row r="18" spans="1:28" ht="34" x14ac:dyDescent="0.2">
      <c r="A18" s="3" t="s">
        <v>103</v>
      </c>
      <c r="B18" s="6" t="e">
        <f>SUM(K2:K13)</f>
        <v>#REF!</v>
      </c>
      <c r="C18" s="6"/>
      <c r="E18" s="16"/>
      <c r="AB18" s="2"/>
    </row>
    <row r="19" spans="1:28" ht="34" x14ac:dyDescent="0.2">
      <c r="A19" s="3" t="s">
        <v>104</v>
      </c>
      <c r="B19" s="6">
        <f>SUM(M2:M13)</f>
        <v>88.55304000000001</v>
      </c>
      <c r="C19" s="6"/>
      <c r="E19" s="16"/>
      <c r="AB19" s="2"/>
    </row>
    <row r="20" spans="1:28" ht="34" x14ac:dyDescent="0.2">
      <c r="A20" s="3" t="s">
        <v>129</v>
      </c>
      <c r="B20" s="6">
        <f>SUM(Q2:Q13)</f>
        <v>17.674569999999996</v>
      </c>
      <c r="C20" s="6"/>
      <c r="E20" s="16"/>
      <c r="AB20" s="2"/>
    </row>
    <row r="21" spans="1:28" ht="17" x14ac:dyDescent="0.2">
      <c r="A21" s="30" t="s">
        <v>83</v>
      </c>
      <c r="B21" s="32">
        <v>26.26</v>
      </c>
      <c r="E21" s="16"/>
      <c r="AB21" s="2"/>
    </row>
    <row r="22" spans="1:28" ht="17" x14ac:dyDescent="0.2">
      <c r="A22" s="30" t="s">
        <v>127</v>
      </c>
      <c r="B22" s="18" t="e">
        <f>AVERAGE(D2:D13)</f>
        <v>#DIV/0!</v>
      </c>
      <c r="C22" s="17"/>
      <c r="E22" s="16"/>
      <c r="AB22" s="2"/>
    </row>
    <row r="23" spans="1:28" ht="17" x14ac:dyDescent="0.2">
      <c r="A23" s="30" t="s">
        <v>115</v>
      </c>
      <c r="B23" s="18" t="e">
        <f>SUM(AI2:AI13)</f>
        <v>#DIV/0!</v>
      </c>
      <c r="C23" s="17"/>
      <c r="E23" s="16"/>
      <c r="AB23" s="2"/>
    </row>
    <row r="24" spans="1:28" ht="17" x14ac:dyDescent="0.2">
      <c r="A24" s="3" t="s">
        <v>85</v>
      </c>
      <c r="B24" s="17" t="e">
        <f>AVERAGE(U2:U13)</f>
        <v>#REF!</v>
      </c>
      <c r="C24" s="17"/>
      <c r="E24" s="16"/>
      <c r="AB24" s="2"/>
    </row>
    <row r="25" spans="1:28" ht="17" x14ac:dyDescent="0.2">
      <c r="A25" s="3" t="s">
        <v>133</v>
      </c>
      <c r="B25" s="17" t="e">
        <f>AVERAGE(V2:V13)</f>
        <v>#REF!</v>
      </c>
      <c r="C25" s="17"/>
      <c r="E25" s="16"/>
      <c r="AB25" s="2"/>
    </row>
    <row r="26" spans="1:28" ht="17" x14ac:dyDescent="0.2">
      <c r="A26" s="30" t="s">
        <v>134</v>
      </c>
      <c r="B26" s="18" t="e">
        <f>SUM(AM2:AM13)</f>
        <v>#REF!</v>
      </c>
      <c r="C26" s="17"/>
      <c r="E26" s="16"/>
      <c r="AB26" s="2"/>
    </row>
    <row r="27" spans="1:28" ht="17" x14ac:dyDescent="0.2">
      <c r="A27" s="3" t="s">
        <v>136</v>
      </c>
      <c r="B27" s="19">
        <f>AVERAGE(AA2:AA13)</f>
        <v>-3.6693591139432054E-2</v>
      </c>
      <c r="C27" s="37"/>
      <c r="E27" s="16"/>
      <c r="AB27" s="2"/>
    </row>
    <row r="28" spans="1:28" ht="17" x14ac:dyDescent="0.2">
      <c r="A28" s="30" t="s">
        <v>137</v>
      </c>
      <c r="B28" s="31" t="e">
        <f>SUM(AL2:AL13)</f>
        <v>#REF!</v>
      </c>
      <c r="C28" s="37"/>
      <c r="E28" s="16"/>
      <c r="AB28" s="2"/>
    </row>
    <row r="29" spans="1:28" ht="17" x14ac:dyDescent="0.2">
      <c r="A29" s="3" t="s">
        <v>143</v>
      </c>
      <c r="B29" s="20">
        <f>AVERAGE(X2:X13)</f>
        <v>0.73909613446782119</v>
      </c>
    </row>
    <row r="30" spans="1:28" ht="34" x14ac:dyDescent="0.2">
      <c r="A30" s="30" t="s">
        <v>144</v>
      </c>
      <c r="B30" s="40" t="e">
        <f>SUM(AJ2:AJ13)</f>
        <v>#REF!</v>
      </c>
    </row>
    <row r="31" spans="1:28" ht="17" x14ac:dyDescent="0.2">
      <c r="A31" s="3" t="s">
        <v>121</v>
      </c>
      <c r="B31" s="19">
        <f>AVERAGE(Y2:Y13)</f>
        <v>-1.6546286275047565E-2</v>
      </c>
      <c r="C31" s="37"/>
      <c r="E31" s="16"/>
      <c r="AB31" s="2"/>
    </row>
    <row r="32" spans="1:28" ht="34" x14ac:dyDescent="0.2">
      <c r="A32" s="30" t="s">
        <v>132</v>
      </c>
      <c r="B32" s="31" t="e">
        <f>SUM(AK2:AK13)</f>
        <v>#REF!</v>
      </c>
      <c r="C32" s="37"/>
      <c r="E32" s="16"/>
      <c r="AB32" s="2"/>
    </row>
    <row r="33" spans="1:28" x14ac:dyDescent="0.2">
      <c r="A33" s="3"/>
      <c r="B33" s="17"/>
      <c r="C33" s="17"/>
      <c r="E33" s="16"/>
      <c r="AB33" s="2"/>
    </row>
    <row r="34" spans="1:28" ht="17" x14ac:dyDescent="0.2">
      <c r="A34" s="3" t="s">
        <v>84</v>
      </c>
      <c r="B34" s="17" t="e">
        <f>AVERAGE(T2:T13)</f>
        <v>#REF!</v>
      </c>
      <c r="C34" s="17"/>
      <c r="E34" s="16"/>
      <c r="AB34" s="2"/>
    </row>
    <row r="35" spans="1:28" ht="17" x14ac:dyDescent="0.2">
      <c r="A35" s="3" t="s">
        <v>86</v>
      </c>
      <c r="B35" s="20">
        <f>AVERAGE(Z2:Z13)</f>
        <v>0.19878892537541362</v>
      </c>
      <c r="C35" s="20"/>
      <c r="E35" s="16"/>
      <c r="AB35" s="2"/>
    </row>
  </sheetData>
  <sortState xmlns:xlrd2="http://schemas.microsoft.com/office/spreadsheetml/2017/richdata2" ref="A2:AS35">
    <sortCondition descending="1" ref="C1:C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1F18-76E9-C749-8BCB-585F7795DE10}">
  <dimension ref="A1:AE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13" sqref="AA13"/>
    </sheetView>
  </sheetViews>
  <sheetFormatPr baseColWidth="10" defaultRowHeight="16" x14ac:dyDescent="0.2"/>
  <cols>
    <col min="1" max="1" width="22" style="2" customWidth="1"/>
    <col min="2" max="3" width="11.5" bestFit="1" customWidth="1"/>
    <col min="4" max="10" width="12.5" bestFit="1" customWidth="1"/>
    <col min="13" max="13" width="11.5" bestFit="1" customWidth="1"/>
  </cols>
  <sheetData>
    <row r="1" spans="1:31" ht="17" x14ac:dyDescent="0.2">
      <c r="A1" s="3" t="s">
        <v>1</v>
      </c>
      <c r="B1" s="1">
        <v>2015</v>
      </c>
      <c r="C1" s="1">
        <f>B1+1</f>
        <v>2016</v>
      </c>
      <c r="D1" s="1">
        <f t="shared" ref="D1:J1" si="0">C1+1</f>
        <v>2017</v>
      </c>
      <c r="E1" s="1">
        <f t="shared" si="0"/>
        <v>2018</v>
      </c>
      <c r="F1" s="1">
        <f t="shared" si="0"/>
        <v>2019</v>
      </c>
      <c r="G1" s="1">
        <f t="shared" si="0"/>
        <v>2020</v>
      </c>
      <c r="H1" s="1">
        <f t="shared" si="0"/>
        <v>2021</v>
      </c>
      <c r="I1" s="1">
        <f t="shared" si="0"/>
        <v>2022</v>
      </c>
      <c r="J1" s="1">
        <f t="shared" si="0"/>
        <v>2023</v>
      </c>
      <c r="K1" s="1" t="s">
        <v>6</v>
      </c>
      <c r="L1" s="1"/>
      <c r="M1" s="1" t="s">
        <v>7</v>
      </c>
      <c r="N1" s="1" t="s">
        <v>8</v>
      </c>
      <c r="O1" s="1" t="s">
        <v>9</v>
      </c>
      <c r="P1" s="1" t="s">
        <v>10</v>
      </c>
      <c r="Q1" s="1"/>
      <c r="R1" s="1" t="s">
        <v>11</v>
      </c>
      <c r="S1" s="1" t="s">
        <v>12</v>
      </c>
      <c r="T1" s="1" t="s">
        <v>13</v>
      </c>
      <c r="U1" s="1" t="s">
        <v>14</v>
      </c>
      <c r="V1" s="1"/>
      <c r="W1" s="1" t="s">
        <v>15</v>
      </c>
      <c r="X1" s="1" t="s">
        <v>16</v>
      </c>
      <c r="Y1" s="1" t="s">
        <v>17</v>
      </c>
      <c r="Z1" s="1" t="s">
        <v>18</v>
      </c>
      <c r="AA1" s="1"/>
      <c r="AB1" s="1" t="s">
        <v>19</v>
      </c>
      <c r="AC1" s="1" t="s">
        <v>20</v>
      </c>
      <c r="AD1" s="1" t="s">
        <v>21</v>
      </c>
      <c r="AE1" s="1" t="s">
        <v>22</v>
      </c>
    </row>
    <row r="2" spans="1:31" x14ac:dyDescent="0.2">
      <c r="A2" s="3"/>
      <c r="B2" s="1"/>
      <c r="C2" s="1"/>
      <c r="D2" s="1"/>
      <c r="E2" s="1"/>
      <c r="F2" s="1"/>
      <c r="G2" s="1"/>
      <c r="H2" s="1"/>
      <c r="I2" s="1"/>
      <c r="J2" s="1"/>
      <c r="L2" s="81"/>
      <c r="M2" s="81"/>
      <c r="N2" s="81"/>
      <c r="O2" s="81"/>
      <c r="P2" s="81"/>
      <c r="Q2" s="81"/>
      <c r="R2" s="81"/>
      <c r="S2" s="81"/>
      <c r="T2" s="81"/>
      <c r="V2" s="81"/>
      <c r="W2" s="81"/>
      <c r="X2" s="81"/>
      <c r="Y2" s="81"/>
      <c r="Z2" s="81"/>
      <c r="AA2" s="81"/>
      <c r="AB2" s="81"/>
      <c r="AC2" s="81"/>
      <c r="AD2" s="81"/>
    </row>
    <row r="3" spans="1:31" x14ac:dyDescent="0.2">
      <c r="A3" s="3"/>
      <c r="B3" s="1"/>
      <c r="C3" s="1"/>
      <c r="D3" s="1"/>
      <c r="E3" s="1"/>
      <c r="F3" s="1"/>
      <c r="G3" s="1"/>
      <c r="H3" s="1"/>
      <c r="I3" s="1"/>
      <c r="J3" s="1"/>
    </row>
    <row r="4" spans="1:31" ht="17" x14ac:dyDescent="0.2">
      <c r="A4" s="4" t="s">
        <v>0</v>
      </c>
      <c r="B4" s="6">
        <f>'[1]Valuation &amp; Forecasting'!B$6</f>
        <v>17079</v>
      </c>
      <c r="C4" s="6">
        <f>'[1]Valuation &amp; Forecasting'!C$6</f>
        <v>26885</v>
      </c>
      <c r="D4" s="6">
        <f>'[1]Valuation &amp; Forecasting'!D$6</f>
        <v>39942</v>
      </c>
      <c r="E4" s="6">
        <f>'[1]Valuation &amp; Forecasting'!E$6</f>
        <v>55013</v>
      </c>
      <c r="F4" s="6">
        <f>'[1]Valuation &amp; Forecasting'!F$6</f>
        <v>69655</v>
      </c>
      <c r="G4" s="6">
        <f>'[1]Valuation &amp; Forecasting'!G$6</f>
        <v>84169</v>
      </c>
      <c r="H4" s="6">
        <f>'[1]Valuation &amp; Forecasting'!H$6</f>
        <v>114934</v>
      </c>
      <c r="I4" s="6">
        <f>'[1]Valuation &amp; Forecasting'!I$6</f>
        <v>113642</v>
      </c>
      <c r="J4" s="6">
        <f>'[1]Valuation &amp; Forecasting'!J$6</f>
        <v>131948</v>
      </c>
      <c r="L4" s="7"/>
      <c r="M4" s="10">
        <f>'[1]Valuation &amp; Forecasting'!M$6</f>
        <v>25439</v>
      </c>
      <c r="N4" s="10">
        <f>'[1]Valuation &amp; Forecasting'!N$6</f>
        <v>28580</v>
      </c>
      <c r="O4" s="10">
        <f>'[1]Valuation &amp; Forecasting'!O$6</f>
        <v>28276</v>
      </c>
      <c r="P4" s="10">
        <f>'[1]Valuation &amp; Forecasting'!P$6</f>
        <v>32639</v>
      </c>
      <c r="Q4" s="10"/>
      <c r="R4" s="10">
        <f>'[1]Valuation &amp; Forecasting'!R$6</f>
        <v>26998</v>
      </c>
      <c r="S4" s="10">
        <f>'[1]Valuation &amp; Forecasting'!S$6</f>
        <v>28152</v>
      </c>
      <c r="T4" s="10">
        <f>'[1]Valuation &amp; Forecasting'!T$6</f>
        <v>27237</v>
      </c>
      <c r="U4" s="10">
        <f>'[1]Valuation &amp; Forecasting'!U$6</f>
        <v>31254</v>
      </c>
      <c r="V4" s="10"/>
      <c r="W4" s="10">
        <f>'[1]Valuation &amp; Forecasting'!W$6</f>
        <v>28101</v>
      </c>
      <c r="X4" s="10">
        <f>'[1]Valuation &amp; Forecasting'!X$6</f>
        <v>31498</v>
      </c>
      <c r="Y4" s="10">
        <f>'[1]Valuation &amp; Forecasting'!Y$6</f>
        <v>33643</v>
      </c>
      <c r="Z4" s="10">
        <f>'[1]Valuation &amp; Forecasting'!Z$6</f>
        <v>38706</v>
      </c>
      <c r="AA4" s="10"/>
      <c r="AB4" s="10">
        <f>'[1]Valuation &amp; Forecasting'!AB$6</f>
        <v>35635</v>
      </c>
      <c r="AC4" s="10">
        <f>'[1]Valuation &amp; Forecasting'!AC$6</f>
        <v>38329</v>
      </c>
      <c r="AD4" s="10">
        <f>'[1]Valuation &amp; Forecasting'!AD$6</f>
        <v>0</v>
      </c>
      <c r="AE4" s="10">
        <f>'[1]Valuation &amp; Forecasting'!AE$6</f>
        <v>0</v>
      </c>
    </row>
    <row r="5" spans="1:31" ht="17" x14ac:dyDescent="0.2">
      <c r="A5" s="4" t="s">
        <v>2</v>
      </c>
      <c r="B5" s="6"/>
      <c r="C5" s="6"/>
      <c r="D5" s="6">
        <f>'[2]Valuation &amp; Forecasting'!B$8</f>
        <v>95577</v>
      </c>
      <c r="E5" s="6">
        <f>'[2]Valuation &amp; Forecasting'!C$8</f>
        <v>116461</v>
      </c>
      <c r="F5" s="6">
        <f>'[2]Valuation &amp; Forecasting'!D$8</f>
        <v>134811</v>
      </c>
      <c r="G5" s="6">
        <f>'[2]Valuation &amp; Forecasting'!E$8</f>
        <v>146924</v>
      </c>
      <c r="H5" s="6">
        <f>'[2]Valuation &amp; Forecasting'!F$8</f>
        <v>209497</v>
      </c>
      <c r="I5" s="6">
        <f>'[2]Valuation &amp; Forecasting'!G$8</f>
        <v>224473</v>
      </c>
      <c r="J5" s="6">
        <f>'[2]Valuation &amp; Forecasting'!H$8</f>
        <v>237855</v>
      </c>
      <c r="L5" s="7"/>
      <c r="M5" s="10">
        <f>'[2]Valuation &amp; Forecasting'!K$8</f>
        <v>44684</v>
      </c>
      <c r="N5" s="10">
        <f>'[2]Valuation &amp; Forecasting'!L$8</f>
        <v>50444</v>
      </c>
      <c r="O5" s="10">
        <f>'[2]Valuation &amp; Forecasting'!M$8</f>
        <v>53130</v>
      </c>
      <c r="P5" s="10">
        <f>'[2]Valuation &amp; Forecasting'!N$8</f>
        <v>61239</v>
      </c>
      <c r="Q5" s="10"/>
      <c r="R5" s="10">
        <f>'[2]Valuation &amp; Forecasting'!P$8</f>
        <v>54661</v>
      </c>
      <c r="S5" s="10">
        <f>'[2]Valuation &amp; Forecasting'!Q$8</f>
        <v>56288</v>
      </c>
      <c r="T5" s="10">
        <f>'[2]Valuation &amp; Forecasting'!R$8</f>
        <v>54482</v>
      </c>
      <c r="U5" s="10">
        <f>'[2]Valuation &amp; Forecasting'!S$8</f>
        <v>59042</v>
      </c>
      <c r="V5" s="10"/>
      <c r="W5" s="10">
        <f>'[2]Valuation &amp; Forecasting'!U$8</f>
        <v>54548</v>
      </c>
      <c r="X5" s="10">
        <f>'[2]Valuation &amp; Forecasting'!V$8</f>
        <v>58143</v>
      </c>
      <c r="Y5" s="10">
        <f>'[2]Valuation &amp; Forecasting'!W$8</f>
        <v>59647</v>
      </c>
      <c r="Z5" s="10">
        <f>'[2]Valuation &amp; Forecasting'!X$8</f>
        <v>65517</v>
      </c>
      <c r="AA5" s="10"/>
      <c r="AB5" s="10">
        <f>'[2]Valuation &amp; Forecasting'!Z$8</f>
        <v>61659</v>
      </c>
      <c r="AC5" s="10">
        <f>'[2]Valuation &amp; Forecasting'!AA$8</f>
        <v>64616</v>
      </c>
      <c r="AD5" s="10">
        <f>'[2]Valuation &amp; Forecasting'!AB$8</f>
        <v>0</v>
      </c>
      <c r="AE5" s="10">
        <f>'[2]Valuation &amp; Forecasting'!AC$8</f>
        <v>0</v>
      </c>
    </row>
    <row r="6" spans="1:31" ht="17" x14ac:dyDescent="0.2">
      <c r="A6" s="4" t="s">
        <v>3</v>
      </c>
      <c r="B6" s="6"/>
      <c r="C6" s="6"/>
      <c r="D6" s="6"/>
      <c r="E6" s="6">
        <f>[3]Forecasting!B$13</f>
        <v>10108</v>
      </c>
      <c r="F6" s="6">
        <f>[3]Forecasting!C$13</f>
        <v>14085</v>
      </c>
      <c r="G6" s="6">
        <f>[3]Forecasting!D$13</f>
        <v>21453</v>
      </c>
      <c r="H6" s="6">
        <f>[3]Forecasting!E$13</f>
        <v>31160</v>
      </c>
      <c r="I6" s="6">
        <f>[3]Forecasting!F$13</f>
        <v>37739</v>
      </c>
      <c r="J6" s="6">
        <f>[3]Forecasting!G$13</f>
        <v>46906</v>
      </c>
      <c r="L6" s="7"/>
      <c r="M6" s="11">
        <f>[3]Forecasting!L$13</f>
        <v>6381</v>
      </c>
      <c r="N6" s="11">
        <f>[3]Forecasting!M$13</f>
        <v>7451</v>
      </c>
      <c r="O6" s="11">
        <f>[3]Forecasting!N$13</f>
        <v>7612</v>
      </c>
      <c r="P6" s="11">
        <f>[3]Forecasting!O$13</f>
        <v>9716</v>
      </c>
      <c r="Q6" s="11"/>
      <c r="R6" s="11">
        <f>[3]Forecasting!Q$13</f>
        <v>7877</v>
      </c>
      <c r="S6" s="11">
        <f>[3]Forecasting!R$13</f>
        <v>8757</v>
      </c>
      <c r="T6" s="11">
        <f>[3]Forecasting!S$13</f>
        <v>9548</v>
      </c>
      <c r="U6" s="11">
        <f>[3]Forecasting!T$13</f>
        <v>11557</v>
      </c>
      <c r="V6" s="11"/>
      <c r="W6" s="11">
        <f>[3]Forecasting!V$13</f>
        <v>9509</v>
      </c>
      <c r="X6" s="11">
        <f>[3]Forecasting!W$13</f>
        <v>10683</v>
      </c>
      <c r="Y6" s="11">
        <f>[3]Forecasting!X$13</f>
        <v>12060</v>
      </c>
      <c r="Z6" s="11">
        <f>[3]Forecasting!Y$13</f>
        <v>14654</v>
      </c>
      <c r="AA6" s="11"/>
      <c r="AB6" s="11">
        <f>[3]Forecasting!AA$13</f>
        <v>11824</v>
      </c>
      <c r="AC6" s="11">
        <f>[3]Forecasting!AC$13</f>
        <v>12771</v>
      </c>
      <c r="AD6" s="11">
        <f>[3]Forecasting!AD$13</f>
        <v>0</v>
      </c>
      <c r="AE6" s="11">
        <f>[3]Forecasting!AE$13</f>
        <v>0</v>
      </c>
    </row>
    <row r="7" spans="1:31" ht="17" x14ac:dyDescent="0.2">
      <c r="A7" s="5" t="s">
        <v>4</v>
      </c>
      <c r="B7" s="6">
        <f>SUM(B4:B6)</f>
        <v>17079</v>
      </c>
      <c r="C7" s="6">
        <f t="shared" ref="C7:J7" si="1">SUM(C4:C6)</f>
        <v>26885</v>
      </c>
      <c r="D7" s="6">
        <f t="shared" si="1"/>
        <v>135519</v>
      </c>
      <c r="E7" s="6">
        <f t="shared" si="1"/>
        <v>181582</v>
      </c>
      <c r="F7" s="6">
        <f t="shared" si="1"/>
        <v>218551</v>
      </c>
      <c r="G7" s="6">
        <f t="shared" si="1"/>
        <v>252546</v>
      </c>
      <c r="H7" s="6">
        <f t="shared" si="1"/>
        <v>355591</v>
      </c>
      <c r="I7" s="6">
        <f t="shared" si="1"/>
        <v>375854</v>
      </c>
      <c r="J7" s="6">
        <f t="shared" si="1"/>
        <v>416709</v>
      </c>
      <c r="M7" s="6">
        <f t="shared" ref="M7:AE7" si="2">SUM(M4:M6)</f>
        <v>76504</v>
      </c>
      <c r="N7" s="6">
        <f t="shared" si="2"/>
        <v>86475</v>
      </c>
      <c r="O7" s="6">
        <f t="shared" si="2"/>
        <v>89018</v>
      </c>
      <c r="P7" s="6">
        <f t="shared" si="2"/>
        <v>103594</v>
      </c>
      <c r="R7" s="6">
        <f t="shared" si="2"/>
        <v>89536</v>
      </c>
      <c r="S7" s="6">
        <f t="shared" si="2"/>
        <v>93197</v>
      </c>
      <c r="T7" s="6">
        <f t="shared" si="2"/>
        <v>91267</v>
      </c>
      <c r="U7" s="6">
        <f t="shared" si="2"/>
        <v>101853</v>
      </c>
      <c r="W7" s="6">
        <f t="shared" si="2"/>
        <v>92158</v>
      </c>
      <c r="X7" s="6">
        <f t="shared" si="2"/>
        <v>100324</v>
      </c>
      <c r="Y7" s="6">
        <f t="shared" si="2"/>
        <v>105350</v>
      </c>
      <c r="Z7" s="6">
        <f t="shared" si="2"/>
        <v>118877</v>
      </c>
      <c r="AA7" s="8"/>
      <c r="AB7" s="6">
        <f t="shared" si="2"/>
        <v>109118</v>
      </c>
      <c r="AC7" s="6">
        <f t="shared" si="2"/>
        <v>115716</v>
      </c>
      <c r="AD7" s="6">
        <f t="shared" si="2"/>
        <v>0</v>
      </c>
      <c r="AE7" s="6">
        <f t="shared" si="2"/>
        <v>0</v>
      </c>
    </row>
    <row r="8" spans="1:31" ht="17" x14ac:dyDescent="0.2">
      <c r="A8" s="9" t="s">
        <v>23</v>
      </c>
      <c r="B8" s="6"/>
      <c r="C8" s="6"/>
      <c r="D8" s="6"/>
      <c r="E8" s="6"/>
      <c r="F8" s="6"/>
      <c r="G8" s="6"/>
      <c r="H8" s="6"/>
      <c r="I8" s="6"/>
      <c r="J8" s="6"/>
      <c r="W8" s="8"/>
      <c r="X8" s="8"/>
      <c r="Y8" s="8"/>
      <c r="Z8" s="8"/>
      <c r="AA8" s="8"/>
      <c r="AB8" s="8"/>
      <c r="AC8" s="8"/>
      <c r="AD8" s="8"/>
    </row>
    <row r="9" spans="1:31" ht="17" x14ac:dyDescent="0.2">
      <c r="A9" s="4" t="s">
        <v>0</v>
      </c>
      <c r="C9" s="8">
        <f>C4/B4-1</f>
        <v>0.57415539551495987</v>
      </c>
      <c r="D9" s="8">
        <f t="shared" ref="D9:J9" si="3">D4/C4-1</f>
        <v>0.48566114933978044</v>
      </c>
      <c r="E9" s="8">
        <f t="shared" si="3"/>
        <v>0.37732211706975116</v>
      </c>
      <c r="F9" s="8">
        <f t="shared" si="3"/>
        <v>0.26615527239016235</v>
      </c>
      <c r="G9" s="8">
        <f t="shared" si="3"/>
        <v>0.20836982269758098</v>
      </c>
      <c r="H9" s="8">
        <f t="shared" si="3"/>
        <v>0.36551461939669005</v>
      </c>
      <c r="I9" s="8">
        <f t="shared" si="3"/>
        <v>-1.124123409957023E-2</v>
      </c>
      <c r="J9" s="8">
        <f t="shared" si="3"/>
        <v>0.16108481019341436</v>
      </c>
      <c r="N9" s="8">
        <f>N4/M4-1</f>
        <v>0.1234718345846928</v>
      </c>
      <c r="O9" s="8">
        <f t="shared" ref="O9:P9" si="4">O4/N4-1</f>
        <v>-1.0636808957312782E-2</v>
      </c>
      <c r="P9" s="8">
        <f t="shared" si="4"/>
        <v>0.15430046682699117</v>
      </c>
      <c r="R9" s="8">
        <f>R4/P4-1</f>
        <v>-0.17283004994025553</v>
      </c>
      <c r="S9" s="8">
        <f>S4/R4-1</f>
        <v>4.2743906956070887E-2</v>
      </c>
      <c r="T9" s="8">
        <f t="shared" ref="T9:U9" si="5">T4/S4-1</f>
        <v>-3.2502131287297509E-2</v>
      </c>
      <c r="U9" s="8">
        <f t="shared" si="5"/>
        <v>0.14748320299592477</v>
      </c>
      <c r="W9" s="8">
        <f>W4/U4-1</f>
        <v>-0.10088308696486847</v>
      </c>
      <c r="X9" s="8">
        <f>X4/W4-1</f>
        <v>0.1208853777445642</v>
      </c>
      <c r="Y9" s="8">
        <f t="shared" ref="Y9:Z9" si="6">Y4/X4-1</f>
        <v>6.8099561876944659E-2</v>
      </c>
      <c r="Z9" s="8">
        <f t="shared" si="6"/>
        <v>0.15049192997057337</v>
      </c>
      <c r="AB9" s="8">
        <f>AB4/Z4-1</f>
        <v>-7.9341704128558899E-2</v>
      </c>
      <c r="AC9" s="8">
        <f>AC4/AB4-1</f>
        <v>7.559983162621009E-2</v>
      </c>
      <c r="AD9" s="8">
        <f t="shared" ref="AD9:AE9" si="7">AD4/AC4-1</f>
        <v>-1</v>
      </c>
      <c r="AE9" s="8" t="e">
        <f t="shared" si="7"/>
        <v>#DIV/0!</v>
      </c>
    </row>
    <row r="10" spans="1:31" ht="17" x14ac:dyDescent="0.2">
      <c r="A10" s="4" t="s">
        <v>2</v>
      </c>
      <c r="C10" s="8" t="e">
        <f t="shared" ref="C10:J11" si="8">C5/B5-1</f>
        <v>#DIV/0!</v>
      </c>
      <c r="D10" s="8" t="e">
        <f t="shared" si="8"/>
        <v>#DIV/0!</v>
      </c>
      <c r="E10" s="8">
        <f t="shared" si="8"/>
        <v>0.21850445190788581</v>
      </c>
      <c r="F10" s="8">
        <f t="shared" si="8"/>
        <v>0.15756347618516076</v>
      </c>
      <c r="G10" s="8">
        <f t="shared" si="8"/>
        <v>8.9851718331590114E-2</v>
      </c>
      <c r="H10" s="8">
        <f t="shared" si="8"/>
        <v>0.42588685306689178</v>
      </c>
      <c r="I10" s="8">
        <f t="shared" si="8"/>
        <v>7.14855105323704E-2</v>
      </c>
      <c r="J10" s="8">
        <f t="shared" si="8"/>
        <v>5.9615187572670258E-2</v>
      </c>
      <c r="N10" s="8">
        <f t="shared" ref="N10:P11" si="9">N5/M5-1</f>
        <v>0.12890520096678904</v>
      </c>
      <c r="O10" s="8">
        <f t="shared" si="9"/>
        <v>5.3247165173261335E-2</v>
      </c>
      <c r="P10" s="8">
        <f t="shared" si="9"/>
        <v>0.15262563523433093</v>
      </c>
      <c r="R10" s="8">
        <f t="shared" ref="R10:R11" si="10">R5/P5-1</f>
        <v>-0.1074152092620716</v>
      </c>
      <c r="S10" s="8">
        <f t="shared" ref="S10:U10" si="11">S5/R5-1</f>
        <v>2.9765280547373818E-2</v>
      </c>
      <c r="T10" s="8">
        <f t="shared" si="11"/>
        <v>-3.2084991472427493E-2</v>
      </c>
      <c r="U10" s="8">
        <f t="shared" si="11"/>
        <v>8.3697367938034617E-2</v>
      </c>
      <c r="W10" s="8">
        <f t="shared" ref="W10:W11" si="12">W5/U5-1</f>
        <v>-7.6115307747027572E-2</v>
      </c>
      <c r="X10" s="8">
        <f t="shared" ref="X10:Z10" si="13">X5/W5-1</f>
        <v>6.590525775463818E-2</v>
      </c>
      <c r="Y10" s="8">
        <f t="shared" si="13"/>
        <v>2.5867258311404573E-2</v>
      </c>
      <c r="Z10" s="8">
        <f t="shared" si="13"/>
        <v>9.8412325850419924E-2</v>
      </c>
      <c r="AB10" s="8">
        <f t="shared" ref="AB10" si="14">AB5/Z5-1</f>
        <v>-5.8885480104400423E-2</v>
      </c>
      <c r="AC10" s="8">
        <f t="shared" ref="AC10:AE10" si="15">AC5/AB5-1</f>
        <v>4.7957313611962649E-2</v>
      </c>
      <c r="AD10" s="8">
        <f t="shared" si="15"/>
        <v>-1</v>
      </c>
      <c r="AE10" s="8" t="e">
        <f t="shared" si="15"/>
        <v>#DIV/0!</v>
      </c>
    </row>
    <row r="11" spans="1:31" ht="17" x14ac:dyDescent="0.2">
      <c r="A11" s="4" t="s">
        <v>3</v>
      </c>
      <c r="C11" s="8" t="e">
        <f t="shared" si="8"/>
        <v>#DIV/0!</v>
      </c>
      <c r="D11" s="8" t="e">
        <f t="shared" si="8"/>
        <v>#DIV/0!</v>
      </c>
      <c r="E11" s="8" t="e">
        <f t="shared" si="8"/>
        <v>#DIV/0!</v>
      </c>
      <c r="F11" s="8">
        <f t="shared" si="8"/>
        <v>0.39345073209339132</v>
      </c>
      <c r="G11" s="8">
        <f t="shared" si="8"/>
        <v>0.5231096911608093</v>
      </c>
      <c r="H11" s="8">
        <f t="shared" si="8"/>
        <v>0.4524775089731039</v>
      </c>
      <c r="I11" s="8">
        <f t="shared" si="8"/>
        <v>0.21113607188703476</v>
      </c>
      <c r="J11" s="8">
        <f t="shared" si="8"/>
        <v>0.24290521741434601</v>
      </c>
      <c r="N11" s="8">
        <f t="shared" si="9"/>
        <v>0.16768531578122547</v>
      </c>
      <c r="O11" s="8">
        <f t="shared" si="9"/>
        <v>2.1607837874110913E-2</v>
      </c>
      <c r="P11" s="8">
        <f t="shared" si="9"/>
        <v>0.2764056752496058</v>
      </c>
      <c r="R11" s="8">
        <f t="shared" si="10"/>
        <v>-0.18927542198435565</v>
      </c>
      <c r="S11" s="8">
        <f t="shared" ref="S11:U11" si="16">S6/R6-1</f>
        <v>0.11171765900723618</v>
      </c>
      <c r="T11" s="8">
        <f t="shared" si="16"/>
        <v>9.0327737809752229E-2</v>
      </c>
      <c r="U11" s="8">
        <f t="shared" si="16"/>
        <v>0.21041055718475077</v>
      </c>
      <c r="W11" s="8">
        <f t="shared" si="12"/>
        <v>-0.17720861815350009</v>
      </c>
      <c r="X11" s="8">
        <f t="shared" ref="X11:Z11" si="17">X6/W6-1</f>
        <v>0.12346198338416237</v>
      </c>
      <c r="Y11" s="8">
        <f t="shared" si="17"/>
        <v>0.12889637742207238</v>
      </c>
      <c r="Z11" s="8">
        <f t="shared" si="17"/>
        <v>0.2150912106135987</v>
      </c>
      <c r="AB11" s="8">
        <f>AB6/Z6-1</f>
        <v>-0.19312133205950599</v>
      </c>
      <c r="AC11" s="8">
        <f t="shared" ref="AC11:AE11" si="18">AC6/AB6-1</f>
        <v>8.0091339648173276E-2</v>
      </c>
      <c r="AD11" s="8">
        <f t="shared" si="18"/>
        <v>-1</v>
      </c>
      <c r="AE11" s="8" t="e">
        <f t="shared" si="18"/>
        <v>#DIV/0!</v>
      </c>
    </row>
    <row r="12" spans="1:31" ht="17" x14ac:dyDescent="0.2">
      <c r="A12" s="9" t="s">
        <v>24</v>
      </c>
      <c r="B12" s="6"/>
      <c r="C12" s="6"/>
      <c r="D12" s="6"/>
      <c r="E12" s="6"/>
      <c r="F12" s="6"/>
      <c r="G12" s="6"/>
      <c r="H12" s="6"/>
      <c r="I12" s="6"/>
      <c r="J12" s="6"/>
    </row>
    <row r="13" spans="1:31" ht="17" x14ac:dyDescent="0.2">
      <c r="A13" s="4" t="s">
        <v>0</v>
      </c>
      <c r="C13" s="8"/>
      <c r="D13" s="8"/>
      <c r="E13" s="8"/>
      <c r="F13" s="8"/>
      <c r="G13" s="8"/>
      <c r="H13" s="8"/>
      <c r="I13" s="8"/>
      <c r="J13" s="8"/>
      <c r="R13" s="12">
        <f>R4/M4-1</f>
        <v>6.1283855497464623E-2</v>
      </c>
      <c r="S13" s="12">
        <f t="shared" ref="S13:U16" si="19">S4/N4-1</f>
        <v>-1.4975507347795625E-2</v>
      </c>
      <c r="T13" s="12">
        <f t="shared" si="19"/>
        <v>-3.674494270759654E-2</v>
      </c>
      <c r="U13" s="12">
        <f t="shared" si="19"/>
        <v>-4.2433898097368195E-2</v>
      </c>
      <c r="W13" s="12">
        <f>W4/R4-1</f>
        <v>4.0854878139121364E-2</v>
      </c>
      <c r="X13" s="12">
        <f t="shared" ref="X13:X16" si="20">X4/S4-1</f>
        <v>0.11885478829212848</v>
      </c>
      <c r="Y13" s="12">
        <f t="shared" ref="Y13:Y16" si="21">Y4/T4-1</f>
        <v>0.23519477181774784</v>
      </c>
      <c r="Z13" s="12">
        <f t="shared" ref="Z13:Z16" si="22">Z4/U4-1</f>
        <v>0.23843348051449409</v>
      </c>
      <c r="AB13" s="12">
        <f>AB4/W4-1</f>
        <v>0.26810433792391719</v>
      </c>
      <c r="AC13" s="12">
        <f t="shared" ref="AC13:AC16" si="23">AC4/X4-1</f>
        <v>0.21687091243888501</v>
      </c>
      <c r="AD13" s="12">
        <f t="shared" ref="AD13:AD16" si="24">AD4/Y4-1</f>
        <v>-1</v>
      </c>
      <c r="AE13" s="12">
        <f t="shared" ref="AE13:AE16" si="25">AE4/Z4-1</f>
        <v>-1</v>
      </c>
    </row>
    <row r="14" spans="1:31" ht="17" x14ac:dyDescent="0.2">
      <c r="A14" s="4" t="s">
        <v>2</v>
      </c>
      <c r="C14" s="8"/>
      <c r="D14" s="8"/>
      <c r="E14" s="8"/>
      <c r="F14" s="8"/>
      <c r="G14" s="8"/>
      <c r="H14" s="8"/>
      <c r="I14" s="8"/>
      <c r="J14" s="8"/>
      <c r="R14" s="12">
        <f t="shared" ref="R14:R16" si="26">R5/M5-1</f>
        <v>0.22327902604959271</v>
      </c>
      <c r="S14" s="12">
        <f t="shared" si="19"/>
        <v>0.11585124098009669</v>
      </c>
      <c r="T14" s="12">
        <f t="shared" si="19"/>
        <v>2.5447016751364515E-2</v>
      </c>
      <c r="U14" s="12">
        <f t="shared" si="19"/>
        <v>-3.5875830761442851E-2</v>
      </c>
      <c r="W14" s="12">
        <f t="shared" ref="W14:W16" si="27">W5/R5-1</f>
        <v>-2.0672874627247761E-3</v>
      </c>
      <c r="X14" s="12">
        <f t="shared" si="20"/>
        <v>3.2955514496873173E-2</v>
      </c>
      <c r="Y14" s="12">
        <f t="shared" si="21"/>
        <v>9.4801952938585288E-2</v>
      </c>
      <c r="Z14" s="12">
        <f t="shared" si="22"/>
        <v>0.10966769418380129</v>
      </c>
      <c r="AB14" s="12">
        <f t="shared" ref="AB14:AB16" si="28">AB5/W5-1</f>
        <v>0.13036224976167787</v>
      </c>
      <c r="AC14" s="12">
        <f t="shared" si="23"/>
        <v>0.11132896479369836</v>
      </c>
      <c r="AD14" s="12">
        <f t="shared" si="24"/>
        <v>-1</v>
      </c>
      <c r="AE14" s="12">
        <f t="shared" si="25"/>
        <v>-1</v>
      </c>
    </row>
    <row r="15" spans="1:31" ht="17" x14ac:dyDescent="0.2">
      <c r="A15" s="4" t="s">
        <v>3</v>
      </c>
      <c r="C15" s="8"/>
      <c r="D15" s="8"/>
      <c r="E15" s="8"/>
      <c r="F15" s="8"/>
      <c r="G15" s="8"/>
      <c r="H15" s="8"/>
      <c r="I15" s="8"/>
      <c r="J15" s="8"/>
      <c r="R15" s="12">
        <f t="shared" si="26"/>
        <v>0.23444601159692846</v>
      </c>
      <c r="S15" s="12">
        <f t="shared" si="19"/>
        <v>0.17527848610924712</v>
      </c>
      <c r="T15" s="12">
        <f t="shared" si="19"/>
        <v>0.25433526011560703</v>
      </c>
      <c r="U15" s="12">
        <f t="shared" si="19"/>
        <v>0.18948126801152743</v>
      </c>
      <c r="W15" s="12">
        <f t="shared" si="27"/>
        <v>0.20718547670432907</v>
      </c>
      <c r="X15" s="12">
        <f t="shared" si="20"/>
        <v>0.21993833504624871</v>
      </c>
      <c r="Y15" s="12">
        <f t="shared" si="21"/>
        <v>0.26309174696271476</v>
      </c>
      <c r="Z15" s="12">
        <f t="shared" si="22"/>
        <v>0.26797611836981905</v>
      </c>
      <c r="AB15" s="12">
        <f t="shared" si="28"/>
        <v>0.24345357030181924</v>
      </c>
      <c r="AC15" s="12">
        <f t="shared" si="23"/>
        <v>0.19545071609098574</v>
      </c>
      <c r="AD15" s="12">
        <f t="shared" si="24"/>
        <v>-1</v>
      </c>
      <c r="AE15" s="12">
        <f t="shared" si="25"/>
        <v>-1</v>
      </c>
    </row>
    <row r="16" spans="1:31" x14ac:dyDescent="0.2">
      <c r="R16" s="12">
        <f t="shared" si="26"/>
        <v>0.17034403429886025</v>
      </c>
      <c r="S16" s="12">
        <f t="shared" si="19"/>
        <v>7.7733448973691832E-2</v>
      </c>
      <c r="T16" s="12">
        <f t="shared" si="19"/>
        <v>2.5264553236424181E-2</v>
      </c>
      <c r="U16" s="12">
        <f t="shared" si="19"/>
        <v>-1.6805992625055555E-2</v>
      </c>
      <c r="W16" s="12">
        <f t="shared" si="27"/>
        <v>2.9284310221586951E-2</v>
      </c>
      <c r="X16" s="12">
        <f t="shared" si="20"/>
        <v>7.6472418640084916E-2</v>
      </c>
      <c r="Y16" s="12">
        <f t="shared" si="21"/>
        <v>0.1543054992494548</v>
      </c>
      <c r="Z16" s="12">
        <f t="shared" si="22"/>
        <v>0.1671428431170412</v>
      </c>
      <c r="AB16" s="12">
        <f t="shared" si="28"/>
        <v>0.18403177152281947</v>
      </c>
      <c r="AC16" s="12">
        <f t="shared" si="23"/>
        <v>0.15342290977233763</v>
      </c>
      <c r="AD16" s="12">
        <f t="shared" si="24"/>
        <v>-1</v>
      </c>
      <c r="AE16" s="12">
        <f t="shared" si="25"/>
        <v>-1</v>
      </c>
    </row>
    <row r="17" spans="1:31" ht="17" x14ac:dyDescent="0.2">
      <c r="A17" s="3" t="s">
        <v>5</v>
      </c>
    </row>
    <row r="18" spans="1:31" ht="17" x14ac:dyDescent="0.2">
      <c r="A18" s="4" t="s">
        <v>0</v>
      </c>
      <c r="B18" s="7">
        <f>B4/B$7</f>
        <v>1</v>
      </c>
      <c r="C18" s="7">
        <f t="shared" ref="C18:J18" si="29">C4/C$7</f>
        <v>1</v>
      </c>
      <c r="D18" s="7">
        <f t="shared" si="29"/>
        <v>0.29473357979323933</v>
      </c>
      <c r="E18" s="7">
        <f t="shared" si="29"/>
        <v>0.30296505160203102</v>
      </c>
      <c r="F18" s="7">
        <f t="shared" si="29"/>
        <v>0.31871279472525865</v>
      </c>
      <c r="G18" s="7">
        <f t="shared" si="29"/>
        <v>0.33328185756258266</v>
      </c>
      <c r="H18" s="7">
        <f t="shared" si="29"/>
        <v>0.32321965404073782</v>
      </c>
      <c r="I18" s="7">
        <f t="shared" si="29"/>
        <v>0.30235676619112739</v>
      </c>
      <c r="J18" s="7">
        <f t="shared" si="29"/>
        <v>0.31664302906824665</v>
      </c>
      <c r="M18" s="7">
        <f>M4/M$7</f>
        <v>0.33251856112098716</v>
      </c>
      <c r="N18" s="7">
        <f t="shared" ref="N18:P18" si="30">N4/N$7</f>
        <v>0.33050014455044813</v>
      </c>
      <c r="O18" s="7">
        <f t="shared" si="30"/>
        <v>0.31764362263811813</v>
      </c>
      <c r="P18" s="7">
        <f t="shared" si="30"/>
        <v>0.31506650964341565</v>
      </c>
      <c r="R18" s="7">
        <f>R4/R$7</f>
        <v>0.30153234453180844</v>
      </c>
      <c r="S18" s="7">
        <f t="shared" ref="S18:U18" si="31">S4/S$7</f>
        <v>0.30206980911402725</v>
      </c>
      <c r="T18" s="7">
        <f t="shared" si="31"/>
        <v>0.29843207292887902</v>
      </c>
      <c r="U18" s="7">
        <f t="shared" si="31"/>
        <v>0.30685399546405112</v>
      </c>
      <c r="W18" s="7">
        <f>W4/W$7</f>
        <v>0.30492198181384145</v>
      </c>
      <c r="X18" s="7">
        <f t="shared" ref="X18:Z18" si="32">X4/X$7</f>
        <v>0.31396276065547624</v>
      </c>
      <c r="Y18" s="7">
        <f t="shared" si="32"/>
        <v>0.31934504034171807</v>
      </c>
      <c r="Z18" s="7">
        <f t="shared" si="32"/>
        <v>0.325597045685877</v>
      </c>
      <c r="AB18" s="7">
        <f>AB4/AB$7</f>
        <v>0.32657306768819078</v>
      </c>
      <c r="AC18" s="7">
        <f t="shared" ref="AC18:AE18" si="33">AC4/AC$7</f>
        <v>0.33123336444398355</v>
      </c>
      <c r="AD18" s="7" t="e">
        <f t="shared" si="33"/>
        <v>#DIV/0!</v>
      </c>
      <c r="AE18" s="7" t="e">
        <f t="shared" si="33"/>
        <v>#DIV/0!</v>
      </c>
    </row>
    <row r="19" spans="1:31" ht="17" x14ac:dyDescent="0.2">
      <c r="A19" s="4" t="s">
        <v>2</v>
      </c>
      <c r="B19" s="7">
        <f t="shared" ref="B19:J20" si="34">B5/B$7</f>
        <v>0</v>
      </c>
      <c r="C19" s="7">
        <f t="shared" si="34"/>
        <v>0</v>
      </c>
      <c r="D19" s="7">
        <f t="shared" si="34"/>
        <v>0.70526642020676067</v>
      </c>
      <c r="E19" s="7">
        <f t="shared" si="34"/>
        <v>0.64136863786058085</v>
      </c>
      <c r="F19" s="7">
        <f t="shared" si="34"/>
        <v>0.61684000530768557</v>
      </c>
      <c r="G19" s="7">
        <f t="shared" si="34"/>
        <v>0.581771241674784</v>
      </c>
      <c r="H19" s="7">
        <f t="shared" si="34"/>
        <v>0.58915158145172408</v>
      </c>
      <c r="I19" s="7">
        <f t="shared" si="34"/>
        <v>0.59723456448514578</v>
      </c>
      <c r="J19" s="7">
        <f t="shared" si="34"/>
        <v>0.57079400732885544</v>
      </c>
      <c r="M19" s="7">
        <f t="shared" ref="M19:P19" si="35">M5/M$7</f>
        <v>0.58407403534455715</v>
      </c>
      <c r="N19" s="7">
        <f t="shared" si="35"/>
        <v>0.58333622434229548</v>
      </c>
      <c r="O19" s="7">
        <f t="shared" si="35"/>
        <v>0.59684558179244651</v>
      </c>
      <c r="P19" s="7">
        <f t="shared" si="35"/>
        <v>0.5911442747649478</v>
      </c>
      <c r="R19" s="7">
        <f t="shared" ref="R19:U19" si="36">R5/R$7</f>
        <v>0.61049186919228016</v>
      </c>
      <c r="S19" s="7">
        <f t="shared" si="36"/>
        <v>0.60396793888215283</v>
      </c>
      <c r="T19" s="7">
        <f t="shared" si="36"/>
        <v>0.59695180076040633</v>
      </c>
      <c r="U19" s="7">
        <f t="shared" si="36"/>
        <v>0.57967855635081933</v>
      </c>
      <c r="W19" s="7">
        <f t="shared" ref="W19:Z19" si="37">W5/W$7</f>
        <v>0.59189652553223815</v>
      </c>
      <c r="X19" s="7">
        <f t="shared" si="37"/>
        <v>0.579552250707707</v>
      </c>
      <c r="Y19" s="7">
        <f t="shared" si="37"/>
        <v>0.56617940199335548</v>
      </c>
      <c r="Z19" s="7">
        <f t="shared" si="37"/>
        <v>0.55113268336179411</v>
      </c>
      <c r="AB19" s="7">
        <f t="shared" ref="AB19:AE19" si="38">AB5/AB$7</f>
        <v>0.5650671749848788</v>
      </c>
      <c r="AC19" s="7">
        <f t="shared" si="38"/>
        <v>0.55840160392685545</v>
      </c>
      <c r="AD19" s="7" t="e">
        <f t="shared" si="38"/>
        <v>#DIV/0!</v>
      </c>
      <c r="AE19" s="7" t="e">
        <f t="shared" si="38"/>
        <v>#DIV/0!</v>
      </c>
    </row>
    <row r="20" spans="1:31" ht="17" x14ac:dyDescent="0.2">
      <c r="A20" s="4" t="s">
        <v>3</v>
      </c>
      <c r="B20" s="7">
        <f t="shared" si="34"/>
        <v>0</v>
      </c>
      <c r="C20" s="7">
        <f t="shared" si="34"/>
        <v>0</v>
      </c>
      <c r="D20" s="7">
        <f t="shared" si="34"/>
        <v>0</v>
      </c>
      <c r="E20" s="7">
        <f t="shared" si="34"/>
        <v>5.5666310537388068E-2</v>
      </c>
      <c r="F20" s="7">
        <f t="shared" si="34"/>
        <v>6.4447199967055738E-2</v>
      </c>
      <c r="G20" s="7">
        <f t="shared" si="34"/>
        <v>8.4946900762633337E-2</v>
      </c>
      <c r="H20" s="7">
        <f t="shared" si="34"/>
        <v>8.7628764507538148E-2</v>
      </c>
      <c r="I20" s="7">
        <f t="shared" si="34"/>
        <v>0.10040866932372676</v>
      </c>
      <c r="J20" s="7">
        <f t="shared" si="34"/>
        <v>0.11256296360289794</v>
      </c>
      <c r="M20" s="7">
        <f t="shared" ref="M20:O20" si="39">M6/M$7</f>
        <v>8.3407403534455721E-2</v>
      </c>
      <c r="N20" s="7">
        <f t="shared" si="39"/>
        <v>8.616363110725643E-2</v>
      </c>
      <c r="O20" s="7">
        <f t="shared" si="39"/>
        <v>8.5510795569435388E-2</v>
      </c>
      <c r="P20" s="7">
        <f>P6/P$7</f>
        <v>9.3789215591636582E-2</v>
      </c>
      <c r="R20" s="7">
        <f t="shared" ref="R20:T20" si="40">R6/R$7</f>
        <v>8.7975786275911363E-2</v>
      </c>
      <c r="S20" s="7">
        <f t="shared" si="40"/>
        <v>9.3962252003819871E-2</v>
      </c>
      <c r="T20" s="7">
        <f t="shared" si="40"/>
        <v>0.10461612631071472</v>
      </c>
      <c r="U20" s="7">
        <f>U6/U$7</f>
        <v>0.11346744818512955</v>
      </c>
      <c r="W20" s="7">
        <f t="shared" ref="W20:Y20" si="41">W6/W$7</f>
        <v>0.10318149265392045</v>
      </c>
      <c r="X20" s="7">
        <f t="shared" si="41"/>
        <v>0.10648498863681671</v>
      </c>
      <c r="Y20" s="7">
        <f t="shared" si="41"/>
        <v>0.11447555766492644</v>
      </c>
      <c r="Z20" s="7">
        <f>Z6/Z$7</f>
        <v>0.12327027095232888</v>
      </c>
      <c r="AB20" s="7">
        <f t="shared" ref="AB20:AD20" si="42">AB6/AB$7</f>
        <v>0.10835975732693048</v>
      </c>
      <c r="AC20" s="7">
        <f t="shared" si="42"/>
        <v>0.11036503162916105</v>
      </c>
      <c r="AD20" s="7" t="e">
        <f t="shared" si="42"/>
        <v>#DIV/0!</v>
      </c>
      <c r="AE20" s="7" t="e">
        <f>AE6/AE$7</f>
        <v>#DIV/0!</v>
      </c>
    </row>
  </sheetData>
  <mergeCells count="2">
    <mergeCell ref="L2:T2"/>
    <mergeCell ref="V2:AD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EECE-B0F5-CB44-AB0B-B02F2FABDA1E}">
  <dimension ref="A1:AE19"/>
  <sheetViews>
    <sheetView topLeftCell="A3" workbookViewId="0">
      <selection activeCell="B22" sqref="B22"/>
    </sheetView>
  </sheetViews>
  <sheetFormatPr baseColWidth="10" defaultRowHeight="16" x14ac:dyDescent="0.2"/>
  <cols>
    <col min="1" max="1" width="12.33203125" customWidth="1"/>
    <col min="2" max="3" width="7.33203125" bestFit="1" customWidth="1"/>
    <col min="4" max="4" width="8" bestFit="1" customWidth="1"/>
    <col min="5" max="6" width="9" bestFit="1" customWidth="1"/>
    <col min="7" max="10" width="10" bestFit="1" customWidth="1"/>
    <col min="11" max="11" width="12.5" bestFit="1" customWidth="1"/>
    <col min="13" max="16" width="9" bestFit="1" customWidth="1"/>
    <col min="18" max="21" width="9" bestFit="1" customWidth="1"/>
    <col min="23" max="26" width="9" bestFit="1" customWidth="1"/>
    <col min="28" max="29" width="9" bestFit="1" customWidth="1"/>
    <col min="30" max="31" width="9.1640625" bestFit="1" customWidth="1"/>
  </cols>
  <sheetData>
    <row r="1" spans="1:31" ht="51" x14ac:dyDescent="0.2">
      <c r="A1" s="3" t="s">
        <v>25</v>
      </c>
      <c r="B1" s="1">
        <v>2015</v>
      </c>
      <c r="C1" s="1">
        <f>B1+1</f>
        <v>2016</v>
      </c>
      <c r="D1" s="1">
        <f t="shared" ref="D1:J1" si="0">C1+1</f>
        <v>2017</v>
      </c>
      <c r="E1" s="1">
        <f t="shared" si="0"/>
        <v>2018</v>
      </c>
      <c r="F1" s="1">
        <f t="shared" si="0"/>
        <v>2019</v>
      </c>
      <c r="G1" s="1">
        <f t="shared" si="0"/>
        <v>2020</v>
      </c>
      <c r="H1" s="1">
        <f t="shared" si="0"/>
        <v>2021</v>
      </c>
      <c r="I1" s="1">
        <f t="shared" si="0"/>
        <v>2022</v>
      </c>
      <c r="J1" s="1">
        <f t="shared" si="0"/>
        <v>2023</v>
      </c>
      <c r="K1" s="1" t="s">
        <v>6</v>
      </c>
      <c r="L1" s="1"/>
      <c r="M1" s="1" t="s">
        <v>7</v>
      </c>
      <c r="N1" s="1" t="s">
        <v>8</v>
      </c>
      <c r="O1" s="1" t="s">
        <v>9</v>
      </c>
      <c r="P1" s="1" t="s">
        <v>10</v>
      </c>
      <c r="Q1" s="1"/>
      <c r="R1" s="1" t="s">
        <v>11</v>
      </c>
      <c r="S1" s="1" t="s">
        <v>12</v>
      </c>
      <c r="T1" s="1" t="s">
        <v>13</v>
      </c>
      <c r="U1" s="1" t="s">
        <v>14</v>
      </c>
      <c r="V1" s="1"/>
      <c r="W1" s="1" t="s">
        <v>15</v>
      </c>
      <c r="X1" s="1" t="s">
        <v>16</v>
      </c>
      <c r="Y1" s="1" t="s">
        <v>17</v>
      </c>
      <c r="Z1" s="1" t="s">
        <v>18</v>
      </c>
      <c r="AA1" s="1"/>
      <c r="AB1" s="1" t="s">
        <v>19</v>
      </c>
      <c r="AC1" s="1" t="s">
        <v>20</v>
      </c>
      <c r="AD1" s="1" t="s">
        <v>21</v>
      </c>
      <c r="AE1" s="1" t="s">
        <v>22</v>
      </c>
    </row>
    <row r="2" spans="1:31" x14ac:dyDescent="0.2">
      <c r="A2" s="3"/>
      <c r="B2" s="1"/>
      <c r="C2" s="1"/>
      <c r="D2" s="1"/>
      <c r="E2" s="1"/>
      <c r="F2" s="1"/>
      <c r="G2" s="1"/>
      <c r="H2" s="1"/>
      <c r="I2" s="1"/>
      <c r="J2" s="1"/>
      <c r="L2" s="81"/>
      <c r="M2" s="81"/>
      <c r="N2" s="81"/>
      <c r="O2" s="81"/>
      <c r="P2" s="81"/>
      <c r="Q2" s="81"/>
      <c r="R2" s="81"/>
      <c r="S2" s="81"/>
      <c r="T2" s="81"/>
      <c r="V2" s="81"/>
      <c r="W2" s="81"/>
      <c r="X2" s="81"/>
      <c r="Y2" s="81"/>
      <c r="Z2" s="81"/>
      <c r="AA2" s="81"/>
      <c r="AB2" s="81"/>
      <c r="AC2" s="81"/>
      <c r="AD2" s="81"/>
    </row>
    <row r="3" spans="1:31" ht="34" x14ac:dyDescent="0.2">
      <c r="A3" s="13" t="s">
        <v>26</v>
      </c>
      <c r="B3" s="14"/>
      <c r="C3" s="14"/>
      <c r="D3" s="14"/>
      <c r="E3" s="14">
        <v>32219</v>
      </c>
      <c r="F3" s="14">
        <v>38985</v>
      </c>
      <c r="G3" s="14">
        <v>48366</v>
      </c>
      <c r="H3" s="14">
        <v>60080</v>
      </c>
      <c r="I3" s="14">
        <v>75251</v>
      </c>
      <c r="J3" s="14">
        <v>87907</v>
      </c>
      <c r="K3" s="6">
        <v>105362</v>
      </c>
    </row>
    <row r="4" spans="1:31" ht="17" x14ac:dyDescent="0.2">
      <c r="A4" s="4" t="s">
        <v>2</v>
      </c>
      <c r="B4" s="6"/>
      <c r="C4" s="6"/>
      <c r="D4" s="6">
        <f>'[2]Valuation &amp; Forecasting'!B$11</f>
        <v>4056</v>
      </c>
      <c r="E4" s="6">
        <f>'[2]Valuation &amp; Forecasting'!C$11</f>
        <v>5838</v>
      </c>
      <c r="F4" s="6">
        <f>'[2]Valuation &amp; Forecasting'!D$11</f>
        <v>8918</v>
      </c>
      <c r="G4" s="6">
        <f>'[2]Valuation &amp; Forecasting'!E$11</f>
        <v>13059</v>
      </c>
      <c r="H4" s="6">
        <f>'[2]Valuation &amp; Forecasting'!F$11</f>
        <v>19206</v>
      </c>
      <c r="I4" s="6">
        <f>'[2]Valuation &amp; Forecasting'!G$11</f>
        <v>26280</v>
      </c>
      <c r="J4" s="6">
        <f>'[2]Valuation &amp; Forecasting'!H$11</f>
        <v>33088</v>
      </c>
      <c r="K4" s="15">
        <v>43306</v>
      </c>
      <c r="L4" s="7"/>
      <c r="M4" s="10">
        <f>'[2]Valuation &amp; Forecasting'!K$11</f>
        <v>4047</v>
      </c>
      <c r="N4" s="10">
        <f>'[2]Valuation &amp; Forecasting'!L$11</f>
        <v>4628</v>
      </c>
      <c r="O4" s="10">
        <f>'[2]Valuation &amp; Forecasting'!M$11</f>
        <v>4990</v>
      </c>
      <c r="P4" s="10">
        <f>'[2]Valuation &amp; Forecasting'!N$11</f>
        <v>5541</v>
      </c>
      <c r="R4" s="10">
        <f>'[2]Valuation &amp; Forecasting'!P$11</f>
        <v>5821</v>
      </c>
      <c r="S4" s="10">
        <f>'[2]Valuation &amp; Forecasting'!Q$11</f>
        <v>6276</v>
      </c>
      <c r="T4" s="10">
        <f>'[2]Valuation &amp; Forecasting'!R$11</f>
        <v>6868</v>
      </c>
      <c r="U4" s="10">
        <f>'[2]Valuation &amp; Forecasting'!S$11</f>
        <v>7315</v>
      </c>
      <c r="W4" s="10">
        <f>'[2]Valuation &amp; Forecasting'!U$11</f>
        <v>7454</v>
      </c>
      <c r="X4" s="10">
        <f>'[2]Valuation &amp; Forecasting'!V$11</f>
        <v>8031</v>
      </c>
      <c r="Y4" s="10">
        <f>'[2]Valuation &amp; Forecasting'!W$11</f>
        <v>8411</v>
      </c>
      <c r="Z4" s="10">
        <f>'[2]Valuation &amp; Forecasting'!X$11</f>
        <v>9192</v>
      </c>
      <c r="AB4" s="10">
        <f>'[2]Valuation &amp; Forecasting'!Z$11</f>
        <v>9574</v>
      </c>
      <c r="AC4" s="10">
        <f>'[2]Valuation &amp; Forecasting'!AA$11</f>
        <v>10347</v>
      </c>
      <c r="AD4" s="10">
        <f>'[2]Valuation &amp; Forecasting'!AB$11</f>
        <v>0</v>
      </c>
      <c r="AE4" s="10">
        <f>'[2]Valuation &amp; Forecasting'!AC$11</f>
        <v>0</v>
      </c>
    </row>
    <row r="5" spans="1:31" ht="17" x14ac:dyDescent="0.2">
      <c r="A5" s="4" t="s">
        <v>3</v>
      </c>
      <c r="B5" s="6"/>
      <c r="C5" s="6"/>
      <c r="D5" s="6"/>
      <c r="E5" s="6">
        <f>[3]Forecasting!B$15</f>
        <v>25655</v>
      </c>
      <c r="F5" s="6">
        <f>[3]Forecasting!C$15</f>
        <v>35026</v>
      </c>
      <c r="G5" s="6">
        <f>[3]Forecasting!D$15</f>
        <v>45370</v>
      </c>
      <c r="H5" s="6">
        <f>[3]Forecasting!E$15</f>
        <v>62202</v>
      </c>
      <c r="I5" s="6">
        <f>[3]Forecasting!F$15</f>
        <v>80096</v>
      </c>
      <c r="J5" s="6">
        <f>[3]Forecasting!G$15</f>
        <v>90757</v>
      </c>
      <c r="K5" s="15">
        <v>109123</v>
      </c>
      <c r="L5" s="7"/>
      <c r="M5" s="11">
        <f>[3]Forecasting!L$15</f>
        <v>13503</v>
      </c>
      <c r="N5" s="11">
        <f>[3]Forecasting!M$15</f>
        <v>14809</v>
      </c>
      <c r="O5" s="11">
        <f>[3]Forecasting!N$15</f>
        <v>16110</v>
      </c>
      <c r="P5" s="11">
        <f>[3]Forecasting!O$15</f>
        <v>17780</v>
      </c>
      <c r="R5" s="11">
        <f>[3]Forecasting!Q$15</f>
        <v>18441</v>
      </c>
      <c r="S5" s="11">
        <f>[3]Forecasting!R$15</f>
        <v>19739</v>
      </c>
      <c r="T5" s="11">
        <f>[3]Forecasting!S$15</f>
        <v>20538</v>
      </c>
      <c r="U5" s="11">
        <f>[3]Forecasting!T$15</f>
        <v>21378</v>
      </c>
      <c r="W5" s="11">
        <f>[3]Forecasting!V$15</f>
        <v>21354</v>
      </c>
      <c r="X5" s="11">
        <f>[3]Forecasting!W$15</f>
        <v>22140</v>
      </c>
      <c r="Y5" s="11">
        <f>[3]Forecasting!X$15</f>
        <v>23059</v>
      </c>
      <c r="Z5" s="11">
        <f>[3]Forecasting!Y$15</f>
        <v>24204</v>
      </c>
      <c r="AB5" s="11">
        <f>[3]Forecasting!AA$15</f>
        <v>25037</v>
      </c>
      <c r="AC5" s="11">
        <f>[3]Forecasting!AC$15</f>
        <v>26281</v>
      </c>
      <c r="AD5" s="11">
        <f>[3]Forecasting!AD$15</f>
        <v>0</v>
      </c>
      <c r="AE5" s="11">
        <f>[3]Forecasting!AE$15</f>
        <v>0</v>
      </c>
    </row>
    <row r="6" spans="1:31" ht="17" x14ac:dyDescent="0.2">
      <c r="A6" s="5" t="s">
        <v>4</v>
      </c>
      <c r="B6" s="6">
        <f t="shared" ref="B6:I6" si="1">SUM(B3:B5)</f>
        <v>0</v>
      </c>
      <c r="C6" s="6">
        <f t="shared" si="1"/>
        <v>0</v>
      </c>
      <c r="D6" s="6">
        <f t="shared" si="1"/>
        <v>4056</v>
      </c>
      <c r="E6" s="6">
        <f t="shared" si="1"/>
        <v>63712</v>
      </c>
      <c r="F6" s="6">
        <f t="shared" si="1"/>
        <v>82929</v>
      </c>
      <c r="G6" s="6">
        <f t="shared" si="1"/>
        <v>106795</v>
      </c>
      <c r="H6" s="6">
        <f t="shared" si="1"/>
        <v>141488</v>
      </c>
      <c r="I6" s="6">
        <f t="shared" si="1"/>
        <v>181627</v>
      </c>
      <c r="J6" s="6">
        <f>SUM(J3:J5)</f>
        <v>211752</v>
      </c>
      <c r="K6" s="6">
        <f>SUM(K3:K5)</f>
        <v>257791</v>
      </c>
      <c r="M6" s="6">
        <f>SUM(M4:M5)</f>
        <v>17550</v>
      </c>
      <c r="N6" s="6">
        <f t="shared" ref="N6:P6" si="2">SUM(N4:N5)</f>
        <v>19437</v>
      </c>
      <c r="O6" s="6">
        <f t="shared" si="2"/>
        <v>21100</v>
      </c>
      <c r="P6" s="6">
        <f t="shared" si="2"/>
        <v>23321</v>
      </c>
      <c r="R6" s="6">
        <f>SUM(R4:R5)</f>
        <v>24262</v>
      </c>
      <c r="S6" s="6">
        <f t="shared" ref="S6" si="3">SUM(S4:S5)</f>
        <v>26015</v>
      </c>
      <c r="T6" s="6">
        <f t="shared" ref="T6" si="4">SUM(T4:T5)</f>
        <v>27406</v>
      </c>
      <c r="U6" s="6">
        <f t="shared" ref="U6" si="5">SUM(U4:U5)</f>
        <v>28693</v>
      </c>
      <c r="W6" s="6">
        <f>SUM(W4:W5)</f>
        <v>28808</v>
      </c>
      <c r="X6" s="6">
        <f t="shared" ref="X6" si="6">SUM(X4:X5)</f>
        <v>30171</v>
      </c>
      <c r="Y6" s="6">
        <f t="shared" ref="Y6" si="7">SUM(Y4:Y5)</f>
        <v>31470</v>
      </c>
      <c r="Z6" s="6">
        <f t="shared" ref="Z6" si="8">SUM(Z4:Z5)</f>
        <v>33396</v>
      </c>
      <c r="AA6" s="8"/>
      <c r="AB6" s="6">
        <f>SUM(AB4:AB5)</f>
        <v>34611</v>
      </c>
      <c r="AC6" s="6">
        <f t="shared" ref="AC6" si="9">SUM(AC4:AC5)</f>
        <v>36628</v>
      </c>
      <c r="AD6" s="6">
        <f t="shared" ref="AD6" si="10">SUM(AD4:AD5)</f>
        <v>0</v>
      </c>
      <c r="AE6" s="6">
        <f t="shared" ref="AE6" si="11">SUM(AE4:AE5)</f>
        <v>0</v>
      </c>
    </row>
    <row r="7" spans="1:31" ht="51" x14ac:dyDescent="0.2">
      <c r="A7" s="9" t="s">
        <v>23</v>
      </c>
      <c r="B7" s="6"/>
      <c r="C7" s="6"/>
      <c r="D7" s="6"/>
      <c r="E7" s="6"/>
      <c r="F7" s="6"/>
      <c r="G7" s="6"/>
      <c r="H7" s="6"/>
      <c r="I7" s="6"/>
      <c r="J7" s="6"/>
      <c r="W7" s="8"/>
      <c r="X7" s="8"/>
      <c r="Y7" s="8"/>
      <c r="Z7" s="8"/>
      <c r="AA7" s="8"/>
      <c r="AB7" s="8"/>
      <c r="AC7" s="8"/>
      <c r="AD7" s="8"/>
    </row>
    <row r="8" spans="1:31" ht="17" x14ac:dyDescent="0.2">
      <c r="A8" s="13" t="s">
        <v>26</v>
      </c>
      <c r="B8" s="6"/>
      <c r="C8" s="8" t="e">
        <f t="shared" ref="C8:J10" si="12">C3/B3-1</f>
        <v>#DIV/0!</v>
      </c>
      <c r="D8" s="8" t="e">
        <f t="shared" si="12"/>
        <v>#DIV/0!</v>
      </c>
      <c r="E8" s="8" t="e">
        <f t="shared" si="12"/>
        <v>#DIV/0!</v>
      </c>
      <c r="F8" s="8">
        <f t="shared" si="12"/>
        <v>0.2100003103758652</v>
      </c>
      <c r="G8" s="8">
        <f t="shared" si="12"/>
        <v>0.24063101192766445</v>
      </c>
      <c r="H8" s="8">
        <f t="shared" si="12"/>
        <v>0.24219493032295425</v>
      </c>
      <c r="I8" s="8">
        <f t="shared" si="12"/>
        <v>0.25251331557922763</v>
      </c>
      <c r="J8" s="8">
        <f t="shared" si="12"/>
        <v>0.16818381151081052</v>
      </c>
      <c r="K8" s="8">
        <f t="shared" ref="K8" si="13">K3/J3-1</f>
        <v>0.19856211678250868</v>
      </c>
      <c r="L8" s="8"/>
      <c r="W8" s="8"/>
      <c r="X8" s="8"/>
      <c r="Y8" s="8"/>
      <c r="Z8" s="8"/>
      <c r="AA8" s="8"/>
      <c r="AB8" s="8"/>
      <c r="AC8" s="8"/>
      <c r="AD8" s="8"/>
    </row>
    <row r="9" spans="1:31" ht="17" x14ac:dyDescent="0.2">
      <c r="A9" s="4" t="s">
        <v>2</v>
      </c>
      <c r="C9" s="8" t="e">
        <f t="shared" si="12"/>
        <v>#DIV/0!</v>
      </c>
      <c r="D9" s="8" t="e">
        <f t="shared" si="12"/>
        <v>#DIV/0!</v>
      </c>
      <c r="E9" s="8">
        <f t="shared" si="12"/>
        <v>0.43934911242603558</v>
      </c>
      <c r="F9" s="8">
        <f t="shared" si="12"/>
        <v>0.52757793764988015</v>
      </c>
      <c r="G9" s="8">
        <f t="shared" si="12"/>
        <v>0.46434178066831122</v>
      </c>
      <c r="H9" s="8">
        <f t="shared" si="12"/>
        <v>0.47070985527222597</v>
      </c>
      <c r="I9" s="8">
        <f t="shared" si="12"/>
        <v>0.36832239925023424</v>
      </c>
      <c r="J9" s="8">
        <f t="shared" si="12"/>
        <v>0.25905631659056327</v>
      </c>
      <c r="K9" s="8">
        <f t="shared" ref="K9" si="14">K4/J4-1</f>
        <v>0.30881286266924568</v>
      </c>
      <c r="L9" s="8"/>
      <c r="N9" s="8">
        <f t="shared" ref="N9:P10" si="15">N4/M4-1</f>
        <v>0.1435631331850753</v>
      </c>
      <c r="O9" s="8">
        <f t="shared" si="15"/>
        <v>7.821953327571296E-2</v>
      </c>
      <c r="P9" s="8">
        <f t="shared" si="15"/>
        <v>0.11042084168336674</v>
      </c>
      <c r="R9" s="8">
        <f t="shared" ref="R9:R10" si="16">R4/P4-1</f>
        <v>5.0532394874571285E-2</v>
      </c>
      <c r="S9" s="8">
        <f t="shared" ref="S9:U10" si="17">S4/R4-1</f>
        <v>7.8165263700395116E-2</v>
      </c>
      <c r="T9" s="8">
        <f t="shared" si="17"/>
        <v>9.432759719566608E-2</v>
      </c>
      <c r="U9" s="8">
        <f t="shared" si="17"/>
        <v>6.5084449621432672E-2</v>
      </c>
      <c r="W9" s="8">
        <f t="shared" ref="W9:W10" si="18">W4/U4-1</f>
        <v>1.900205058099802E-2</v>
      </c>
      <c r="X9" s="8">
        <f t="shared" ref="X9:Z10" si="19">X4/W4-1</f>
        <v>7.7408103031929132E-2</v>
      </c>
      <c r="Y9" s="8">
        <f t="shared" si="19"/>
        <v>4.731664798904256E-2</v>
      </c>
      <c r="Z9" s="8">
        <f t="shared" si="19"/>
        <v>9.2854595172987775E-2</v>
      </c>
      <c r="AB9" s="8">
        <f t="shared" ref="AB9" si="20">AB4/Z4-1</f>
        <v>4.155787641427322E-2</v>
      </c>
      <c r="AC9" s="8">
        <f t="shared" ref="AC9:AE10" si="21">AC4/AB4-1</f>
        <v>8.0739502820137865E-2</v>
      </c>
      <c r="AD9" s="8">
        <f t="shared" si="21"/>
        <v>-1</v>
      </c>
      <c r="AE9" s="8" t="e">
        <f t="shared" si="21"/>
        <v>#DIV/0!</v>
      </c>
    </row>
    <row r="10" spans="1:31" ht="17" x14ac:dyDescent="0.2">
      <c r="A10" s="4" t="s">
        <v>3</v>
      </c>
      <c r="C10" s="8" t="e">
        <f t="shared" si="12"/>
        <v>#DIV/0!</v>
      </c>
      <c r="D10" s="8" t="e">
        <f t="shared" si="12"/>
        <v>#DIV/0!</v>
      </c>
      <c r="E10" s="8" t="e">
        <f t="shared" si="12"/>
        <v>#DIV/0!</v>
      </c>
      <c r="F10" s="8">
        <f t="shared" si="12"/>
        <v>0.36526992788930035</v>
      </c>
      <c r="G10" s="8">
        <f t="shared" si="12"/>
        <v>0.29532347399074976</v>
      </c>
      <c r="H10" s="8">
        <f t="shared" si="12"/>
        <v>0.37099404893101173</v>
      </c>
      <c r="I10" s="8">
        <f t="shared" si="12"/>
        <v>0.28767563743931057</v>
      </c>
      <c r="J10" s="8">
        <f t="shared" si="12"/>
        <v>0.13310277666799841</v>
      </c>
      <c r="K10" s="8">
        <f t="shared" ref="K10" si="22">K5/J5-1</f>
        <v>0.20236455590202418</v>
      </c>
      <c r="L10" s="8"/>
      <c r="N10" s="8">
        <f t="shared" si="15"/>
        <v>9.6719247574613032E-2</v>
      </c>
      <c r="O10" s="8">
        <f t="shared" si="15"/>
        <v>8.7851981902896892E-2</v>
      </c>
      <c r="P10" s="8">
        <f t="shared" si="15"/>
        <v>0.10366232153941657</v>
      </c>
      <c r="R10" s="8">
        <f t="shared" si="16"/>
        <v>3.7176602924634317E-2</v>
      </c>
      <c r="S10" s="8">
        <f t="shared" si="17"/>
        <v>7.0386638468629581E-2</v>
      </c>
      <c r="T10" s="8">
        <f t="shared" si="17"/>
        <v>4.047824104564568E-2</v>
      </c>
      <c r="U10" s="8">
        <f t="shared" si="17"/>
        <v>4.0899795501022407E-2</v>
      </c>
      <c r="W10" s="8">
        <f t="shared" si="18"/>
        <v>-1.1226494527083464E-3</v>
      </c>
      <c r="X10" s="8">
        <f t="shared" si="19"/>
        <v>3.680809216071923E-2</v>
      </c>
      <c r="Y10" s="8">
        <f t="shared" si="19"/>
        <v>4.1508581752484286E-2</v>
      </c>
      <c r="Z10" s="8">
        <f t="shared" si="19"/>
        <v>4.9655232230365609E-2</v>
      </c>
      <c r="AB10" s="8">
        <f>AB5/Z5-1</f>
        <v>3.4415799041480843E-2</v>
      </c>
      <c r="AC10" s="8">
        <f t="shared" si="21"/>
        <v>4.9686464033230848E-2</v>
      </c>
      <c r="AD10" s="8">
        <f t="shared" si="21"/>
        <v>-1</v>
      </c>
      <c r="AE10" s="8" t="e">
        <f t="shared" si="21"/>
        <v>#DIV/0!</v>
      </c>
    </row>
    <row r="11" spans="1:31" ht="51" x14ac:dyDescent="0.2">
      <c r="A11" s="9" t="s">
        <v>24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31" ht="17" x14ac:dyDescent="0.2">
      <c r="A12" s="13" t="s">
        <v>26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31" ht="17" x14ac:dyDescent="0.2">
      <c r="A13" s="4" t="s">
        <v>2</v>
      </c>
      <c r="C13" s="8"/>
      <c r="D13" s="8"/>
      <c r="E13" s="8"/>
      <c r="F13" s="8"/>
      <c r="G13" s="8"/>
      <c r="H13" s="8"/>
      <c r="I13" s="8"/>
      <c r="J13" s="8"/>
      <c r="K13" s="8"/>
      <c r="L13" s="8"/>
      <c r="R13" s="12">
        <f t="shared" ref="R13:R15" si="23">R4/M4-1</f>
        <v>0.4383493946132937</v>
      </c>
      <c r="S13" s="12">
        <f t="shared" ref="S13:U15" si="24">S4/N4-1</f>
        <v>0.35609334485738975</v>
      </c>
      <c r="T13" s="12">
        <f t="shared" si="24"/>
        <v>0.37635270541082155</v>
      </c>
      <c r="U13" s="12">
        <f t="shared" si="24"/>
        <v>0.3201588160981772</v>
      </c>
      <c r="W13" s="12">
        <f t="shared" ref="W13:W15" si="25">W4/R4-1</f>
        <v>0.28053599037965982</v>
      </c>
      <c r="X13" s="12">
        <f t="shared" ref="X13:Z15" si="26">X4/S4-1</f>
        <v>0.2796367112810707</v>
      </c>
      <c r="Y13" s="12">
        <f t="shared" si="26"/>
        <v>0.22466511357018049</v>
      </c>
      <c r="Z13" s="12">
        <f t="shared" si="26"/>
        <v>0.25659603554340404</v>
      </c>
      <c r="AB13" s="12">
        <f t="shared" ref="AB13:AB15" si="27">AB4/W4-1</f>
        <v>0.28441105446740012</v>
      </c>
      <c r="AC13" s="12">
        <f t="shared" ref="AC13:AE15" si="28">AC4/X4-1</f>
        <v>0.28838251774374291</v>
      </c>
      <c r="AD13" s="12">
        <f t="shared" si="28"/>
        <v>-1</v>
      </c>
      <c r="AE13" s="12">
        <f t="shared" si="28"/>
        <v>-1</v>
      </c>
    </row>
    <row r="14" spans="1:31" ht="17" x14ac:dyDescent="0.2">
      <c r="A14" s="4" t="s">
        <v>3</v>
      </c>
      <c r="C14" s="8"/>
      <c r="D14" s="8"/>
      <c r="E14" s="8"/>
      <c r="F14" s="8"/>
      <c r="G14" s="8"/>
      <c r="H14" s="8"/>
      <c r="I14" s="8"/>
      <c r="J14" s="8"/>
      <c r="K14" s="8"/>
      <c r="L14" s="8"/>
      <c r="R14" s="12">
        <f t="shared" si="23"/>
        <v>0.36569651188624741</v>
      </c>
      <c r="S14" s="12">
        <f t="shared" si="24"/>
        <v>0.33290566547369838</v>
      </c>
      <c r="T14" s="12">
        <f t="shared" si="24"/>
        <v>0.27486033519553077</v>
      </c>
      <c r="U14" s="12">
        <f t="shared" si="24"/>
        <v>0.20236220472440936</v>
      </c>
      <c r="W14" s="12">
        <f t="shared" si="25"/>
        <v>0.157963234097934</v>
      </c>
      <c r="X14" s="12">
        <f t="shared" si="26"/>
        <v>0.12163736764780375</v>
      </c>
      <c r="Y14" s="12">
        <f t="shared" si="26"/>
        <v>0.1227480767358069</v>
      </c>
      <c r="Z14" s="12">
        <f t="shared" si="26"/>
        <v>0.13219197305641317</v>
      </c>
      <c r="AB14" s="12">
        <f t="shared" si="27"/>
        <v>0.17247354125690739</v>
      </c>
      <c r="AC14" s="12">
        <f t="shared" si="28"/>
        <v>0.18703703703703711</v>
      </c>
      <c r="AD14" s="12">
        <f t="shared" si="28"/>
        <v>-1</v>
      </c>
      <c r="AE14" s="12">
        <f t="shared" si="28"/>
        <v>-1</v>
      </c>
    </row>
    <row r="15" spans="1:31" x14ac:dyDescent="0.2">
      <c r="A15" s="2"/>
      <c r="R15" s="12">
        <f t="shared" si="23"/>
        <v>0.38245014245014253</v>
      </c>
      <c r="S15" s="12">
        <f t="shared" si="24"/>
        <v>0.33842671194114327</v>
      </c>
      <c r="T15" s="12">
        <f t="shared" si="24"/>
        <v>0.29886255924170624</v>
      </c>
      <c r="U15" s="12">
        <f t="shared" si="24"/>
        <v>0.23035032803053035</v>
      </c>
      <c r="W15" s="12">
        <f t="shared" si="25"/>
        <v>0.18737119775781053</v>
      </c>
      <c r="X15" s="12">
        <f t="shared" si="26"/>
        <v>0.1597539880837977</v>
      </c>
      <c r="Y15" s="12">
        <f t="shared" si="26"/>
        <v>0.14828869590600591</v>
      </c>
      <c r="Z15" s="12">
        <f t="shared" si="26"/>
        <v>0.16390757327571182</v>
      </c>
      <c r="AB15" s="12">
        <f t="shared" si="27"/>
        <v>0.20143710080533195</v>
      </c>
      <c r="AC15" s="12">
        <f t="shared" si="28"/>
        <v>0.21401345663053917</v>
      </c>
      <c r="AD15" s="12">
        <f t="shared" si="28"/>
        <v>-1</v>
      </c>
      <c r="AE15" s="12">
        <f t="shared" si="28"/>
        <v>-1</v>
      </c>
    </row>
    <row r="16" spans="1:31" ht="34" x14ac:dyDescent="0.2">
      <c r="A16" s="3" t="s">
        <v>5</v>
      </c>
    </row>
    <row r="17" spans="1:12" ht="17" x14ac:dyDescent="0.2">
      <c r="A17" s="13" t="s">
        <v>26</v>
      </c>
      <c r="B17" s="7" t="e">
        <f t="shared" ref="B17:I17" si="29">B3/B$6</f>
        <v>#DIV/0!</v>
      </c>
      <c r="C17" s="7" t="e">
        <f t="shared" si="29"/>
        <v>#DIV/0!</v>
      </c>
      <c r="D17" s="7">
        <f t="shared" si="29"/>
        <v>0</v>
      </c>
      <c r="E17" s="7">
        <f t="shared" si="29"/>
        <v>0.50569751381215466</v>
      </c>
      <c r="F17" s="7">
        <f t="shared" si="29"/>
        <v>0.47010092971095757</v>
      </c>
      <c r="G17" s="7">
        <f t="shared" si="29"/>
        <v>0.45288637108478863</v>
      </c>
      <c r="H17" s="7">
        <f t="shared" si="29"/>
        <v>0.42462965057107316</v>
      </c>
      <c r="I17" s="7">
        <f t="shared" si="29"/>
        <v>0.41431615343533723</v>
      </c>
      <c r="J17" s="7">
        <f>J3/J$6</f>
        <v>0.41514129736673089</v>
      </c>
      <c r="K17" s="7">
        <f t="shared" ref="K17" si="30">K3/K$6</f>
        <v>0.40871093249958301</v>
      </c>
      <c r="L17" s="7"/>
    </row>
    <row r="18" spans="1:12" ht="17" x14ac:dyDescent="0.2">
      <c r="A18" s="4" t="s">
        <v>2</v>
      </c>
      <c r="B18" s="7" t="e">
        <f t="shared" ref="B18:I19" si="31">B4/B$6</f>
        <v>#DIV/0!</v>
      </c>
      <c r="C18" s="7" t="e">
        <f t="shared" si="31"/>
        <v>#DIV/0!</v>
      </c>
      <c r="D18" s="7">
        <f t="shared" si="31"/>
        <v>1</v>
      </c>
      <c r="E18" s="7">
        <f t="shared" si="31"/>
        <v>9.163108990457057E-2</v>
      </c>
      <c r="F18" s="7">
        <f t="shared" si="31"/>
        <v>0.10753777327593483</v>
      </c>
      <c r="G18" s="7">
        <f t="shared" si="31"/>
        <v>0.12228100566505923</v>
      </c>
      <c r="H18" s="7">
        <f t="shared" si="31"/>
        <v>0.13574296053375551</v>
      </c>
      <c r="I18" s="7">
        <f t="shared" si="31"/>
        <v>0.14469214378919434</v>
      </c>
      <c r="J18" s="7">
        <f>J4/J$6</f>
        <v>0.15625826438475196</v>
      </c>
      <c r="K18" s="7">
        <f t="shared" ref="K18" si="32">K4/K$6</f>
        <v>0.16798879712635428</v>
      </c>
      <c r="L18" s="7"/>
    </row>
    <row r="19" spans="1:12" ht="17" x14ac:dyDescent="0.2">
      <c r="A19" s="4" t="s">
        <v>3</v>
      </c>
      <c r="B19" s="7" t="e">
        <f t="shared" si="31"/>
        <v>#DIV/0!</v>
      </c>
      <c r="C19" s="7" t="e">
        <f t="shared" si="31"/>
        <v>#DIV/0!</v>
      </c>
      <c r="D19" s="7">
        <f t="shared" si="31"/>
        <v>0</v>
      </c>
      <c r="E19" s="7">
        <f t="shared" si="31"/>
        <v>0.40267139628327475</v>
      </c>
      <c r="F19" s="7">
        <f t="shared" si="31"/>
        <v>0.42236129701310759</v>
      </c>
      <c r="G19" s="7">
        <f t="shared" si="31"/>
        <v>0.42483262325015214</v>
      </c>
      <c r="H19" s="7">
        <f t="shared" si="31"/>
        <v>0.43962738889517133</v>
      </c>
      <c r="I19" s="7">
        <f t="shared" si="31"/>
        <v>0.4409917027754684</v>
      </c>
      <c r="J19" s="7">
        <f>J5/J$6</f>
        <v>0.42860043824851712</v>
      </c>
      <c r="K19" s="7">
        <f t="shared" ref="K19" si="33">K5/K$6</f>
        <v>0.4233002703740627</v>
      </c>
      <c r="L19" s="7"/>
    </row>
  </sheetData>
  <mergeCells count="2">
    <mergeCell ref="L2:T2"/>
    <mergeCell ref="V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Market Cap &gt; $1T</vt:lpstr>
      <vt:lpstr>Semiconductors</vt:lpstr>
      <vt:lpstr>Automotive Semiconductors</vt:lpstr>
      <vt:lpstr>Cybersecurity</vt:lpstr>
      <vt:lpstr>Ad-Selling Companies</vt:lpstr>
      <vt:lpstr>Cloud Computing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Janc, Maja</dc:creator>
  <cp:lastModifiedBy>Janc, Maja</cp:lastModifiedBy>
  <dcterms:created xsi:type="dcterms:W3CDTF">2024-07-30T18:37:05Z</dcterms:created>
  <dcterms:modified xsi:type="dcterms:W3CDTF">2024-10-16T14:06:54Z</dcterms:modified>
</cp:coreProperties>
</file>