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m/Desktop/Stock Valuation/Technology/"/>
    </mc:Choice>
  </mc:AlternateContent>
  <xr:revisionPtr revIDLastSave="0" documentId="13_ncr:1_{49AD25A7-5B91-C144-AEC8-9FC92028B5E8}" xr6:coauthVersionLast="47" xr6:coauthVersionMax="47" xr10:uidLastSave="{00000000-0000-0000-0000-000000000000}"/>
  <bookViews>
    <workbookView xWindow="5840" yWindow="840" windowWidth="22960" windowHeight="16040" xr2:uid="{C1461CD7-241B-1B47-A5DC-418D15670B7E}"/>
  </bookViews>
  <sheets>
    <sheet name="Forecast and Valuations" sheetId="5" r:id="rId1"/>
    <sheet name="Segment Results" sheetId="6" r:id="rId2"/>
    <sheet name="Balance Sheet" sheetId="1" r:id="rId3"/>
    <sheet name="Statement of Operations" sheetId="3" r:id="rId4"/>
    <sheet name="Statement of Cashflow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5" i="5" l="1"/>
  <c r="T14" i="5"/>
  <c r="T11" i="5"/>
  <c r="M11" i="5" s="1"/>
  <c r="N11" i="5" s="1"/>
  <c r="O11" i="5" s="1"/>
  <c r="P11" i="5" s="1"/>
  <c r="Q11" i="5" s="1"/>
  <c r="R11" i="5" s="1"/>
  <c r="S11" i="5" s="1"/>
  <c r="L14" i="5"/>
  <c r="L15" i="5"/>
  <c r="M15" i="5" s="1"/>
  <c r="N15" i="5" s="1"/>
  <c r="O15" i="5" s="1"/>
  <c r="P15" i="5" s="1"/>
  <c r="Q15" i="5" s="1"/>
  <c r="R15" i="5" s="1"/>
  <c r="S15" i="5" s="1"/>
  <c r="L16" i="5"/>
  <c r="L17" i="5"/>
  <c r="L13" i="5"/>
  <c r="M25" i="5"/>
  <c r="L25" i="5"/>
  <c r="K245" i="5"/>
  <c r="C224" i="5"/>
  <c r="D224" i="5"/>
  <c r="E224" i="5"/>
  <c r="F224" i="5"/>
  <c r="G224" i="5"/>
  <c r="H224" i="5"/>
  <c r="I224" i="5"/>
  <c r="J224" i="5"/>
  <c r="C225" i="5"/>
  <c r="D225" i="5"/>
  <c r="E225" i="5"/>
  <c r="F225" i="5"/>
  <c r="G225" i="5"/>
  <c r="H225" i="5"/>
  <c r="I225" i="5"/>
  <c r="J225" i="5"/>
  <c r="C226" i="5"/>
  <c r="L212" i="5"/>
  <c r="B250" i="5"/>
  <c r="B251" i="5" s="1"/>
  <c r="C245" i="5"/>
  <c r="M34" i="5"/>
  <c r="M32" i="5"/>
  <c r="M31" i="5"/>
  <c r="M27" i="5"/>
  <c r="M26" i="5"/>
  <c r="M23" i="5"/>
  <c r="N32" i="5"/>
  <c r="L34" i="5"/>
  <c r="L32" i="5"/>
  <c r="L31" i="5"/>
  <c r="L26" i="5"/>
  <c r="L27" i="5"/>
  <c r="L23" i="5"/>
  <c r="L22" i="5"/>
  <c r="M14" i="5" l="1"/>
  <c r="N14" i="5" s="1"/>
  <c r="O14" i="5" s="1"/>
  <c r="P14" i="5" s="1"/>
  <c r="Q14" i="5" s="1"/>
  <c r="R14" i="5" s="1"/>
  <c r="S14" i="5" s="1"/>
  <c r="M16" i="5"/>
  <c r="N16" i="5" s="1"/>
  <c r="O16" i="5" s="1"/>
  <c r="P16" i="5" s="1"/>
  <c r="Q16" i="5" s="1"/>
  <c r="R16" i="5" s="1"/>
  <c r="S16" i="5" s="1"/>
  <c r="M17" i="5"/>
  <c r="N17" i="5" s="1"/>
  <c r="L18" i="5"/>
  <c r="L61" i="5" s="1"/>
  <c r="O20" i="5"/>
  <c r="L39" i="3"/>
  <c r="L20" i="5"/>
  <c r="L10" i="3"/>
  <c r="L13" i="3"/>
  <c r="M13" i="3"/>
  <c r="AD74" i="5"/>
  <c r="AE74" i="5"/>
  <c r="AF74" i="5"/>
  <c r="AG74" i="5"/>
  <c r="AI74" i="5"/>
  <c r="AJ74" i="5"/>
  <c r="AK74" i="5"/>
  <c r="AL74" i="5"/>
  <c r="AM74" i="5"/>
  <c r="AO74" i="5"/>
  <c r="AP74" i="5"/>
  <c r="AQ74" i="5"/>
  <c r="AR74" i="5"/>
  <c r="C74" i="5"/>
  <c r="D74" i="5"/>
  <c r="E74" i="5"/>
  <c r="F74" i="5"/>
  <c r="G74" i="5"/>
  <c r="H74" i="5"/>
  <c r="I74" i="5"/>
  <c r="J74" i="5"/>
  <c r="K74" i="5"/>
  <c r="L74" i="5"/>
  <c r="M74" i="5"/>
  <c r="N74" i="5"/>
  <c r="AD75" i="5"/>
  <c r="W20" i="5"/>
  <c r="AB20" i="5"/>
  <c r="AA20" i="5"/>
  <c r="Z20" i="5"/>
  <c r="Y20" i="5"/>
  <c r="AD20" i="5"/>
  <c r="C48" i="5"/>
  <c r="AB87" i="5"/>
  <c r="AB83" i="5"/>
  <c r="AB81" i="5"/>
  <c r="AB79" i="5"/>
  <c r="AB77" i="5"/>
  <c r="AB75" i="5"/>
  <c r="AB70" i="5"/>
  <c r="AB69" i="5"/>
  <c r="AB68" i="5"/>
  <c r="AB66" i="5"/>
  <c r="AB65" i="5"/>
  <c r="AB62" i="5"/>
  <c r="AB61" i="5"/>
  <c r="AB60" i="5"/>
  <c r="AB59" i="5"/>
  <c r="AB58" i="5"/>
  <c r="AB57" i="5"/>
  <c r="AB56" i="5"/>
  <c r="AB54" i="5"/>
  <c r="AB53" i="5"/>
  <c r="AB52" i="5"/>
  <c r="AB51" i="5"/>
  <c r="AB50" i="5"/>
  <c r="AB49" i="5"/>
  <c r="AB48" i="5"/>
  <c r="AK49" i="5"/>
  <c r="AL49" i="5"/>
  <c r="AM49" i="5"/>
  <c r="AK50" i="5"/>
  <c r="AL50" i="5"/>
  <c r="AM50" i="5"/>
  <c r="AK51" i="5"/>
  <c r="AL51" i="5"/>
  <c r="AM51" i="5"/>
  <c r="AK52" i="5"/>
  <c r="AL52" i="5"/>
  <c r="AM52" i="5"/>
  <c r="AK53" i="5"/>
  <c r="AL53" i="5"/>
  <c r="AM53" i="5"/>
  <c r="AK54" i="5"/>
  <c r="AL54" i="5"/>
  <c r="AM54" i="5"/>
  <c r="AK56" i="5"/>
  <c r="AL56" i="5"/>
  <c r="AM56" i="5"/>
  <c r="AK57" i="5"/>
  <c r="AL57" i="5"/>
  <c r="AM57" i="5"/>
  <c r="AK58" i="5"/>
  <c r="AL58" i="5"/>
  <c r="AM58" i="5"/>
  <c r="AK59" i="5"/>
  <c r="AL59" i="5"/>
  <c r="AM59" i="5"/>
  <c r="AK60" i="5"/>
  <c r="AL60" i="5"/>
  <c r="AM60" i="5"/>
  <c r="AK61" i="5"/>
  <c r="AL61" i="5"/>
  <c r="AM61" i="5"/>
  <c r="AK62" i="5"/>
  <c r="AL62" i="5"/>
  <c r="AM62" i="5"/>
  <c r="AK65" i="5"/>
  <c r="AL65" i="5"/>
  <c r="AM65" i="5"/>
  <c r="AK66" i="5"/>
  <c r="AL66" i="5"/>
  <c r="AM66" i="5"/>
  <c r="AK68" i="5"/>
  <c r="AL68" i="5"/>
  <c r="AM68" i="5"/>
  <c r="AK69" i="5"/>
  <c r="AL69" i="5"/>
  <c r="AM69" i="5"/>
  <c r="AK70" i="5"/>
  <c r="AL70" i="5"/>
  <c r="AM70" i="5"/>
  <c r="AK75" i="5"/>
  <c r="AL75" i="5"/>
  <c r="AM75" i="5"/>
  <c r="AK77" i="5"/>
  <c r="AL77" i="5"/>
  <c r="AM77" i="5"/>
  <c r="AK79" i="5"/>
  <c r="AL79" i="5"/>
  <c r="AM79" i="5"/>
  <c r="AK81" i="5"/>
  <c r="AL81" i="5"/>
  <c r="AM81" i="5"/>
  <c r="AK83" i="5"/>
  <c r="AL83" i="5"/>
  <c r="AM83" i="5"/>
  <c r="AK85" i="5"/>
  <c r="AL85" i="5"/>
  <c r="AM85" i="5"/>
  <c r="AK87" i="5"/>
  <c r="AL87" i="5"/>
  <c r="AM87" i="5"/>
  <c r="AL48" i="5"/>
  <c r="AM48" i="5"/>
  <c r="AK48" i="5"/>
  <c r="AJ49" i="5"/>
  <c r="AJ50" i="5"/>
  <c r="AJ51" i="5"/>
  <c r="AJ52" i="5"/>
  <c r="AJ53" i="5"/>
  <c r="AJ54" i="5"/>
  <c r="AJ56" i="5"/>
  <c r="AJ57" i="5"/>
  <c r="AJ58" i="5"/>
  <c r="AJ59" i="5"/>
  <c r="AJ60" i="5"/>
  <c r="AJ61" i="5"/>
  <c r="AJ62" i="5"/>
  <c r="AJ65" i="5"/>
  <c r="AJ66" i="5"/>
  <c r="AJ68" i="5"/>
  <c r="AJ69" i="5"/>
  <c r="AJ70" i="5"/>
  <c r="AJ75" i="5"/>
  <c r="AJ77" i="5"/>
  <c r="AJ79" i="5"/>
  <c r="AJ81" i="5"/>
  <c r="AJ83" i="5"/>
  <c r="AJ85" i="5"/>
  <c r="AJ87" i="5"/>
  <c r="AJ48" i="5"/>
  <c r="AI87" i="5"/>
  <c r="AI83" i="5"/>
  <c r="AI81" i="5"/>
  <c r="AI79" i="5"/>
  <c r="AI77" i="5"/>
  <c r="AI75" i="5"/>
  <c r="AI70" i="5"/>
  <c r="AI69" i="5"/>
  <c r="AI68" i="5"/>
  <c r="AI66" i="5"/>
  <c r="AI65" i="5"/>
  <c r="AI62" i="5"/>
  <c r="AI61" i="5"/>
  <c r="AI60" i="5"/>
  <c r="AI59" i="5"/>
  <c r="AI58" i="5"/>
  <c r="AI57" i="5"/>
  <c r="AI56" i="5"/>
  <c r="AI54" i="5"/>
  <c r="AI53" i="5"/>
  <c r="AI52" i="5"/>
  <c r="AI51" i="5"/>
  <c r="AI50" i="5"/>
  <c r="AI49" i="5"/>
  <c r="AI48" i="5"/>
  <c r="AR87" i="5"/>
  <c r="AQ87" i="5"/>
  <c r="AP87" i="5"/>
  <c r="AO87" i="5"/>
  <c r="AR83" i="5"/>
  <c r="AQ83" i="5"/>
  <c r="AP83" i="5"/>
  <c r="AO83" i="5"/>
  <c r="AR81" i="5"/>
  <c r="AQ81" i="5"/>
  <c r="AP81" i="5"/>
  <c r="AO81" i="5"/>
  <c r="AR79" i="5"/>
  <c r="AQ79" i="5"/>
  <c r="AP79" i="5"/>
  <c r="AO79" i="5"/>
  <c r="AR77" i="5"/>
  <c r="AQ77" i="5"/>
  <c r="AP77" i="5"/>
  <c r="AO77" i="5"/>
  <c r="AR75" i="5"/>
  <c r="AQ75" i="5"/>
  <c r="AP75" i="5"/>
  <c r="AO75" i="5"/>
  <c r="AR70" i="5"/>
  <c r="AQ70" i="5"/>
  <c r="AP70" i="5"/>
  <c r="AO70" i="5"/>
  <c r="AR69" i="5"/>
  <c r="AQ69" i="5"/>
  <c r="AP69" i="5"/>
  <c r="AO69" i="5"/>
  <c r="AR68" i="5"/>
  <c r="AQ68" i="5"/>
  <c r="AP68" i="5"/>
  <c r="AO68" i="5"/>
  <c r="AR66" i="5"/>
  <c r="AQ66" i="5"/>
  <c r="AP66" i="5"/>
  <c r="AO66" i="5"/>
  <c r="AR65" i="5"/>
  <c r="AQ65" i="5"/>
  <c r="AP65" i="5"/>
  <c r="AO65" i="5"/>
  <c r="AR62" i="5"/>
  <c r="AQ62" i="5"/>
  <c r="AP62" i="5"/>
  <c r="AO62" i="5"/>
  <c r="AR61" i="5"/>
  <c r="AQ61" i="5"/>
  <c r="AP61" i="5"/>
  <c r="AO61" i="5"/>
  <c r="AR60" i="5"/>
  <c r="AQ60" i="5"/>
  <c r="AP60" i="5"/>
  <c r="AO60" i="5"/>
  <c r="AR59" i="5"/>
  <c r="AQ59" i="5"/>
  <c r="AP59" i="5"/>
  <c r="AO59" i="5"/>
  <c r="AR58" i="5"/>
  <c r="AQ58" i="5"/>
  <c r="AP58" i="5"/>
  <c r="AO58" i="5"/>
  <c r="AR57" i="5"/>
  <c r="AQ57" i="5"/>
  <c r="AP57" i="5"/>
  <c r="AO57" i="5"/>
  <c r="AR56" i="5"/>
  <c r="AQ56" i="5"/>
  <c r="AP56" i="5"/>
  <c r="AO56" i="5"/>
  <c r="AR54" i="5"/>
  <c r="AQ54" i="5"/>
  <c r="AP54" i="5"/>
  <c r="AO54" i="5"/>
  <c r="AR53" i="5"/>
  <c r="AQ53" i="5"/>
  <c r="AP53" i="5"/>
  <c r="AO53" i="5"/>
  <c r="AR52" i="5"/>
  <c r="AQ52" i="5"/>
  <c r="AP52" i="5"/>
  <c r="AO52" i="5"/>
  <c r="AR51" i="5"/>
  <c r="AQ51" i="5"/>
  <c r="AP51" i="5"/>
  <c r="AO51" i="5"/>
  <c r="AR50" i="5"/>
  <c r="AQ50" i="5"/>
  <c r="AP50" i="5"/>
  <c r="AO50" i="5"/>
  <c r="AR49" i="5"/>
  <c r="AQ49" i="5"/>
  <c r="AP49" i="5"/>
  <c r="AO49" i="5"/>
  <c r="AR48" i="5"/>
  <c r="AQ48" i="5"/>
  <c r="AP48" i="5"/>
  <c r="AO48" i="5"/>
  <c r="AE48" i="5"/>
  <c r="AF48" i="5"/>
  <c r="AG48" i="5"/>
  <c r="AE49" i="5"/>
  <c r="AF49" i="5"/>
  <c r="AG49" i="5"/>
  <c r="AE50" i="5"/>
  <c r="AF50" i="5"/>
  <c r="AG50" i="5"/>
  <c r="AE51" i="5"/>
  <c r="AF51" i="5"/>
  <c r="AG51" i="5"/>
  <c r="AE52" i="5"/>
  <c r="AF52" i="5"/>
  <c r="AG52" i="5"/>
  <c r="AE53" i="5"/>
  <c r="AF53" i="5"/>
  <c r="AG53" i="5"/>
  <c r="AE54" i="5"/>
  <c r="AF54" i="5"/>
  <c r="AG54" i="5"/>
  <c r="AE56" i="5"/>
  <c r="AF56" i="5"/>
  <c r="AG56" i="5"/>
  <c r="AE57" i="5"/>
  <c r="AF57" i="5"/>
  <c r="AG57" i="5"/>
  <c r="AE58" i="5"/>
  <c r="AF58" i="5"/>
  <c r="AG58" i="5"/>
  <c r="AE59" i="5"/>
  <c r="AF59" i="5"/>
  <c r="AG59" i="5"/>
  <c r="AE60" i="5"/>
  <c r="AF60" i="5"/>
  <c r="AG60" i="5"/>
  <c r="AE61" i="5"/>
  <c r="AF61" i="5"/>
  <c r="AG61" i="5"/>
  <c r="AE62" i="5"/>
  <c r="AF62" i="5"/>
  <c r="AG62" i="5"/>
  <c r="AE65" i="5"/>
  <c r="AF65" i="5"/>
  <c r="AG65" i="5"/>
  <c r="AE66" i="5"/>
  <c r="AF66" i="5"/>
  <c r="AG66" i="5"/>
  <c r="AE68" i="5"/>
  <c r="AF68" i="5"/>
  <c r="AG68" i="5"/>
  <c r="AE69" i="5"/>
  <c r="AF69" i="5"/>
  <c r="AG69" i="5"/>
  <c r="AE70" i="5"/>
  <c r="AF70" i="5"/>
  <c r="AG70" i="5"/>
  <c r="AE75" i="5"/>
  <c r="AF75" i="5"/>
  <c r="AG75" i="5"/>
  <c r="AE77" i="5"/>
  <c r="AF77" i="5"/>
  <c r="AG77" i="5"/>
  <c r="AE79" i="5"/>
  <c r="AF79" i="5"/>
  <c r="AG79" i="5"/>
  <c r="AE81" i="5"/>
  <c r="AF81" i="5"/>
  <c r="AG81" i="5"/>
  <c r="AE83" i="5"/>
  <c r="AF83" i="5"/>
  <c r="AG83" i="5"/>
  <c r="AE87" i="5"/>
  <c r="AF87" i="5"/>
  <c r="AG87" i="5"/>
  <c r="AD49" i="5"/>
  <c r="AD50" i="5"/>
  <c r="AD51" i="5"/>
  <c r="AD52" i="5"/>
  <c r="AD53" i="5"/>
  <c r="AD54" i="5"/>
  <c r="AD56" i="5"/>
  <c r="AD57" i="5"/>
  <c r="AD58" i="5"/>
  <c r="AD59" i="5"/>
  <c r="AD60" i="5"/>
  <c r="AD61" i="5"/>
  <c r="AD62" i="5"/>
  <c r="AD65" i="5"/>
  <c r="AD66" i="5"/>
  <c r="AD68" i="5"/>
  <c r="AD69" i="5"/>
  <c r="AD70" i="5"/>
  <c r="AD77" i="5"/>
  <c r="AD79" i="5"/>
  <c r="AD81" i="5"/>
  <c r="AD83" i="5"/>
  <c r="AD87" i="5"/>
  <c r="AD48" i="5"/>
  <c r="D48" i="5"/>
  <c r="E48" i="5"/>
  <c r="F48" i="5"/>
  <c r="G48" i="5"/>
  <c r="H48" i="5"/>
  <c r="I48" i="5"/>
  <c r="J48" i="5"/>
  <c r="K48" i="5"/>
  <c r="L48" i="5"/>
  <c r="M48" i="5"/>
  <c r="N48" i="5"/>
  <c r="D49" i="5"/>
  <c r="E49" i="5"/>
  <c r="F49" i="5"/>
  <c r="G49" i="5"/>
  <c r="H49" i="5"/>
  <c r="I49" i="5"/>
  <c r="J49" i="5"/>
  <c r="K49" i="5"/>
  <c r="L49" i="5"/>
  <c r="M49" i="5"/>
  <c r="N49" i="5"/>
  <c r="D50" i="5"/>
  <c r="E50" i="5"/>
  <c r="F50" i="5"/>
  <c r="G50" i="5"/>
  <c r="H50" i="5"/>
  <c r="I50" i="5"/>
  <c r="J50" i="5"/>
  <c r="K50" i="5"/>
  <c r="L50" i="5"/>
  <c r="M50" i="5"/>
  <c r="N50" i="5"/>
  <c r="D51" i="5"/>
  <c r="E51" i="5"/>
  <c r="F51" i="5"/>
  <c r="G51" i="5"/>
  <c r="H51" i="5"/>
  <c r="I51" i="5"/>
  <c r="J51" i="5"/>
  <c r="K51" i="5"/>
  <c r="L51" i="5"/>
  <c r="M51" i="5"/>
  <c r="N51" i="5"/>
  <c r="D52" i="5"/>
  <c r="E52" i="5"/>
  <c r="F52" i="5"/>
  <c r="G52" i="5"/>
  <c r="H52" i="5"/>
  <c r="I52" i="5"/>
  <c r="J52" i="5"/>
  <c r="K52" i="5"/>
  <c r="L52" i="5"/>
  <c r="M52" i="5"/>
  <c r="N52" i="5"/>
  <c r="D53" i="5"/>
  <c r="E53" i="5"/>
  <c r="F53" i="5"/>
  <c r="G53" i="5"/>
  <c r="H53" i="5"/>
  <c r="I53" i="5"/>
  <c r="J53" i="5"/>
  <c r="K53" i="5"/>
  <c r="L53" i="5"/>
  <c r="M53" i="5"/>
  <c r="N53" i="5"/>
  <c r="D54" i="5"/>
  <c r="E54" i="5"/>
  <c r="F54" i="5"/>
  <c r="G54" i="5"/>
  <c r="H54" i="5"/>
  <c r="I54" i="5"/>
  <c r="J54" i="5"/>
  <c r="K54" i="5"/>
  <c r="L54" i="5"/>
  <c r="M54" i="5"/>
  <c r="N54" i="5"/>
  <c r="D56" i="5"/>
  <c r="E56" i="5"/>
  <c r="F56" i="5"/>
  <c r="G56" i="5"/>
  <c r="H56" i="5"/>
  <c r="I56" i="5"/>
  <c r="J56" i="5"/>
  <c r="K56" i="5"/>
  <c r="L56" i="5"/>
  <c r="D57" i="5"/>
  <c r="E57" i="5"/>
  <c r="F57" i="5"/>
  <c r="G57" i="5"/>
  <c r="H57" i="5"/>
  <c r="I57" i="5"/>
  <c r="J57" i="5"/>
  <c r="K57" i="5"/>
  <c r="L57" i="5"/>
  <c r="M57" i="5"/>
  <c r="N57" i="5"/>
  <c r="D58" i="5"/>
  <c r="E58" i="5"/>
  <c r="F58" i="5"/>
  <c r="G58" i="5"/>
  <c r="H58" i="5"/>
  <c r="I58" i="5"/>
  <c r="J58" i="5"/>
  <c r="K58" i="5"/>
  <c r="L58" i="5"/>
  <c r="M58" i="5"/>
  <c r="N58" i="5"/>
  <c r="D59" i="5"/>
  <c r="E59" i="5"/>
  <c r="F59" i="5"/>
  <c r="G59" i="5"/>
  <c r="H59" i="5"/>
  <c r="I59" i="5"/>
  <c r="J59" i="5"/>
  <c r="K59" i="5"/>
  <c r="L59" i="5"/>
  <c r="M59" i="5"/>
  <c r="N59" i="5"/>
  <c r="D60" i="5"/>
  <c r="E60" i="5"/>
  <c r="F60" i="5"/>
  <c r="G60" i="5"/>
  <c r="H60" i="5"/>
  <c r="I60" i="5"/>
  <c r="J60" i="5"/>
  <c r="K60" i="5"/>
  <c r="L60" i="5"/>
  <c r="D61" i="5"/>
  <c r="E61" i="5"/>
  <c r="F61" i="5"/>
  <c r="G61" i="5"/>
  <c r="H61" i="5"/>
  <c r="I61" i="5"/>
  <c r="J61" i="5"/>
  <c r="K61" i="5"/>
  <c r="D62" i="5"/>
  <c r="E62" i="5"/>
  <c r="F62" i="5"/>
  <c r="G62" i="5"/>
  <c r="H62" i="5"/>
  <c r="I62" i="5"/>
  <c r="J62" i="5"/>
  <c r="K62" i="5"/>
  <c r="L62" i="5"/>
  <c r="M62" i="5"/>
  <c r="N62" i="5"/>
  <c r="D64" i="5"/>
  <c r="E64" i="5"/>
  <c r="F64" i="5"/>
  <c r="G64" i="5"/>
  <c r="H64" i="5"/>
  <c r="I64" i="5"/>
  <c r="J64" i="5"/>
  <c r="K64" i="5"/>
  <c r="L64" i="5"/>
  <c r="M64" i="5"/>
  <c r="N64" i="5"/>
  <c r="D65" i="5"/>
  <c r="E65" i="5"/>
  <c r="F65" i="5"/>
  <c r="G65" i="5"/>
  <c r="H65" i="5"/>
  <c r="I65" i="5"/>
  <c r="J65" i="5"/>
  <c r="D66" i="5"/>
  <c r="E66" i="5"/>
  <c r="F66" i="5"/>
  <c r="G66" i="5"/>
  <c r="H66" i="5"/>
  <c r="I66" i="5"/>
  <c r="J66" i="5"/>
  <c r="D68" i="5"/>
  <c r="E68" i="5"/>
  <c r="F68" i="5"/>
  <c r="G68" i="5"/>
  <c r="H68" i="5"/>
  <c r="I68" i="5"/>
  <c r="J68" i="5"/>
  <c r="D69" i="5"/>
  <c r="E69" i="5"/>
  <c r="F69" i="5"/>
  <c r="G69" i="5"/>
  <c r="H69" i="5"/>
  <c r="I69" i="5"/>
  <c r="J69" i="5"/>
  <c r="D70" i="5"/>
  <c r="E70" i="5"/>
  <c r="F70" i="5"/>
  <c r="G70" i="5"/>
  <c r="H70" i="5"/>
  <c r="I70" i="5"/>
  <c r="J70" i="5"/>
  <c r="D75" i="5"/>
  <c r="E75" i="5"/>
  <c r="F75" i="5"/>
  <c r="G75" i="5"/>
  <c r="H75" i="5"/>
  <c r="I75" i="5"/>
  <c r="J75" i="5"/>
  <c r="D77" i="5"/>
  <c r="E77" i="5"/>
  <c r="F77" i="5"/>
  <c r="G77" i="5"/>
  <c r="H77" i="5"/>
  <c r="I77" i="5"/>
  <c r="J77" i="5"/>
  <c r="M77" i="5"/>
  <c r="N77" i="5"/>
  <c r="D79" i="5"/>
  <c r="E79" i="5"/>
  <c r="F79" i="5"/>
  <c r="G79" i="5"/>
  <c r="H79" i="5"/>
  <c r="I79" i="5"/>
  <c r="J79" i="5"/>
  <c r="D80" i="5"/>
  <c r="E80" i="5"/>
  <c r="F80" i="5"/>
  <c r="G80" i="5"/>
  <c r="H80" i="5"/>
  <c r="I80" i="5"/>
  <c r="J80" i="5"/>
  <c r="D81" i="5"/>
  <c r="E81" i="5"/>
  <c r="F81" i="5"/>
  <c r="G81" i="5"/>
  <c r="H81" i="5"/>
  <c r="I81" i="5"/>
  <c r="J81" i="5"/>
  <c r="D83" i="5"/>
  <c r="E83" i="5"/>
  <c r="F83" i="5"/>
  <c r="G83" i="5"/>
  <c r="H83" i="5"/>
  <c r="I83" i="5"/>
  <c r="J83" i="5"/>
  <c r="D86" i="5"/>
  <c r="E86" i="5"/>
  <c r="F86" i="5"/>
  <c r="G86" i="5"/>
  <c r="D87" i="5"/>
  <c r="E87" i="5"/>
  <c r="F87" i="5"/>
  <c r="G87" i="5"/>
  <c r="H87" i="5"/>
  <c r="I87" i="5"/>
  <c r="J87" i="5"/>
  <c r="K87" i="5"/>
  <c r="C87" i="5"/>
  <c r="C49" i="5"/>
  <c r="C50" i="5"/>
  <c r="C51" i="5"/>
  <c r="C52" i="5"/>
  <c r="C53" i="5"/>
  <c r="C54" i="5"/>
  <c r="C56" i="5"/>
  <c r="C57" i="5"/>
  <c r="C58" i="5"/>
  <c r="C59" i="5"/>
  <c r="C60" i="5"/>
  <c r="C61" i="5"/>
  <c r="C62" i="5"/>
  <c r="C64" i="5"/>
  <c r="C65" i="5"/>
  <c r="C66" i="5"/>
  <c r="C68" i="5"/>
  <c r="C69" i="5"/>
  <c r="C70" i="5"/>
  <c r="C75" i="5"/>
  <c r="C77" i="5"/>
  <c r="C79" i="5"/>
  <c r="C80" i="5"/>
  <c r="C81" i="5"/>
  <c r="C83" i="5"/>
  <c r="C86" i="5"/>
  <c r="AJ20" i="5"/>
  <c r="AK20" i="5"/>
  <c r="AL20" i="5"/>
  <c r="AM20" i="5"/>
  <c r="AR20" i="5"/>
  <c r="AQ20" i="5"/>
  <c r="AP20" i="5"/>
  <c r="AO20" i="5"/>
  <c r="AI20" i="5"/>
  <c r="AF20" i="5"/>
  <c r="AK10" i="6"/>
  <c r="AJ10" i="6"/>
  <c r="AI10" i="6"/>
  <c r="AH10" i="6"/>
  <c r="AK18" i="6"/>
  <c r="AJ18" i="6"/>
  <c r="AI18" i="6"/>
  <c r="AH18" i="6"/>
  <c r="AE18" i="6"/>
  <c r="AF18" i="6"/>
  <c r="AD18" i="6"/>
  <c r="AE10" i="6"/>
  <c r="AF10" i="6"/>
  <c r="AD10" i="6"/>
  <c r="AG20" i="5"/>
  <c r="AE20" i="5"/>
  <c r="C20" i="5"/>
  <c r="D20" i="5"/>
  <c r="E20" i="5"/>
  <c r="F20" i="5"/>
  <c r="G20" i="5"/>
  <c r="H20" i="5"/>
  <c r="I20" i="5"/>
  <c r="J20" i="5"/>
  <c r="K20" i="5"/>
  <c r="M20" i="5"/>
  <c r="N20" i="5"/>
  <c r="B20" i="5"/>
  <c r="AB18" i="6"/>
  <c r="AB10" i="6"/>
  <c r="AC17" i="6"/>
  <c r="AC18" i="6" s="1"/>
  <c r="AC8" i="6"/>
  <c r="AC10" i="6" s="1"/>
  <c r="K22" i="5"/>
  <c r="K65" i="5" s="1"/>
  <c r="M22" i="5"/>
  <c r="K23" i="5"/>
  <c r="K66" i="5" s="1"/>
  <c r="B24" i="5"/>
  <c r="C24" i="5"/>
  <c r="D24" i="5"/>
  <c r="E24" i="5"/>
  <c r="F24" i="5"/>
  <c r="G24" i="5"/>
  <c r="H24" i="5"/>
  <c r="I24" i="5"/>
  <c r="J24" i="5"/>
  <c r="W24" i="5"/>
  <c r="Y24" i="5"/>
  <c r="Z24" i="5"/>
  <c r="AA24" i="5"/>
  <c r="AB24" i="5"/>
  <c r="AB67" i="5" s="1"/>
  <c r="AD24" i="5"/>
  <c r="AE24" i="5"/>
  <c r="AE67" i="5" s="1"/>
  <c r="AF24" i="5"/>
  <c r="AF67" i="5" s="1"/>
  <c r="AG24" i="5"/>
  <c r="AG67" i="5" s="1"/>
  <c r="AI24" i="5"/>
  <c r="AI67" i="5" s="1"/>
  <c r="AJ24" i="5"/>
  <c r="AK24" i="5"/>
  <c r="AL24" i="5"/>
  <c r="AM24" i="5"/>
  <c r="AO24" i="5"/>
  <c r="AO67" i="5" s="1"/>
  <c r="AP24" i="5"/>
  <c r="AP67" i="5" s="1"/>
  <c r="AQ24" i="5"/>
  <c r="AQ67" i="5" s="1"/>
  <c r="AR24" i="5"/>
  <c r="K25" i="5"/>
  <c r="K68" i="5" s="1"/>
  <c r="N68" i="5"/>
  <c r="K26" i="5"/>
  <c r="K69" i="5" s="1"/>
  <c r="K27" i="5"/>
  <c r="K70" i="5" s="1"/>
  <c r="B28" i="5"/>
  <c r="C28" i="5"/>
  <c r="D28" i="5"/>
  <c r="E28" i="5"/>
  <c r="F28" i="5"/>
  <c r="G28" i="5"/>
  <c r="H28" i="5"/>
  <c r="I28" i="5"/>
  <c r="J28" i="5"/>
  <c r="W28" i="5"/>
  <c r="Y28" i="5"/>
  <c r="Z28" i="5"/>
  <c r="AA28" i="5"/>
  <c r="AB28" i="5"/>
  <c r="AB71" i="5" s="1"/>
  <c r="AD28" i="5"/>
  <c r="AE28" i="5"/>
  <c r="AE71" i="5" s="1"/>
  <c r="AF28" i="5"/>
  <c r="AF71" i="5" s="1"/>
  <c r="AG28" i="5"/>
  <c r="AG71" i="5" s="1"/>
  <c r="AI28" i="5"/>
  <c r="AI71" i="5" s="1"/>
  <c r="AJ28" i="5"/>
  <c r="AK28" i="5"/>
  <c r="AL28" i="5"/>
  <c r="AM28" i="5"/>
  <c r="AO28" i="5"/>
  <c r="AP28" i="5"/>
  <c r="AP71" i="5" s="1"/>
  <c r="AQ28" i="5"/>
  <c r="AQ71" i="5" s="1"/>
  <c r="AR28" i="5"/>
  <c r="W17" i="6"/>
  <c r="W18" i="6" s="1"/>
  <c r="W10" i="6"/>
  <c r="W8" i="6"/>
  <c r="Z18" i="6"/>
  <c r="Y18" i="6"/>
  <c r="X18" i="6"/>
  <c r="U18" i="6"/>
  <c r="T18" i="6"/>
  <c r="S18" i="6"/>
  <c r="R18" i="6"/>
  <c r="C18" i="6"/>
  <c r="D18" i="6"/>
  <c r="E18" i="6"/>
  <c r="F18" i="6"/>
  <c r="G18" i="6"/>
  <c r="H18" i="6"/>
  <c r="I18" i="6"/>
  <c r="J18" i="6"/>
  <c r="K18" i="6"/>
  <c r="L18" i="6"/>
  <c r="M18" i="6"/>
  <c r="N18" i="6"/>
  <c r="B18" i="6"/>
  <c r="Z10" i="6"/>
  <c r="Y10" i="6"/>
  <c r="X10" i="6"/>
  <c r="S10" i="6"/>
  <c r="T10" i="6"/>
  <c r="U10" i="6"/>
  <c r="R10" i="6"/>
  <c r="P10" i="6"/>
  <c r="C10" i="6"/>
  <c r="D10" i="6"/>
  <c r="E10" i="6"/>
  <c r="F10" i="6"/>
  <c r="G10" i="6"/>
  <c r="H10" i="6"/>
  <c r="I10" i="6"/>
  <c r="J10" i="6"/>
  <c r="K10" i="6"/>
  <c r="L10" i="6"/>
  <c r="M10" i="6"/>
  <c r="N10" i="6"/>
  <c r="B10" i="6"/>
  <c r="C1" i="6"/>
  <c r="D1" i="6" s="1"/>
  <c r="E1" i="6" s="1"/>
  <c r="F1" i="6" s="1"/>
  <c r="G1" i="6" s="1"/>
  <c r="H1" i="6" s="1"/>
  <c r="I1" i="6" s="1"/>
  <c r="J1" i="6" s="1"/>
  <c r="K1" i="6" s="1"/>
  <c r="AK24" i="6"/>
  <c r="AJ24" i="6"/>
  <c r="AI24" i="6"/>
  <c r="AH24" i="6"/>
  <c r="AF24" i="6"/>
  <c r="AE24" i="6"/>
  <c r="AD24" i="6"/>
  <c r="AB24" i="6"/>
  <c r="Z23" i="6"/>
  <c r="Y23" i="6"/>
  <c r="X23" i="6"/>
  <c r="W23" i="6"/>
  <c r="U23" i="6"/>
  <c r="T23" i="6"/>
  <c r="S23" i="6"/>
  <c r="R23" i="6"/>
  <c r="P23" i="6"/>
  <c r="M23" i="6"/>
  <c r="L23" i="6"/>
  <c r="I23" i="6"/>
  <c r="H23" i="6"/>
  <c r="G23" i="6"/>
  <c r="F23" i="6"/>
  <c r="E23" i="6"/>
  <c r="D23" i="6"/>
  <c r="C23" i="6"/>
  <c r="B23" i="6"/>
  <c r="Z22" i="6"/>
  <c r="Y22" i="6"/>
  <c r="X22" i="6"/>
  <c r="W22" i="6"/>
  <c r="U22" i="6"/>
  <c r="T22" i="6"/>
  <c r="S22" i="6"/>
  <c r="R22" i="6"/>
  <c r="P22" i="6"/>
  <c r="M22" i="6"/>
  <c r="L22" i="6"/>
  <c r="I22" i="6"/>
  <c r="H22" i="6"/>
  <c r="G22" i="6"/>
  <c r="F22" i="6"/>
  <c r="E22" i="6"/>
  <c r="D22" i="6"/>
  <c r="C22" i="6"/>
  <c r="B22" i="6"/>
  <c r="Z21" i="6"/>
  <c r="Y21" i="6"/>
  <c r="X21" i="6"/>
  <c r="W21" i="6"/>
  <c r="U21" i="6"/>
  <c r="T21" i="6"/>
  <c r="S21" i="6"/>
  <c r="R21" i="6"/>
  <c r="P21" i="6"/>
  <c r="M21" i="6"/>
  <c r="L21" i="6"/>
  <c r="I21" i="6"/>
  <c r="H21" i="6"/>
  <c r="G21" i="6"/>
  <c r="F21" i="6"/>
  <c r="E21" i="6"/>
  <c r="D21" i="6"/>
  <c r="C21" i="6"/>
  <c r="B21" i="6"/>
  <c r="M13" i="5" l="1"/>
  <c r="M60" i="5"/>
  <c r="M18" i="5"/>
  <c r="M61" i="5" s="1"/>
  <c r="O17" i="5"/>
  <c r="N18" i="5"/>
  <c r="N60" i="5"/>
  <c r="N24" i="5"/>
  <c r="N91" i="5" s="1"/>
  <c r="O24" i="5"/>
  <c r="O91" i="5" s="1"/>
  <c r="O93" i="5"/>
  <c r="P20" i="5"/>
  <c r="L63" i="5"/>
  <c r="AR71" i="5"/>
  <c r="L28" i="5"/>
  <c r="L29" i="5" s="1"/>
  <c r="H91" i="5"/>
  <c r="D91" i="5"/>
  <c r="G91" i="5"/>
  <c r="C91" i="5"/>
  <c r="B91" i="5"/>
  <c r="J91" i="5"/>
  <c r="F91" i="5"/>
  <c r="AO71" i="5"/>
  <c r="M28" i="5"/>
  <c r="M29" i="5" s="1"/>
  <c r="N93" i="5"/>
  <c r="I91" i="5"/>
  <c r="E91" i="5"/>
  <c r="AB29" i="5"/>
  <c r="H67" i="5"/>
  <c r="D67" i="5"/>
  <c r="H63" i="5"/>
  <c r="D63" i="5"/>
  <c r="I71" i="5"/>
  <c r="E71" i="5"/>
  <c r="M70" i="5"/>
  <c r="L69" i="5"/>
  <c r="M66" i="5"/>
  <c r="L65" i="5"/>
  <c r="AR67" i="5"/>
  <c r="AB63" i="5"/>
  <c r="AQ63" i="5"/>
  <c r="AG63" i="5"/>
  <c r="AI63" i="5"/>
  <c r="AJ63" i="5"/>
  <c r="H71" i="5"/>
  <c r="AM67" i="5"/>
  <c r="I67" i="5"/>
  <c r="E67" i="5"/>
  <c r="L66" i="5"/>
  <c r="K63" i="5"/>
  <c r="G63" i="5"/>
  <c r="C63" i="5"/>
  <c r="AO63" i="5"/>
  <c r="AM63" i="5"/>
  <c r="AL71" i="5"/>
  <c r="G71" i="5"/>
  <c r="C71" i="5"/>
  <c r="AL67" i="5"/>
  <c r="G67" i="5"/>
  <c r="C67" i="5"/>
  <c r="N63" i="5"/>
  <c r="J63" i="5"/>
  <c r="F63" i="5"/>
  <c r="AP63" i="5"/>
  <c r="AL63" i="5"/>
  <c r="AK71" i="5"/>
  <c r="J71" i="5"/>
  <c r="F71" i="5"/>
  <c r="M69" i="5"/>
  <c r="L68" i="5"/>
  <c r="AK67" i="5"/>
  <c r="J67" i="5"/>
  <c r="F67" i="5"/>
  <c r="M65" i="5"/>
  <c r="M63" i="5"/>
  <c r="I63" i="5"/>
  <c r="E63" i="5"/>
  <c r="AF63" i="5"/>
  <c r="AM71" i="5"/>
  <c r="AD71" i="5"/>
  <c r="AJ71" i="5"/>
  <c r="L70" i="5"/>
  <c r="AD67" i="5"/>
  <c r="AJ67" i="5"/>
  <c r="D71" i="5"/>
  <c r="N65" i="5"/>
  <c r="AK63" i="5"/>
  <c r="N69" i="5"/>
  <c r="M68" i="5"/>
  <c r="AR29" i="5"/>
  <c r="AR33" i="5" s="1"/>
  <c r="N70" i="5"/>
  <c r="N66" i="5"/>
  <c r="AR63" i="5"/>
  <c r="AQ29" i="5"/>
  <c r="AQ33" i="5" s="1"/>
  <c r="AG29" i="5"/>
  <c r="B29" i="5"/>
  <c r="B249" i="5" s="1"/>
  <c r="AM29" i="5"/>
  <c r="AM33" i="5" s="1"/>
  <c r="AF29" i="5"/>
  <c r="AF33" i="5" s="1"/>
  <c r="G29" i="5"/>
  <c r="AA29" i="5"/>
  <c r="C29" i="5"/>
  <c r="K24" i="5"/>
  <c r="K67" i="5" s="1"/>
  <c r="W29" i="5"/>
  <c r="AP29" i="5"/>
  <c r="AP33" i="5" s="1"/>
  <c r="AP35" i="5" s="1"/>
  <c r="AL29" i="5"/>
  <c r="AL33" i="5" s="1"/>
  <c r="AK29" i="5"/>
  <c r="AK33" i="5" s="1"/>
  <c r="K28" i="5"/>
  <c r="K71" i="5" s="1"/>
  <c r="AO29" i="5"/>
  <c r="AO33" i="5" s="1"/>
  <c r="AJ29" i="5"/>
  <c r="AJ33" i="5" s="1"/>
  <c r="AI29" i="5"/>
  <c r="AI33" i="5" s="1"/>
  <c r="F29" i="5"/>
  <c r="L24" i="5"/>
  <c r="L91" i="5" s="1"/>
  <c r="AE63" i="5"/>
  <c r="AD29" i="5"/>
  <c r="AD33" i="5" s="1"/>
  <c r="M24" i="5"/>
  <c r="M91" i="5" s="1"/>
  <c r="AD63" i="5"/>
  <c r="R24" i="6"/>
  <c r="W24" i="6"/>
  <c r="T24" i="6"/>
  <c r="Y24" i="6"/>
  <c r="D24" i="6"/>
  <c r="H24" i="6"/>
  <c r="C24" i="6"/>
  <c r="G24" i="6"/>
  <c r="J21" i="6"/>
  <c r="M24" i="6"/>
  <c r="P24" i="6"/>
  <c r="U24" i="6"/>
  <c r="Z24" i="6"/>
  <c r="E24" i="6"/>
  <c r="I24" i="6"/>
  <c r="L24" i="6"/>
  <c r="J23" i="6"/>
  <c r="K23" i="6"/>
  <c r="B24" i="6"/>
  <c r="F24" i="6"/>
  <c r="K21" i="6"/>
  <c r="J22" i="6"/>
  <c r="S24" i="6"/>
  <c r="X24" i="6"/>
  <c r="K22" i="6"/>
  <c r="K57" i="4"/>
  <c r="B65" i="4"/>
  <c r="D165" i="5"/>
  <c r="E165" i="5"/>
  <c r="D166" i="5"/>
  <c r="E166" i="5"/>
  <c r="D167" i="5"/>
  <c r="E167" i="5"/>
  <c r="D168" i="5"/>
  <c r="E168" i="5"/>
  <c r="D169" i="5"/>
  <c r="E169" i="5"/>
  <c r="D171" i="5"/>
  <c r="E171" i="5"/>
  <c r="D172" i="5"/>
  <c r="E172" i="5"/>
  <c r="D173" i="5"/>
  <c r="E173" i="5"/>
  <c r="D174" i="5"/>
  <c r="E174" i="5"/>
  <c r="D175" i="5"/>
  <c r="E175" i="5"/>
  <c r="D178" i="5"/>
  <c r="E178" i="5"/>
  <c r="D179" i="5"/>
  <c r="E179" i="5"/>
  <c r="D180" i="5"/>
  <c r="E180" i="5"/>
  <c r="D182" i="5"/>
  <c r="E182" i="5"/>
  <c r="D183" i="5"/>
  <c r="E183" i="5"/>
  <c r="D184" i="5"/>
  <c r="E184" i="5"/>
  <c r="D185" i="5"/>
  <c r="E185" i="5"/>
  <c r="D187" i="5"/>
  <c r="E187" i="5"/>
  <c r="D188" i="5"/>
  <c r="E188" i="5"/>
  <c r="D189" i="5"/>
  <c r="E189" i="5"/>
  <c r="D190" i="5"/>
  <c r="E190" i="5"/>
  <c r="D191" i="5"/>
  <c r="E191" i="5"/>
  <c r="D192" i="5"/>
  <c r="E192" i="5"/>
  <c r="D193" i="5"/>
  <c r="E193" i="5"/>
  <c r="C115" i="5"/>
  <c r="D115" i="5"/>
  <c r="E115" i="5"/>
  <c r="C116" i="5"/>
  <c r="D116" i="5"/>
  <c r="E116" i="5"/>
  <c r="C117" i="5"/>
  <c r="D117" i="5"/>
  <c r="E117" i="5"/>
  <c r="C118" i="5"/>
  <c r="D118" i="5"/>
  <c r="E118" i="5"/>
  <c r="C119" i="5"/>
  <c r="D119" i="5"/>
  <c r="E119" i="5"/>
  <c r="C120" i="5"/>
  <c r="D120" i="5"/>
  <c r="E120" i="5"/>
  <c r="C121" i="5"/>
  <c r="D121" i="5"/>
  <c r="E121" i="5"/>
  <c r="C122" i="5"/>
  <c r="D122" i="5"/>
  <c r="E122" i="5"/>
  <c r="C123" i="5"/>
  <c r="D123" i="5"/>
  <c r="E123" i="5"/>
  <c r="C124" i="5"/>
  <c r="D124" i="5"/>
  <c r="E124" i="5"/>
  <c r="C125" i="5"/>
  <c r="D125" i="5"/>
  <c r="E125" i="5"/>
  <c r="C126" i="5"/>
  <c r="D126" i="5"/>
  <c r="E126" i="5"/>
  <c r="C127" i="5"/>
  <c r="D127" i="5"/>
  <c r="E127" i="5"/>
  <c r="C128" i="5"/>
  <c r="D128" i="5"/>
  <c r="E128" i="5"/>
  <c r="C129" i="5"/>
  <c r="D129" i="5"/>
  <c r="E129" i="5"/>
  <c r="K213" i="5"/>
  <c r="D245" i="5"/>
  <c r="E245" i="5"/>
  <c r="C246" i="5"/>
  <c r="D246" i="5"/>
  <c r="E246" i="5"/>
  <c r="C259" i="5"/>
  <c r="D259" i="5"/>
  <c r="E259" i="5"/>
  <c r="C205" i="5"/>
  <c r="D205" i="5"/>
  <c r="E205" i="5"/>
  <c r="C212" i="5"/>
  <c r="D212" i="5"/>
  <c r="E212" i="5"/>
  <c r="C213" i="5"/>
  <c r="D213" i="5"/>
  <c r="E213" i="5"/>
  <c r="F191" i="5"/>
  <c r="G191" i="5"/>
  <c r="H191" i="5"/>
  <c r="I191" i="5"/>
  <c r="J191" i="5"/>
  <c r="K191" i="5"/>
  <c r="L191" i="5"/>
  <c r="M191" i="5"/>
  <c r="G178" i="5"/>
  <c r="M189" i="5"/>
  <c r="L189" i="5"/>
  <c r="K189" i="5"/>
  <c r="J189" i="5"/>
  <c r="I189" i="5"/>
  <c r="H189" i="5"/>
  <c r="G189" i="5"/>
  <c r="F189" i="5"/>
  <c r="M188" i="5"/>
  <c r="L188" i="5"/>
  <c r="K188" i="5"/>
  <c r="J188" i="5"/>
  <c r="I188" i="5"/>
  <c r="H188" i="5"/>
  <c r="G188" i="5"/>
  <c r="F188" i="5"/>
  <c r="M187" i="5"/>
  <c r="L187" i="5"/>
  <c r="K187" i="5"/>
  <c r="J187" i="5"/>
  <c r="I187" i="5"/>
  <c r="H187" i="5"/>
  <c r="G187" i="5"/>
  <c r="F187" i="5"/>
  <c r="M185" i="5"/>
  <c r="L185" i="5"/>
  <c r="K185" i="5"/>
  <c r="J185" i="5"/>
  <c r="I185" i="5"/>
  <c r="H185" i="5"/>
  <c r="G185" i="5"/>
  <c r="F185" i="5"/>
  <c r="M184" i="5"/>
  <c r="L184" i="5"/>
  <c r="K184" i="5"/>
  <c r="J184" i="5"/>
  <c r="I184" i="5"/>
  <c r="H184" i="5"/>
  <c r="G184" i="5"/>
  <c r="F184" i="5"/>
  <c r="M183" i="5"/>
  <c r="L183" i="5"/>
  <c r="K183" i="5"/>
  <c r="J183" i="5"/>
  <c r="I183" i="5"/>
  <c r="H183" i="5"/>
  <c r="G183" i="5"/>
  <c r="F183" i="5"/>
  <c r="M182" i="5"/>
  <c r="L182" i="5"/>
  <c r="K182" i="5"/>
  <c r="J182" i="5"/>
  <c r="I182" i="5"/>
  <c r="H182" i="5"/>
  <c r="G182" i="5"/>
  <c r="F182" i="5"/>
  <c r="M180" i="5"/>
  <c r="L180" i="5"/>
  <c r="K180" i="5"/>
  <c r="J180" i="5"/>
  <c r="I180" i="5"/>
  <c r="H180" i="5"/>
  <c r="G180" i="5"/>
  <c r="F180" i="5"/>
  <c r="M179" i="5"/>
  <c r="L179" i="5"/>
  <c r="K179" i="5"/>
  <c r="J179" i="5"/>
  <c r="I179" i="5"/>
  <c r="H179" i="5"/>
  <c r="G179" i="5"/>
  <c r="F179" i="5"/>
  <c r="M178" i="5"/>
  <c r="L178" i="5"/>
  <c r="K178" i="5"/>
  <c r="J178" i="5"/>
  <c r="I178" i="5"/>
  <c r="H178" i="5"/>
  <c r="F178" i="5"/>
  <c r="F166" i="5"/>
  <c r="G166" i="5"/>
  <c r="H166" i="5"/>
  <c r="I166" i="5"/>
  <c r="J166" i="5"/>
  <c r="K166" i="5"/>
  <c r="L166" i="5"/>
  <c r="M166" i="5"/>
  <c r="F167" i="5"/>
  <c r="G167" i="5"/>
  <c r="H167" i="5"/>
  <c r="I167" i="5"/>
  <c r="J167" i="5"/>
  <c r="K167" i="5"/>
  <c r="L167" i="5"/>
  <c r="M167" i="5"/>
  <c r="F168" i="5"/>
  <c r="G168" i="5"/>
  <c r="H168" i="5"/>
  <c r="I168" i="5"/>
  <c r="J168" i="5"/>
  <c r="K168" i="5"/>
  <c r="L168" i="5"/>
  <c r="M168" i="5"/>
  <c r="F169" i="5"/>
  <c r="G169" i="5"/>
  <c r="H169" i="5"/>
  <c r="I169" i="5"/>
  <c r="J169" i="5"/>
  <c r="K169" i="5"/>
  <c r="L169" i="5"/>
  <c r="M169" i="5"/>
  <c r="F171" i="5"/>
  <c r="G171" i="5"/>
  <c r="H171" i="5"/>
  <c r="I171" i="5"/>
  <c r="J171" i="5"/>
  <c r="K171" i="5"/>
  <c r="L171" i="5"/>
  <c r="M171" i="5"/>
  <c r="F172" i="5"/>
  <c r="G172" i="5"/>
  <c r="H172" i="5"/>
  <c r="I172" i="5"/>
  <c r="J172" i="5"/>
  <c r="K172" i="5"/>
  <c r="L172" i="5"/>
  <c r="M172" i="5"/>
  <c r="F173" i="5"/>
  <c r="G173" i="5"/>
  <c r="H173" i="5"/>
  <c r="I173" i="5"/>
  <c r="J173" i="5"/>
  <c r="K173" i="5"/>
  <c r="L173" i="5"/>
  <c r="M173" i="5"/>
  <c r="F174" i="5"/>
  <c r="G174" i="5"/>
  <c r="H174" i="5"/>
  <c r="I174" i="5"/>
  <c r="J174" i="5"/>
  <c r="K174" i="5"/>
  <c r="L174" i="5"/>
  <c r="M174" i="5"/>
  <c r="F175" i="5"/>
  <c r="G175" i="5"/>
  <c r="H175" i="5"/>
  <c r="I175" i="5"/>
  <c r="J175" i="5"/>
  <c r="K175" i="5"/>
  <c r="L175" i="5"/>
  <c r="M175" i="5"/>
  <c r="G165" i="5"/>
  <c r="H165" i="5"/>
  <c r="I165" i="5"/>
  <c r="J165" i="5"/>
  <c r="K165" i="5"/>
  <c r="F165" i="5"/>
  <c r="M158" i="5"/>
  <c r="L115" i="5"/>
  <c r="G116" i="5"/>
  <c r="H116" i="5"/>
  <c r="I116" i="5"/>
  <c r="J116" i="5"/>
  <c r="K116" i="5"/>
  <c r="L116" i="5"/>
  <c r="M116" i="5"/>
  <c r="G117" i="5"/>
  <c r="H117" i="5"/>
  <c r="I117" i="5"/>
  <c r="J117" i="5"/>
  <c r="K117" i="5"/>
  <c r="L117" i="5"/>
  <c r="M117" i="5"/>
  <c r="G118" i="5"/>
  <c r="H118" i="5"/>
  <c r="I118" i="5"/>
  <c r="J118" i="5"/>
  <c r="K118" i="5"/>
  <c r="L118" i="5"/>
  <c r="M118" i="5"/>
  <c r="G119" i="5"/>
  <c r="H119" i="5"/>
  <c r="I119" i="5"/>
  <c r="J119" i="5"/>
  <c r="K119" i="5"/>
  <c r="L119" i="5"/>
  <c r="M119" i="5"/>
  <c r="G120" i="5"/>
  <c r="H120" i="5"/>
  <c r="I120" i="5"/>
  <c r="J120" i="5"/>
  <c r="K120" i="5"/>
  <c r="L120" i="5"/>
  <c r="M120" i="5"/>
  <c r="L121" i="5"/>
  <c r="G122" i="5"/>
  <c r="H122" i="5"/>
  <c r="I122" i="5"/>
  <c r="J122" i="5"/>
  <c r="K122" i="5"/>
  <c r="L122" i="5"/>
  <c r="M122" i="5"/>
  <c r="L123" i="5"/>
  <c r="L124" i="5"/>
  <c r="G125" i="5"/>
  <c r="H125" i="5"/>
  <c r="I125" i="5"/>
  <c r="J125" i="5"/>
  <c r="K125" i="5"/>
  <c r="L125" i="5"/>
  <c r="M125" i="5"/>
  <c r="G126" i="5"/>
  <c r="H126" i="5"/>
  <c r="I126" i="5"/>
  <c r="J126" i="5"/>
  <c r="K126" i="5"/>
  <c r="L126" i="5"/>
  <c r="M126" i="5"/>
  <c r="G127" i="5"/>
  <c r="H127" i="5"/>
  <c r="I127" i="5"/>
  <c r="J127" i="5"/>
  <c r="K127" i="5"/>
  <c r="L127" i="5"/>
  <c r="M127" i="5"/>
  <c r="G128" i="5"/>
  <c r="H128" i="5"/>
  <c r="I128" i="5"/>
  <c r="J128" i="5"/>
  <c r="K128" i="5"/>
  <c r="L128" i="5"/>
  <c r="M128" i="5"/>
  <c r="G129" i="5"/>
  <c r="H129" i="5"/>
  <c r="I129" i="5"/>
  <c r="J129" i="5"/>
  <c r="K129" i="5"/>
  <c r="L129" i="5"/>
  <c r="F116" i="5"/>
  <c r="F117" i="5"/>
  <c r="F118" i="5"/>
  <c r="F119" i="5"/>
  <c r="F120" i="5"/>
  <c r="F122" i="5"/>
  <c r="F125" i="5"/>
  <c r="F126" i="5"/>
  <c r="F127" i="5"/>
  <c r="F128" i="5"/>
  <c r="F129" i="5"/>
  <c r="J2" i="5"/>
  <c r="I2" i="5" s="1"/>
  <c r="H2" i="5" s="1"/>
  <c r="G2" i="5" s="1"/>
  <c r="F2" i="5" s="1"/>
  <c r="E2" i="5" s="1"/>
  <c r="D2" i="5" s="1"/>
  <c r="C2" i="5" s="1"/>
  <c r="B2" i="5" s="1"/>
  <c r="F269" i="5"/>
  <c r="F239" i="5" s="1"/>
  <c r="M56" i="5" l="1"/>
  <c r="N13" i="5"/>
  <c r="N61" i="5"/>
  <c r="P91" i="5"/>
  <c r="P93" i="5"/>
  <c r="P24" i="5"/>
  <c r="P17" i="5"/>
  <c r="O18" i="5"/>
  <c r="Q20" i="5"/>
  <c r="C249" i="5"/>
  <c r="C220" i="5"/>
  <c r="F249" i="5"/>
  <c r="F220" i="5"/>
  <c r="G249" i="5"/>
  <c r="G220" i="5"/>
  <c r="L33" i="5"/>
  <c r="L35" i="5" s="1"/>
  <c r="L249" i="5"/>
  <c r="M92" i="5"/>
  <c r="N92" i="5" s="1"/>
  <c r="M249" i="5"/>
  <c r="C33" i="5"/>
  <c r="C92" i="5"/>
  <c r="B33" i="5"/>
  <c r="B92" i="5"/>
  <c r="F33" i="5"/>
  <c r="F35" i="5" s="1"/>
  <c r="F92" i="5"/>
  <c r="G33" i="5"/>
  <c r="G35" i="5" s="1"/>
  <c r="G92" i="5"/>
  <c r="AJ76" i="5"/>
  <c r="K91" i="5"/>
  <c r="AG72" i="5"/>
  <c r="AG33" i="5"/>
  <c r="C72" i="5"/>
  <c r="AL72" i="5"/>
  <c r="AO72" i="5"/>
  <c r="L67" i="5"/>
  <c r="L71" i="5"/>
  <c r="G72" i="5"/>
  <c r="AI72" i="5"/>
  <c r="AP72" i="5"/>
  <c r="M67" i="5"/>
  <c r="N67" i="5"/>
  <c r="M71" i="5"/>
  <c r="N71" i="5"/>
  <c r="AJ72" i="5"/>
  <c r="AF72" i="5"/>
  <c r="AQ72" i="5"/>
  <c r="AR72" i="5"/>
  <c r="AB72" i="5"/>
  <c r="AM72" i="5"/>
  <c r="K29" i="5"/>
  <c r="D29" i="5"/>
  <c r="D220" i="5" s="1"/>
  <c r="E29" i="5"/>
  <c r="H29" i="5"/>
  <c r="H220" i="5" s="1"/>
  <c r="Y29" i="5"/>
  <c r="AD72" i="5" s="1"/>
  <c r="I29" i="5"/>
  <c r="Z29" i="5"/>
  <c r="J29" i="5"/>
  <c r="AE29" i="5"/>
  <c r="AE33" i="5" s="1"/>
  <c r="J24" i="6"/>
  <c r="K24" i="6"/>
  <c r="E247" i="5"/>
  <c r="C247" i="5"/>
  <c r="D247" i="5"/>
  <c r="L63" i="4"/>
  <c r="L57" i="4"/>
  <c r="L53" i="4"/>
  <c r="L54" i="4"/>
  <c r="L55" i="4"/>
  <c r="L56" i="4"/>
  <c r="L62" i="4"/>
  <c r="K52" i="4"/>
  <c r="L9" i="4"/>
  <c r="L7" i="4"/>
  <c r="K29" i="4"/>
  <c r="K28" i="4"/>
  <c r="K26" i="4"/>
  <c r="K24" i="4"/>
  <c r="K22" i="4"/>
  <c r="K20" i="4"/>
  <c r="K18" i="4"/>
  <c r="K56" i="4"/>
  <c r="K158" i="5"/>
  <c r="K58" i="4"/>
  <c r="K60" i="4" s="1"/>
  <c r="K66" i="4" s="1"/>
  <c r="K64" i="4"/>
  <c r="K59" i="4"/>
  <c r="K63" i="4"/>
  <c r="K7" i="4"/>
  <c r="K9" i="4"/>
  <c r="K11" i="4"/>
  <c r="K13" i="4"/>
  <c r="F267" i="5"/>
  <c r="M212" i="5"/>
  <c r="M213" i="5"/>
  <c r="M224" i="5"/>
  <c r="G246" i="5"/>
  <c r="H246" i="5"/>
  <c r="I246" i="5"/>
  <c r="J246" i="5"/>
  <c r="K246" i="5"/>
  <c r="F246" i="5"/>
  <c r="G205" i="5"/>
  <c r="H205" i="5"/>
  <c r="I205" i="5"/>
  <c r="J205" i="5"/>
  <c r="F205" i="5"/>
  <c r="M149" i="5"/>
  <c r="M160" i="5"/>
  <c r="M225" i="5"/>
  <c r="J98" i="5"/>
  <c r="M44" i="5"/>
  <c r="M246" i="5" s="1"/>
  <c r="L44" i="5"/>
  <c r="L87" i="5" s="1"/>
  <c r="J41" i="5"/>
  <c r="J93" i="5" s="1"/>
  <c r="M40" i="5"/>
  <c r="L40" i="5"/>
  <c r="K40" i="5"/>
  <c r="K83" i="5" s="1"/>
  <c r="M38" i="5"/>
  <c r="L38" i="5"/>
  <c r="K38" i="5"/>
  <c r="K81" i="5" s="1"/>
  <c r="M36" i="5"/>
  <c r="L36" i="5"/>
  <c r="K36" i="5"/>
  <c r="K79" i="5" s="1"/>
  <c r="M205" i="5"/>
  <c r="L205" i="5"/>
  <c r="K34" i="5"/>
  <c r="K32" i="5"/>
  <c r="L60" i="3"/>
  <c r="L66" i="3"/>
  <c r="M53" i="3"/>
  <c r="M47" i="3"/>
  <c r="AG54" i="3"/>
  <c r="AH54" i="3"/>
  <c r="AI54" i="3"/>
  <c r="AJ54" i="3"/>
  <c r="M44" i="3"/>
  <c r="M42" i="3"/>
  <c r="M38" i="3"/>
  <c r="M40" i="3"/>
  <c r="M37" i="3"/>
  <c r="M28" i="3"/>
  <c r="AG29" i="3"/>
  <c r="AH29" i="3"/>
  <c r="AI29" i="3"/>
  <c r="AJ29" i="3"/>
  <c r="AG30" i="3"/>
  <c r="AG21" i="3" s="1"/>
  <c r="AH30" i="3"/>
  <c r="AH27" i="3" s="1"/>
  <c r="AI30" i="3"/>
  <c r="AI21" i="3" s="1"/>
  <c r="AJ30" i="3"/>
  <c r="AJ27" i="3" s="1"/>
  <c r="AG26" i="3"/>
  <c r="AH26" i="3"/>
  <c r="AI26" i="3"/>
  <c r="AJ26" i="3"/>
  <c r="AG23" i="3"/>
  <c r="AH23" i="3"/>
  <c r="AI23" i="3"/>
  <c r="AJ23" i="3"/>
  <c r="AC20" i="3"/>
  <c r="AG20" i="3"/>
  <c r="AH20" i="3"/>
  <c r="AI20" i="3"/>
  <c r="AJ20" i="3"/>
  <c r="AG17" i="3"/>
  <c r="AH17" i="3"/>
  <c r="AI17" i="3"/>
  <c r="AJ17" i="3"/>
  <c r="M25" i="3"/>
  <c r="M22" i="3"/>
  <c r="M19" i="3"/>
  <c r="M16" i="3"/>
  <c r="M10" i="3"/>
  <c r="M7" i="3"/>
  <c r="M4" i="3"/>
  <c r="AH13" i="3"/>
  <c r="AH12" i="3" s="1"/>
  <c r="AI13" i="3"/>
  <c r="AI12" i="3" s="1"/>
  <c r="AJ13" i="3"/>
  <c r="AJ9" i="3" s="1"/>
  <c r="AH11" i="3"/>
  <c r="AI11" i="3"/>
  <c r="AJ11" i="3"/>
  <c r="AH8" i="3"/>
  <c r="AI8" i="3"/>
  <c r="AJ8" i="3"/>
  <c r="AH5" i="3"/>
  <c r="AI5" i="3"/>
  <c r="AJ5" i="3"/>
  <c r="AG5" i="3"/>
  <c r="AG13" i="3"/>
  <c r="AG11" i="3"/>
  <c r="AG8" i="3"/>
  <c r="F245" i="5"/>
  <c r="G245" i="5"/>
  <c r="H245" i="5"/>
  <c r="I245" i="5"/>
  <c r="J245" i="5"/>
  <c r="O13" i="5" l="1"/>
  <c r="P13" i="5" s="1"/>
  <c r="Q13" i="5" s="1"/>
  <c r="R13" i="5" s="1"/>
  <c r="S13" i="5" s="1"/>
  <c r="N56" i="5"/>
  <c r="O92" i="5"/>
  <c r="N29" i="5"/>
  <c r="Q93" i="5"/>
  <c r="Q24" i="5"/>
  <c r="Q91" i="5" s="1"/>
  <c r="Q17" i="5"/>
  <c r="P18" i="5"/>
  <c r="S20" i="5"/>
  <c r="R20" i="5"/>
  <c r="I249" i="5"/>
  <c r="I220" i="5"/>
  <c r="E249" i="5"/>
  <c r="E220" i="5"/>
  <c r="E255" i="5"/>
  <c r="J249" i="5"/>
  <c r="J220" i="5"/>
  <c r="D255" i="5"/>
  <c r="K92" i="5"/>
  <c r="K249" i="5"/>
  <c r="H92" i="5"/>
  <c r="H249" i="5"/>
  <c r="D92" i="5"/>
  <c r="D249" i="5"/>
  <c r="C255" i="5" s="1"/>
  <c r="J33" i="5"/>
  <c r="J35" i="5" s="1"/>
  <c r="J92" i="5"/>
  <c r="E33" i="5"/>
  <c r="E92" i="5"/>
  <c r="I33" i="5"/>
  <c r="I35" i="5" s="1"/>
  <c r="I92" i="5"/>
  <c r="M72" i="5"/>
  <c r="L92" i="5"/>
  <c r="K75" i="5"/>
  <c r="K33" i="5"/>
  <c r="K35" i="5" s="1"/>
  <c r="D72" i="5"/>
  <c r="D33" i="5"/>
  <c r="M33" i="5"/>
  <c r="M35" i="5" s="1"/>
  <c r="N75" i="5"/>
  <c r="H72" i="5"/>
  <c r="H33" i="5"/>
  <c r="H35" i="5" s="1"/>
  <c r="L75" i="5"/>
  <c r="L83" i="5"/>
  <c r="AE72" i="5"/>
  <c r="I72" i="5"/>
  <c r="E72" i="5"/>
  <c r="M87" i="5"/>
  <c r="N87" i="5"/>
  <c r="F72" i="5"/>
  <c r="N83" i="5"/>
  <c r="M83" i="5"/>
  <c r="L77" i="5"/>
  <c r="K77" i="5"/>
  <c r="L79" i="5"/>
  <c r="M81" i="5"/>
  <c r="N81" i="5"/>
  <c r="J72" i="5"/>
  <c r="K72" i="5"/>
  <c r="M75" i="5"/>
  <c r="L81" i="5"/>
  <c r="AJ35" i="5"/>
  <c r="N79" i="5"/>
  <c r="M79" i="5"/>
  <c r="L72" i="5"/>
  <c r="AJ37" i="5"/>
  <c r="AK72" i="5"/>
  <c r="AI24" i="3"/>
  <c r="AH24" i="3"/>
  <c r="M154" i="5"/>
  <c r="M161" i="5" s="1"/>
  <c r="K115" i="5"/>
  <c r="K205" i="5"/>
  <c r="L246" i="5"/>
  <c r="G247" i="5"/>
  <c r="I247" i="5"/>
  <c r="H247" i="5"/>
  <c r="J247" i="5"/>
  <c r="F247" i="5"/>
  <c r="F255" i="5" s="1"/>
  <c r="W33" i="5"/>
  <c r="J43" i="5"/>
  <c r="M30" i="3"/>
  <c r="M27" i="3" s="1"/>
  <c r="AH18" i="3"/>
  <c r="AI27" i="3"/>
  <c r="AI32" i="3"/>
  <c r="AI39" i="3" s="1"/>
  <c r="AI43" i="3" s="1"/>
  <c r="AI45" i="3" s="1"/>
  <c r="M6" i="3"/>
  <c r="AH32" i="3"/>
  <c r="AJ32" i="3"/>
  <c r="AG32" i="3"/>
  <c r="AJ18" i="3"/>
  <c r="AI18" i="3"/>
  <c r="AH21" i="3"/>
  <c r="AJ21" i="3"/>
  <c r="AG18" i="3"/>
  <c r="AG27" i="3"/>
  <c r="AG24" i="3"/>
  <c r="AJ24" i="3"/>
  <c r="AJ6" i="3"/>
  <c r="AI9" i="3"/>
  <c r="AH6" i="3"/>
  <c r="AI6" i="3"/>
  <c r="AJ12" i="3"/>
  <c r="AH9" i="3"/>
  <c r="AG9" i="3"/>
  <c r="AG6" i="3"/>
  <c r="AG12" i="3"/>
  <c r="K225" i="5"/>
  <c r="L225" i="5"/>
  <c r="K224" i="5"/>
  <c r="L224" i="5"/>
  <c r="G213" i="5"/>
  <c r="H213" i="5"/>
  <c r="I213" i="5"/>
  <c r="J213" i="5"/>
  <c r="L213" i="5"/>
  <c r="F213" i="5"/>
  <c r="H255" i="5" l="1"/>
  <c r="I255" i="5"/>
  <c r="N33" i="5"/>
  <c r="N35" i="5" s="1"/>
  <c r="N72" i="5"/>
  <c r="R17" i="5"/>
  <c r="Q18" i="5"/>
  <c r="R93" i="5"/>
  <c r="R24" i="5"/>
  <c r="R91" i="5" s="1"/>
  <c r="S24" i="5"/>
  <c r="S91" i="5" s="1"/>
  <c r="S93" i="5"/>
  <c r="P92" i="5"/>
  <c r="O29" i="5"/>
  <c r="J255" i="5"/>
  <c r="G255" i="5"/>
  <c r="AJ39" i="5"/>
  <c r="Z33" i="5"/>
  <c r="Z37" i="5" s="1"/>
  <c r="Z39" i="5" s="1"/>
  <c r="Z41" i="5" s="1"/>
  <c r="M18" i="3"/>
  <c r="AI41" i="3"/>
  <c r="AQ76" i="5"/>
  <c r="AO76" i="5"/>
  <c r="B35" i="5"/>
  <c r="B39" i="5"/>
  <c r="B41" i="5" s="1"/>
  <c r="B93" i="5" s="1"/>
  <c r="W35" i="5"/>
  <c r="W37" i="5"/>
  <c r="W39" i="5" s="1"/>
  <c r="W41" i="5" s="1"/>
  <c r="W43" i="5" s="1"/>
  <c r="Y33" i="5"/>
  <c r="AA33" i="5"/>
  <c r="E201" i="5"/>
  <c r="E250" i="5" s="1"/>
  <c r="E251" i="5" s="1"/>
  <c r="D201" i="5"/>
  <c r="D250" i="5" s="1"/>
  <c r="D251" i="5" s="1"/>
  <c r="M21" i="3"/>
  <c r="M24" i="3"/>
  <c r="M9" i="3"/>
  <c r="M32" i="3"/>
  <c r="AH39" i="3"/>
  <c r="M12" i="3"/>
  <c r="AG39" i="3"/>
  <c r="AJ39" i="3"/>
  <c r="AI56" i="3"/>
  <c r="AI48" i="3"/>
  <c r="AI51" i="3" s="1"/>
  <c r="G212" i="5"/>
  <c r="H212" i="5"/>
  <c r="I212" i="5"/>
  <c r="J212" i="5"/>
  <c r="K212" i="5"/>
  <c r="F212" i="5"/>
  <c r="S17" i="5" l="1"/>
  <c r="S18" i="5" s="1"/>
  <c r="R18" i="5"/>
  <c r="Q92" i="5"/>
  <c r="P29" i="5"/>
  <c r="AP76" i="5"/>
  <c r="AR76" i="5"/>
  <c r="AJ41" i="5"/>
  <c r="Z35" i="5"/>
  <c r="D252" i="5"/>
  <c r="C256" i="5"/>
  <c r="E252" i="5"/>
  <c r="D256" i="5"/>
  <c r="C201" i="5"/>
  <c r="C250" i="5" s="1"/>
  <c r="C251" i="5" s="1"/>
  <c r="AP37" i="5"/>
  <c r="AI35" i="5"/>
  <c r="AQ35" i="5"/>
  <c r="G201" i="5"/>
  <c r="G250" i="5" s="1"/>
  <c r="G251" i="5" s="1"/>
  <c r="H201" i="5"/>
  <c r="H250" i="5" s="1"/>
  <c r="H251" i="5" s="1"/>
  <c r="AL35" i="5"/>
  <c r="AO35" i="5"/>
  <c r="AO78" i="5" s="1"/>
  <c r="F201" i="5"/>
  <c r="F250" i="5" s="1"/>
  <c r="F251" i="5" s="1"/>
  <c r="AK37" i="5"/>
  <c r="AM35" i="5"/>
  <c r="M201" i="5"/>
  <c r="M220" i="5"/>
  <c r="L201" i="5"/>
  <c r="L220" i="5"/>
  <c r="AI37" i="5"/>
  <c r="I201" i="5"/>
  <c r="I250" i="5" s="1"/>
  <c r="I251" i="5" s="1"/>
  <c r="AM37" i="5"/>
  <c r="AO37" i="5"/>
  <c r="AO80" i="5" s="1"/>
  <c r="AQ37" i="5"/>
  <c r="AK35" i="5"/>
  <c r="AL37" i="5"/>
  <c r="AA35" i="5"/>
  <c r="AA37" i="5"/>
  <c r="AA39" i="5" s="1"/>
  <c r="AA41" i="5" s="1"/>
  <c r="AR35" i="5"/>
  <c r="AR37" i="5"/>
  <c r="Z43" i="5"/>
  <c r="C76" i="5"/>
  <c r="AB33" i="5"/>
  <c r="AB76" i="5" s="1"/>
  <c r="Y35" i="5"/>
  <c r="Y37" i="5"/>
  <c r="Y39" i="5" s="1"/>
  <c r="Y41" i="5" s="1"/>
  <c r="AE76" i="5"/>
  <c r="AF76" i="5"/>
  <c r="M39" i="3"/>
  <c r="M41" i="3" s="1"/>
  <c r="AG43" i="3"/>
  <c r="AG41" i="3"/>
  <c r="AH43" i="3"/>
  <c r="AH45" i="3" s="1"/>
  <c r="AH41" i="3"/>
  <c r="AJ43" i="3"/>
  <c r="AJ45" i="3" s="1"/>
  <c r="AJ41" i="3"/>
  <c r="F158" i="5"/>
  <c r="G158" i="5"/>
  <c r="H158" i="5"/>
  <c r="I158" i="5"/>
  <c r="J158" i="5"/>
  <c r="L158" i="5"/>
  <c r="K149" i="5"/>
  <c r="L149" i="5"/>
  <c r="K160" i="5"/>
  <c r="F149" i="5"/>
  <c r="G149" i="5"/>
  <c r="H149" i="5"/>
  <c r="I149" i="5"/>
  <c r="J104" i="5"/>
  <c r="D20" i="4"/>
  <c r="E20" i="4"/>
  <c r="F20" i="4"/>
  <c r="G20" i="4"/>
  <c r="H20" i="4"/>
  <c r="I20" i="4"/>
  <c r="J20" i="4"/>
  <c r="D22" i="4"/>
  <c r="E22" i="4"/>
  <c r="F22" i="4"/>
  <c r="G22" i="4"/>
  <c r="H22" i="4"/>
  <c r="I22" i="4"/>
  <c r="J22" i="4"/>
  <c r="D24" i="4"/>
  <c r="E24" i="4"/>
  <c r="F24" i="4"/>
  <c r="G24" i="4"/>
  <c r="H24" i="4"/>
  <c r="I24" i="4"/>
  <c r="J24" i="4"/>
  <c r="D26" i="4"/>
  <c r="E26" i="4"/>
  <c r="F26" i="4"/>
  <c r="G26" i="4"/>
  <c r="H26" i="4"/>
  <c r="I26" i="4"/>
  <c r="J26" i="4"/>
  <c r="D28" i="4"/>
  <c r="E28" i="4"/>
  <c r="F28" i="4"/>
  <c r="G28" i="4"/>
  <c r="H28" i="4"/>
  <c r="I28" i="4"/>
  <c r="J28" i="4"/>
  <c r="C28" i="4"/>
  <c r="C26" i="4"/>
  <c r="C24" i="4"/>
  <c r="C22" i="4"/>
  <c r="C20" i="4"/>
  <c r="D18" i="4"/>
  <c r="E18" i="4"/>
  <c r="F18" i="4"/>
  <c r="G18" i="4"/>
  <c r="H18" i="4"/>
  <c r="I18" i="4"/>
  <c r="J18" i="4"/>
  <c r="C18" i="4"/>
  <c r="F138" i="5"/>
  <c r="D64" i="4"/>
  <c r="D63" i="4"/>
  <c r="B62" i="4"/>
  <c r="C62" i="4"/>
  <c r="D62" i="4"/>
  <c r="E62" i="4"/>
  <c r="F62" i="4"/>
  <c r="G62" i="4"/>
  <c r="H62" i="4"/>
  <c r="I62" i="4"/>
  <c r="J62" i="4"/>
  <c r="C63" i="4"/>
  <c r="E63" i="4"/>
  <c r="B57" i="4"/>
  <c r="B56" i="4"/>
  <c r="B59" i="4"/>
  <c r="C64" i="4"/>
  <c r="E64" i="4"/>
  <c r="F64" i="4"/>
  <c r="G64" i="4"/>
  <c r="H64" i="4"/>
  <c r="I64" i="4"/>
  <c r="J64" i="4"/>
  <c r="B64" i="4"/>
  <c r="K62" i="4"/>
  <c r="I59" i="4"/>
  <c r="J63" i="4"/>
  <c r="F63" i="4"/>
  <c r="G63" i="4"/>
  <c r="H63" i="4"/>
  <c r="I63" i="4"/>
  <c r="B63" i="4"/>
  <c r="M250" i="5" l="1"/>
  <c r="M251" i="5" s="1"/>
  <c r="F195" i="5"/>
  <c r="R92" i="5"/>
  <c r="Q29" i="5"/>
  <c r="L250" i="5"/>
  <c r="L251" i="5" s="1"/>
  <c r="H252" i="5"/>
  <c r="G252" i="5"/>
  <c r="C252" i="5"/>
  <c r="F211" i="5"/>
  <c r="F214" i="5" s="1"/>
  <c r="AR78" i="5"/>
  <c r="AP78" i="5"/>
  <c r="AR80" i="5"/>
  <c r="I76" i="5"/>
  <c r="AQ78" i="5"/>
  <c r="AK76" i="5"/>
  <c r="E206" i="5"/>
  <c r="E76" i="5"/>
  <c r="AG76" i="5"/>
  <c r="AP80" i="5"/>
  <c r="F76" i="5"/>
  <c r="D206" i="5"/>
  <c r="D76" i="5"/>
  <c r="AQ80" i="5"/>
  <c r="AD76" i="5"/>
  <c r="AJ43" i="5"/>
  <c r="AI76" i="5"/>
  <c r="G76" i="5"/>
  <c r="M76" i="5"/>
  <c r="N76" i="5"/>
  <c r="AL76" i="5"/>
  <c r="H76" i="5"/>
  <c r="AM76" i="5"/>
  <c r="E253" i="5"/>
  <c r="H181" i="5"/>
  <c r="I181" i="5"/>
  <c r="J160" i="5"/>
  <c r="J190" i="5"/>
  <c r="K190" i="5"/>
  <c r="F160" i="5"/>
  <c r="F192" i="5" s="1"/>
  <c r="F190" i="5"/>
  <c r="F252" i="5"/>
  <c r="F253" i="5" s="1"/>
  <c r="E256" i="5"/>
  <c r="G160" i="5"/>
  <c r="G190" i="5"/>
  <c r="L181" i="5"/>
  <c r="M181" i="5"/>
  <c r="I160" i="5"/>
  <c r="I190" i="5"/>
  <c r="L160" i="5"/>
  <c r="L190" i="5"/>
  <c r="M190" i="5"/>
  <c r="G181" i="5"/>
  <c r="H160" i="5"/>
  <c r="H190" i="5"/>
  <c r="D253" i="5"/>
  <c r="C206" i="5"/>
  <c r="AD37" i="5"/>
  <c r="AI80" i="5" s="1"/>
  <c r="AD35" i="5"/>
  <c r="G256" i="5"/>
  <c r="J106" i="5"/>
  <c r="J107" i="5" s="1"/>
  <c r="K121" i="5"/>
  <c r="AQ39" i="5"/>
  <c r="I206" i="5"/>
  <c r="F206" i="5"/>
  <c r="AO39" i="5"/>
  <c r="AO82" i="5" s="1"/>
  <c r="H206" i="5"/>
  <c r="G206" i="5"/>
  <c r="AM39" i="5"/>
  <c r="AK39" i="5"/>
  <c r="AI39" i="5"/>
  <c r="AR39" i="5"/>
  <c r="F256" i="5"/>
  <c r="AP39" i="5"/>
  <c r="AP82" i="5" s="1"/>
  <c r="K201" i="5"/>
  <c r="K250" i="5" s="1"/>
  <c r="K251" i="5" s="1"/>
  <c r="K220" i="5"/>
  <c r="I252" i="5"/>
  <c r="H256" i="5"/>
  <c r="I39" i="5"/>
  <c r="K154" i="5"/>
  <c r="L154" i="5"/>
  <c r="M252" i="5"/>
  <c r="M206" i="5"/>
  <c r="L37" i="5"/>
  <c r="L206" i="5"/>
  <c r="J201" i="5"/>
  <c r="J250" i="5" s="1"/>
  <c r="J251" i="5" s="1"/>
  <c r="AL39" i="5"/>
  <c r="M37" i="5"/>
  <c r="H39" i="5"/>
  <c r="AB35" i="5"/>
  <c r="AB78" i="5" s="1"/>
  <c r="AB37" i="5"/>
  <c r="AB80" i="5" s="1"/>
  <c r="J76" i="5"/>
  <c r="AG35" i="5"/>
  <c r="AG37" i="5"/>
  <c r="Y43" i="5"/>
  <c r="F39" i="5"/>
  <c r="D39" i="5"/>
  <c r="D35" i="5"/>
  <c r="AE37" i="5"/>
  <c r="AE80" i="5" s="1"/>
  <c r="AE35" i="5"/>
  <c r="AE78" i="5" s="1"/>
  <c r="AA43" i="5"/>
  <c r="AF35" i="5"/>
  <c r="AF78" i="5" s="1"/>
  <c r="AF37" i="5"/>
  <c r="AF80" i="5" s="1"/>
  <c r="G39" i="5"/>
  <c r="C35" i="5"/>
  <c r="C78" i="5" s="1"/>
  <c r="C39" i="5"/>
  <c r="C82" i="5" s="1"/>
  <c r="E35" i="5"/>
  <c r="E39" i="5"/>
  <c r="AH56" i="3"/>
  <c r="AH48" i="3"/>
  <c r="AH51" i="3" s="1"/>
  <c r="AJ56" i="3"/>
  <c r="AJ48" i="3"/>
  <c r="AJ51" i="3" s="1"/>
  <c r="M43" i="3"/>
  <c r="AG45" i="3"/>
  <c r="F144" i="5"/>
  <c r="F248" i="5"/>
  <c r="F258" i="5" s="1"/>
  <c r="K138" i="5"/>
  <c r="H138" i="5"/>
  <c r="H195" i="5" s="1"/>
  <c r="I138" i="5"/>
  <c r="I195" i="5" s="1"/>
  <c r="G138" i="5"/>
  <c r="J138" i="5"/>
  <c r="J149" i="5"/>
  <c r="J181" i="5" s="1"/>
  <c r="I154" i="5"/>
  <c r="H154" i="5"/>
  <c r="G154" i="5"/>
  <c r="F154" i="5"/>
  <c r="E149" i="5"/>
  <c r="D149" i="5"/>
  <c r="C149" i="5"/>
  <c r="C154" i="5" s="1"/>
  <c r="E138" i="5"/>
  <c r="D138" i="5"/>
  <c r="C138" i="5"/>
  <c r="B53" i="4"/>
  <c r="D13" i="4"/>
  <c r="E13" i="4"/>
  <c r="F13" i="4"/>
  <c r="G13" i="4"/>
  <c r="H13" i="4"/>
  <c r="I13" i="4"/>
  <c r="J13" i="4"/>
  <c r="C13" i="4"/>
  <c r="C11" i="4"/>
  <c r="D11" i="4"/>
  <c r="E11" i="4"/>
  <c r="C9" i="4"/>
  <c r="D9" i="4"/>
  <c r="E9" i="4"/>
  <c r="C7" i="4"/>
  <c r="D7" i="4"/>
  <c r="E7" i="4"/>
  <c r="B55" i="4"/>
  <c r="B54" i="4"/>
  <c r="C65" i="4"/>
  <c r="C59" i="4"/>
  <c r="C57" i="4"/>
  <c r="C56" i="4"/>
  <c r="C55" i="4"/>
  <c r="C54" i="4"/>
  <c r="C53" i="4"/>
  <c r="B19" i="1"/>
  <c r="C19" i="1"/>
  <c r="D19" i="1"/>
  <c r="E19" i="1"/>
  <c r="F19" i="1"/>
  <c r="G19" i="1"/>
  <c r="H19" i="1"/>
  <c r="I19" i="1"/>
  <c r="I24" i="1" s="1"/>
  <c r="B24" i="1"/>
  <c r="C24" i="1"/>
  <c r="D24" i="1"/>
  <c r="E24" i="1"/>
  <c r="F24" i="1"/>
  <c r="G24" i="1"/>
  <c r="H24" i="1"/>
  <c r="B8" i="1"/>
  <c r="C8" i="1"/>
  <c r="D8" i="1"/>
  <c r="E8" i="1"/>
  <c r="F8" i="1"/>
  <c r="I8" i="1"/>
  <c r="K65" i="4"/>
  <c r="K55" i="4"/>
  <c r="F11" i="4"/>
  <c r="G11" i="4"/>
  <c r="H11" i="4"/>
  <c r="I11" i="4"/>
  <c r="J11" i="4"/>
  <c r="F9" i="4"/>
  <c r="G9" i="4"/>
  <c r="H9" i="4"/>
  <c r="I9" i="4"/>
  <c r="J9" i="4"/>
  <c r="F7" i="4"/>
  <c r="G7" i="4"/>
  <c r="H7" i="4"/>
  <c r="I7" i="4"/>
  <c r="J7" i="4"/>
  <c r="E65" i="4"/>
  <c r="F65" i="4"/>
  <c r="G65" i="4"/>
  <c r="H65" i="4"/>
  <c r="I65" i="4"/>
  <c r="J65" i="4"/>
  <c r="D65" i="4"/>
  <c r="E59" i="4"/>
  <c r="F59" i="4"/>
  <c r="G59" i="4"/>
  <c r="H59" i="4"/>
  <c r="J59" i="4"/>
  <c r="D59" i="4"/>
  <c r="F262" i="5" l="1"/>
  <c r="F264" i="5" s="1"/>
  <c r="S92" i="5"/>
  <c r="S29" i="5" s="1"/>
  <c r="R29" i="5"/>
  <c r="L252" i="5"/>
  <c r="C195" i="5"/>
  <c r="D196" i="5" s="1"/>
  <c r="D226" i="5" s="1"/>
  <c r="D195" i="5"/>
  <c r="G170" i="5"/>
  <c r="G195" i="5"/>
  <c r="E195" i="5"/>
  <c r="F196" i="5" s="1"/>
  <c r="F226" i="5" s="1"/>
  <c r="I196" i="5"/>
  <c r="I226" i="5" s="1"/>
  <c r="K252" i="5"/>
  <c r="F78" i="5"/>
  <c r="H78" i="5"/>
  <c r="AG80" i="5"/>
  <c r="F82" i="5"/>
  <c r="K76" i="5"/>
  <c r="E207" i="5"/>
  <c r="E78" i="5"/>
  <c r="G78" i="5"/>
  <c r="D82" i="5"/>
  <c r="M80" i="5"/>
  <c r="N80" i="5"/>
  <c r="M78" i="5"/>
  <c r="N78" i="5"/>
  <c r="AR41" i="5"/>
  <c r="AR43" i="5" s="1"/>
  <c r="AR82" i="5"/>
  <c r="AM80" i="5"/>
  <c r="AL80" i="5"/>
  <c r="I82" i="5"/>
  <c r="J82" i="5"/>
  <c r="AQ82" i="5"/>
  <c r="AD78" i="5"/>
  <c r="AJ78" i="5"/>
  <c r="AI78" i="5"/>
  <c r="L76" i="5"/>
  <c r="AG78" i="5"/>
  <c r="I78" i="5"/>
  <c r="AD80" i="5"/>
  <c r="AJ80" i="5"/>
  <c r="AL78" i="5"/>
  <c r="AK78" i="5"/>
  <c r="E82" i="5"/>
  <c r="G82" i="5"/>
  <c r="D207" i="5"/>
  <c r="D78" i="5"/>
  <c r="H82" i="5"/>
  <c r="AM78" i="5"/>
  <c r="AK80" i="5"/>
  <c r="G192" i="5"/>
  <c r="I170" i="5"/>
  <c r="D170" i="5"/>
  <c r="I186" i="5"/>
  <c r="J192" i="5"/>
  <c r="H192" i="5"/>
  <c r="E154" i="5"/>
  <c r="F186" i="5" s="1"/>
  <c r="E181" i="5"/>
  <c r="E170" i="5"/>
  <c r="D154" i="5"/>
  <c r="D186" i="5" s="1"/>
  <c r="D181" i="5"/>
  <c r="H186" i="5"/>
  <c r="F170" i="5"/>
  <c r="D144" i="5"/>
  <c r="D211" i="5"/>
  <c r="D214" i="5" s="1"/>
  <c r="D248" i="5" s="1"/>
  <c r="D258" i="5" s="1"/>
  <c r="C144" i="5"/>
  <c r="C211" i="5"/>
  <c r="C214" i="5" s="1"/>
  <c r="C248" i="5" s="1"/>
  <c r="C258" i="5" s="1"/>
  <c r="L186" i="5"/>
  <c r="M186" i="5"/>
  <c r="L192" i="5"/>
  <c r="M192" i="5"/>
  <c r="H170" i="5"/>
  <c r="E144" i="5"/>
  <c r="E211" i="5"/>
  <c r="E214" i="5" s="1"/>
  <c r="E248" i="5" s="1"/>
  <c r="E258" i="5" s="1"/>
  <c r="G186" i="5"/>
  <c r="J170" i="5"/>
  <c r="K195" i="5"/>
  <c r="K170" i="5"/>
  <c r="M253" i="5"/>
  <c r="K181" i="5"/>
  <c r="I192" i="5"/>
  <c r="K192" i="5"/>
  <c r="F181" i="5"/>
  <c r="C207" i="5"/>
  <c r="AD39" i="5"/>
  <c r="J259" i="5"/>
  <c r="K124" i="5"/>
  <c r="K123" i="5"/>
  <c r="G207" i="5"/>
  <c r="G221" i="5" s="1"/>
  <c r="AF39" i="5"/>
  <c r="AF82" i="5" s="1"/>
  <c r="AI41" i="5"/>
  <c r="F207" i="5"/>
  <c r="F221" i="5" s="1"/>
  <c r="H207" i="5"/>
  <c r="H221" i="5" s="1"/>
  <c r="AL41" i="5"/>
  <c r="L207" i="5"/>
  <c r="L221" i="5" s="1"/>
  <c r="I98" i="5"/>
  <c r="AP41" i="5"/>
  <c r="AM41" i="5"/>
  <c r="AG39" i="5"/>
  <c r="AE39" i="5"/>
  <c r="AE82" i="5" s="1"/>
  <c r="AO41" i="5"/>
  <c r="AO84" i="5" s="1"/>
  <c r="H98" i="5"/>
  <c r="I207" i="5"/>
  <c r="I221" i="5" s="1"/>
  <c r="F98" i="5"/>
  <c r="M207" i="5"/>
  <c r="M202" i="5" s="1"/>
  <c r="G98" i="5"/>
  <c r="M39" i="5"/>
  <c r="AB39" i="5"/>
  <c r="AB82" i="5" s="1"/>
  <c r="AK41" i="5"/>
  <c r="AQ41" i="5"/>
  <c r="J256" i="5"/>
  <c r="K247" i="5"/>
  <c r="K256" i="5" s="1"/>
  <c r="F265" i="5"/>
  <c r="F237" i="5"/>
  <c r="L161" i="5"/>
  <c r="J252" i="5"/>
  <c r="I256" i="5"/>
  <c r="L39" i="5"/>
  <c r="I41" i="5"/>
  <c r="I93" i="5" s="1"/>
  <c r="F161" i="5"/>
  <c r="F193" i="5" s="1"/>
  <c r="G161" i="5"/>
  <c r="H161" i="5"/>
  <c r="I161" i="5"/>
  <c r="K161" i="5"/>
  <c r="J154" i="5"/>
  <c r="J186" i="5" s="1"/>
  <c r="J78" i="5"/>
  <c r="J206" i="5"/>
  <c r="K206" i="5"/>
  <c r="D41" i="5"/>
  <c r="D93" i="5" s="1"/>
  <c r="E41" i="5"/>
  <c r="E93" i="5" s="1"/>
  <c r="G41" i="5"/>
  <c r="G93" i="5" s="1"/>
  <c r="J195" i="5"/>
  <c r="J196" i="5" s="1"/>
  <c r="J226" i="5" s="1"/>
  <c r="K37" i="5"/>
  <c r="K80" i="5" s="1"/>
  <c r="C41" i="5"/>
  <c r="F41" i="5"/>
  <c r="F93" i="5" s="1"/>
  <c r="H41" i="5"/>
  <c r="H93" i="5" s="1"/>
  <c r="M45" i="3"/>
  <c r="M56" i="3" s="1"/>
  <c r="AG56" i="3"/>
  <c r="AG48" i="3"/>
  <c r="J144" i="5"/>
  <c r="J211" i="5"/>
  <c r="J214" i="5" s="1"/>
  <c r="J248" i="5" s="1"/>
  <c r="J258" i="5" s="1"/>
  <c r="K144" i="5"/>
  <c r="K211" i="5"/>
  <c r="K214" i="5" s="1"/>
  <c r="K248" i="5" s="1"/>
  <c r="I144" i="5"/>
  <c r="I211" i="5"/>
  <c r="I214" i="5" s="1"/>
  <c r="I248" i="5" s="1"/>
  <c r="I258" i="5" s="1"/>
  <c r="G144" i="5"/>
  <c r="G176" i="5" s="1"/>
  <c r="G211" i="5"/>
  <c r="G214" i="5" s="1"/>
  <c r="G248" i="5" s="1"/>
  <c r="G258" i="5" s="1"/>
  <c r="H144" i="5"/>
  <c r="H211" i="5"/>
  <c r="H214" i="5" s="1"/>
  <c r="H248" i="5" s="1"/>
  <c r="H258" i="5" s="1"/>
  <c r="E57" i="4"/>
  <c r="F57" i="4"/>
  <c r="G57" i="4"/>
  <c r="H57" i="4"/>
  <c r="I57" i="4"/>
  <c r="J57" i="4"/>
  <c r="D57" i="4"/>
  <c r="E56" i="4"/>
  <c r="F56" i="4"/>
  <c r="G56" i="4"/>
  <c r="H56" i="4"/>
  <c r="I56" i="4"/>
  <c r="J56" i="4"/>
  <c r="D56" i="4"/>
  <c r="E55" i="4"/>
  <c r="F55" i="4"/>
  <c r="G55" i="4"/>
  <c r="H55" i="4"/>
  <c r="I55" i="4"/>
  <c r="J55" i="4"/>
  <c r="D55" i="4"/>
  <c r="E54" i="4"/>
  <c r="F54" i="4"/>
  <c r="G54" i="4"/>
  <c r="H54" i="4"/>
  <c r="I54" i="4"/>
  <c r="J54" i="4"/>
  <c r="K54" i="4"/>
  <c r="D54" i="4"/>
  <c r="E53" i="4"/>
  <c r="F53" i="4"/>
  <c r="G53" i="4"/>
  <c r="H53" i="4"/>
  <c r="I53" i="4"/>
  <c r="J53" i="4"/>
  <c r="K53" i="4"/>
  <c r="D53" i="4"/>
  <c r="F268" i="5" l="1"/>
  <c r="F270" i="5" s="1"/>
  <c r="C202" i="5"/>
  <c r="C221" i="5"/>
  <c r="E202" i="5"/>
  <c r="E221" i="5"/>
  <c r="E196" i="5"/>
  <c r="E226" i="5" s="1"/>
  <c r="H196" i="5"/>
  <c r="H226" i="5" s="1"/>
  <c r="G196" i="5"/>
  <c r="G226" i="5" s="1"/>
  <c r="D202" i="5"/>
  <c r="D221" i="5"/>
  <c r="K255" i="5"/>
  <c r="C84" i="5"/>
  <c r="C93" i="5"/>
  <c r="E84" i="5"/>
  <c r="H84" i="5"/>
  <c r="F84" i="5"/>
  <c r="G84" i="5"/>
  <c r="K78" i="5"/>
  <c r="D84" i="5"/>
  <c r="AQ84" i="5"/>
  <c r="AG41" i="5"/>
  <c r="AG43" i="5" s="1"/>
  <c r="AG82" i="5"/>
  <c r="AK82" i="5"/>
  <c r="AP84" i="5"/>
  <c r="AD82" i="5"/>
  <c r="AJ82" i="5"/>
  <c r="L80" i="5"/>
  <c r="L78" i="5"/>
  <c r="I84" i="5"/>
  <c r="J84" i="5"/>
  <c r="M98" i="5"/>
  <c r="M104" i="5" s="1"/>
  <c r="M82" i="5"/>
  <c r="N82" i="5"/>
  <c r="AM82" i="5"/>
  <c r="AI82" i="5"/>
  <c r="AL82" i="5"/>
  <c r="AR84" i="5"/>
  <c r="D176" i="5"/>
  <c r="H193" i="5"/>
  <c r="H176" i="5"/>
  <c r="K196" i="5"/>
  <c r="K226" i="5" s="1"/>
  <c r="F176" i="5"/>
  <c r="E176" i="5"/>
  <c r="AD41" i="5"/>
  <c r="E186" i="5"/>
  <c r="J176" i="5"/>
  <c r="I193" i="5"/>
  <c r="L193" i="5"/>
  <c r="M193" i="5"/>
  <c r="K186" i="5"/>
  <c r="G193" i="5"/>
  <c r="I176" i="5"/>
  <c r="K176" i="5"/>
  <c r="AF41" i="5"/>
  <c r="AF84" i="5" s="1"/>
  <c r="AB41" i="5"/>
  <c r="AB84" i="5" s="1"/>
  <c r="M221" i="5"/>
  <c r="AE41" i="5"/>
  <c r="AE84" i="5" s="1"/>
  <c r="G104" i="5"/>
  <c r="G115" i="5"/>
  <c r="F104" i="5"/>
  <c r="F115" i="5"/>
  <c r="H104" i="5"/>
  <c r="H115" i="5"/>
  <c r="I104" i="5"/>
  <c r="I115" i="5"/>
  <c r="J115" i="5"/>
  <c r="L41" i="5"/>
  <c r="L93" i="5" s="1"/>
  <c r="AO43" i="5"/>
  <c r="AO86" i="5" s="1"/>
  <c r="K39" i="5"/>
  <c r="K82" i="5" s="1"/>
  <c r="M41" i="5"/>
  <c r="M93" i="5" s="1"/>
  <c r="AQ43" i="5"/>
  <c r="AL43" i="5"/>
  <c r="K207" i="5"/>
  <c r="K221" i="5" s="1"/>
  <c r="AP43" i="5"/>
  <c r="J207" i="5"/>
  <c r="J221" i="5" s="1"/>
  <c r="AK43" i="5"/>
  <c r="AM43" i="5"/>
  <c r="I43" i="5"/>
  <c r="K258" i="5"/>
  <c r="J161" i="5"/>
  <c r="J193" i="5" s="1"/>
  <c r="M222" i="5"/>
  <c r="M203" i="5"/>
  <c r="H43" i="5"/>
  <c r="H86" i="5" s="1"/>
  <c r="AG51" i="3"/>
  <c r="M48" i="3"/>
  <c r="M51" i="3" s="1"/>
  <c r="L53" i="3"/>
  <c r="D17" i="3"/>
  <c r="E17" i="3"/>
  <c r="F17" i="3"/>
  <c r="G17" i="3"/>
  <c r="H17" i="3"/>
  <c r="I17" i="3"/>
  <c r="J17" i="3"/>
  <c r="C17" i="3"/>
  <c r="D20" i="3"/>
  <c r="E20" i="3"/>
  <c r="F20" i="3"/>
  <c r="G20" i="3"/>
  <c r="H20" i="3"/>
  <c r="I20" i="3"/>
  <c r="J20" i="3"/>
  <c r="C20" i="3"/>
  <c r="D23" i="3"/>
  <c r="E23" i="3"/>
  <c r="F23" i="3"/>
  <c r="G23" i="3"/>
  <c r="H23" i="3"/>
  <c r="I23" i="3"/>
  <c r="J23" i="3"/>
  <c r="C23" i="3"/>
  <c r="V17" i="3"/>
  <c r="W17" i="3"/>
  <c r="X17" i="3"/>
  <c r="Y17" i="3"/>
  <c r="AA17" i="3"/>
  <c r="AC17" i="3"/>
  <c r="AD17" i="3"/>
  <c r="AE17" i="3"/>
  <c r="T17" i="3"/>
  <c r="V20" i="3"/>
  <c r="W20" i="3"/>
  <c r="X20" i="3"/>
  <c r="Y20" i="3"/>
  <c r="AA20" i="3"/>
  <c r="AD20" i="3"/>
  <c r="AE20" i="3"/>
  <c r="T20" i="3"/>
  <c r="V23" i="3"/>
  <c r="W23" i="3"/>
  <c r="X23" i="3"/>
  <c r="Y23" i="3"/>
  <c r="AA23" i="3"/>
  <c r="AC23" i="3"/>
  <c r="AD23" i="3"/>
  <c r="AE23" i="3"/>
  <c r="T23" i="3"/>
  <c r="V26" i="3"/>
  <c r="W26" i="3"/>
  <c r="X26" i="3"/>
  <c r="Y26" i="3"/>
  <c r="AA26" i="3"/>
  <c r="AC26" i="3"/>
  <c r="AD26" i="3"/>
  <c r="AE26" i="3"/>
  <c r="T26" i="3"/>
  <c r="D26" i="3"/>
  <c r="E26" i="3"/>
  <c r="F26" i="3"/>
  <c r="G26" i="3"/>
  <c r="H26" i="3"/>
  <c r="I26" i="3"/>
  <c r="J26" i="3"/>
  <c r="C26" i="3"/>
  <c r="D29" i="3"/>
  <c r="J29" i="3"/>
  <c r="I29" i="3"/>
  <c r="H29" i="3"/>
  <c r="G29" i="3"/>
  <c r="F29" i="3"/>
  <c r="E29" i="3"/>
  <c r="C29" i="3"/>
  <c r="R54" i="3"/>
  <c r="S54" i="3"/>
  <c r="T54" i="3"/>
  <c r="V54" i="3"/>
  <c r="W54" i="3"/>
  <c r="X54" i="3"/>
  <c r="Y54" i="3"/>
  <c r="AA54" i="3"/>
  <c r="AC54" i="3"/>
  <c r="AD54" i="3"/>
  <c r="AE54" i="3"/>
  <c r="Q54" i="3"/>
  <c r="D54" i="3"/>
  <c r="E54" i="3"/>
  <c r="F54" i="3"/>
  <c r="G54" i="3"/>
  <c r="H54" i="3"/>
  <c r="I54" i="3"/>
  <c r="J54" i="3"/>
  <c r="K54" i="3"/>
  <c r="L54" i="3"/>
  <c r="L65" i="3" s="1"/>
  <c r="C54" i="3"/>
  <c r="L50" i="3"/>
  <c r="L61" i="3" s="1"/>
  <c r="L52" i="3"/>
  <c r="L63" i="3" s="1"/>
  <c r="L47" i="3"/>
  <c r="L58" i="3" s="1"/>
  <c r="L69" i="3" s="1"/>
  <c r="L44" i="3"/>
  <c r="L42" i="3"/>
  <c r="L40" i="3"/>
  <c r="L38" i="3"/>
  <c r="L37" i="3"/>
  <c r="L28" i="3"/>
  <c r="L25" i="3"/>
  <c r="L22" i="3"/>
  <c r="L19" i="3"/>
  <c r="M20" i="3" s="1"/>
  <c r="L16" i="3"/>
  <c r="AA29" i="3"/>
  <c r="AC29" i="3"/>
  <c r="AD29" i="3"/>
  <c r="AE29" i="3"/>
  <c r="AA30" i="3"/>
  <c r="AA18" i="3" s="1"/>
  <c r="AC30" i="3"/>
  <c r="AC24" i="3" s="1"/>
  <c r="AD30" i="3"/>
  <c r="AD18" i="3" s="1"/>
  <c r="AE30" i="3"/>
  <c r="AE21" i="3" s="1"/>
  <c r="Y29" i="3"/>
  <c r="AA13" i="3"/>
  <c r="AC13" i="3"/>
  <c r="AD13" i="3"/>
  <c r="AE13" i="3"/>
  <c r="M11" i="3"/>
  <c r="L7" i="3"/>
  <c r="M8" i="3" s="1"/>
  <c r="L4" i="3"/>
  <c r="M5" i="3" s="1"/>
  <c r="B10" i="3"/>
  <c r="B7" i="3"/>
  <c r="B4" i="3"/>
  <c r="C10" i="3"/>
  <c r="C7" i="3"/>
  <c r="C4" i="3"/>
  <c r="D10" i="3"/>
  <c r="D7" i="3"/>
  <c r="D4" i="3"/>
  <c r="E10" i="3"/>
  <c r="E7" i="3"/>
  <c r="E4" i="3"/>
  <c r="F10" i="3"/>
  <c r="F7" i="3"/>
  <c r="F4" i="3"/>
  <c r="G10" i="3"/>
  <c r="G7" i="3"/>
  <c r="G4" i="3"/>
  <c r="H10" i="3"/>
  <c r="H7" i="3"/>
  <c r="H4" i="3"/>
  <c r="I10" i="3"/>
  <c r="I7" i="3"/>
  <c r="I4" i="3"/>
  <c r="O10" i="3"/>
  <c r="O7" i="3"/>
  <c r="O4" i="3"/>
  <c r="Q10" i="3"/>
  <c r="Q7" i="3"/>
  <c r="Q4" i="3"/>
  <c r="V10" i="3"/>
  <c r="V7" i="3"/>
  <c r="V4" i="3"/>
  <c r="R10" i="3"/>
  <c r="R7" i="3"/>
  <c r="R4" i="3"/>
  <c r="W10" i="3"/>
  <c r="W7" i="3"/>
  <c r="W4" i="3"/>
  <c r="S10" i="3"/>
  <c r="S7" i="3"/>
  <c r="S4" i="3"/>
  <c r="X10" i="3"/>
  <c r="AD11" i="3" s="1"/>
  <c r="X7" i="3"/>
  <c r="X4" i="3"/>
  <c r="T10" i="3"/>
  <c r="T7" i="3"/>
  <c r="T4" i="3"/>
  <c r="Y10" i="3"/>
  <c r="Y7" i="3"/>
  <c r="Y4" i="3"/>
  <c r="K47" i="3"/>
  <c r="K44" i="3"/>
  <c r="K38" i="3"/>
  <c r="K40" i="3"/>
  <c r="K42" i="3"/>
  <c r="K28" i="3"/>
  <c r="K29" i="3" s="1"/>
  <c r="J30" i="3"/>
  <c r="J24" i="3" s="1"/>
  <c r="K25" i="3"/>
  <c r="K26" i="3" s="1"/>
  <c r="K22" i="3"/>
  <c r="K23" i="3" s="1"/>
  <c r="K19" i="3"/>
  <c r="K20" i="3" s="1"/>
  <c r="K16" i="3"/>
  <c r="K17" i="3" s="1"/>
  <c r="Y30" i="3"/>
  <c r="Y24" i="3" s="1"/>
  <c r="V29" i="3"/>
  <c r="W29" i="3"/>
  <c r="X29" i="3"/>
  <c r="T29" i="3"/>
  <c r="O30" i="3"/>
  <c r="O18" i="3" s="1"/>
  <c r="Q30" i="3"/>
  <c r="Q18" i="3" s="1"/>
  <c r="R30" i="3"/>
  <c r="R24" i="3" s="1"/>
  <c r="S30" i="3"/>
  <c r="S24" i="3" s="1"/>
  <c r="T30" i="3"/>
  <c r="T18" i="3" s="1"/>
  <c r="V30" i="3"/>
  <c r="V18" i="3" s="1"/>
  <c r="W30" i="3"/>
  <c r="W24" i="3" s="1"/>
  <c r="X30" i="3"/>
  <c r="X24" i="3" s="1"/>
  <c r="C30" i="3"/>
  <c r="C27" i="3" s="1"/>
  <c r="D30" i="3"/>
  <c r="D27" i="3" s="1"/>
  <c r="E30" i="3"/>
  <c r="E18" i="3" s="1"/>
  <c r="F30" i="3"/>
  <c r="F24" i="3" s="1"/>
  <c r="G30" i="3"/>
  <c r="G27" i="3" s="1"/>
  <c r="H30" i="3"/>
  <c r="H27" i="3" s="1"/>
  <c r="I30" i="3"/>
  <c r="I18" i="3" s="1"/>
  <c r="B30" i="3"/>
  <c r="B27" i="3" s="1"/>
  <c r="J56" i="3"/>
  <c r="J52" i="4" s="1"/>
  <c r="J58" i="4" s="1"/>
  <c r="J60" i="4" s="1"/>
  <c r="J48" i="3"/>
  <c r="J51" i="3" s="1"/>
  <c r="H37" i="3"/>
  <c r="I37" i="3"/>
  <c r="J37" i="3"/>
  <c r="R37" i="3"/>
  <c r="S37" i="3"/>
  <c r="V37" i="3"/>
  <c r="W37" i="3"/>
  <c r="X37" i="3"/>
  <c r="Q37" i="3"/>
  <c r="C37" i="3"/>
  <c r="D37" i="3"/>
  <c r="E37" i="3"/>
  <c r="F37" i="3"/>
  <c r="G37" i="3"/>
  <c r="B37" i="3"/>
  <c r="B14" i="1"/>
  <c r="C14" i="1"/>
  <c r="E14" i="1"/>
  <c r="G8" i="1"/>
  <c r="G14" i="1" s="1"/>
  <c r="H8" i="1"/>
  <c r="H14" i="1" s="1"/>
  <c r="D14" i="1"/>
  <c r="D203" i="5" l="1"/>
  <c r="D222" i="5"/>
  <c r="E203" i="5"/>
  <c r="E222" i="5"/>
  <c r="C203" i="5"/>
  <c r="C222" i="5"/>
  <c r="M115" i="5"/>
  <c r="AM86" i="5"/>
  <c r="AM84" i="5"/>
  <c r="AQ86" i="5"/>
  <c r="AG84" i="5"/>
  <c r="I86" i="5"/>
  <c r="J86" i="5"/>
  <c r="AK84" i="5"/>
  <c r="AP86" i="5"/>
  <c r="M84" i="5"/>
  <c r="N84" i="5"/>
  <c r="AD84" i="5"/>
  <c r="AJ84" i="5"/>
  <c r="AI84" i="5"/>
  <c r="L82" i="5"/>
  <c r="AR86" i="5"/>
  <c r="AL84" i="5"/>
  <c r="L43" i="5"/>
  <c r="M43" i="5"/>
  <c r="AD43" i="5"/>
  <c r="AB43" i="5"/>
  <c r="AB86" i="5" s="1"/>
  <c r="K193" i="5"/>
  <c r="AF43" i="5"/>
  <c r="AF86" i="5" s="1"/>
  <c r="AE43" i="5"/>
  <c r="AE86" i="5" s="1"/>
  <c r="M106" i="5"/>
  <c r="M121" i="5"/>
  <c r="I106" i="5"/>
  <c r="I121" i="5"/>
  <c r="J121" i="5"/>
  <c r="F106" i="5"/>
  <c r="F121" i="5"/>
  <c r="H106" i="5"/>
  <c r="H121" i="5"/>
  <c r="G106" i="5"/>
  <c r="G121" i="5"/>
  <c r="K41" i="5"/>
  <c r="M223" i="5"/>
  <c r="K259" i="5"/>
  <c r="Y11" i="3"/>
  <c r="X5" i="3"/>
  <c r="W11" i="3"/>
  <c r="V5" i="3"/>
  <c r="H5" i="3"/>
  <c r="G8" i="3"/>
  <c r="F11" i="3"/>
  <c r="D5" i="3"/>
  <c r="C8" i="3"/>
  <c r="T5" i="3"/>
  <c r="X11" i="3"/>
  <c r="Y8" i="3"/>
  <c r="W8" i="3"/>
  <c r="I11" i="3"/>
  <c r="G5" i="3"/>
  <c r="F8" i="3"/>
  <c r="E11" i="3"/>
  <c r="D8" i="3"/>
  <c r="X8" i="3"/>
  <c r="V8" i="3"/>
  <c r="H8" i="3"/>
  <c r="G11" i="3"/>
  <c r="E5" i="3"/>
  <c r="T8" i="3"/>
  <c r="I5" i="3"/>
  <c r="T11" i="3"/>
  <c r="L64" i="3"/>
  <c r="M54" i="3"/>
  <c r="C5" i="3"/>
  <c r="L23" i="3"/>
  <c r="M23" i="3"/>
  <c r="AE8" i="3"/>
  <c r="L26" i="3"/>
  <c r="M26" i="3"/>
  <c r="J31" i="3"/>
  <c r="L20" i="3"/>
  <c r="D11" i="3"/>
  <c r="L17" i="3"/>
  <c r="M17" i="3"/>
  <c r="L29" i="3"/>
  <c r="M29" i="3"/>
  <c r="AA5" i="3"/>
  <c r="Y5" i="3"/>
  <c r="W5" i="3"/>
  <c r="V11" i="3"/>
  <c r="G31" i="3"/>
  <c r="AA6" i="3"/>
  <c r="AG14" i="3"/>
  <c r="C31" i="3"/>
  <c r="I31" i="3"/>
  <c r="E31" i="3"/>
  <c r="AA11" i="3"/>
  <c r="AC8" i="3"/>
  <c r="AD5" i="3"/>
  <c r="J66" i="4"/>
  <c r="J61" i="4"/>
  <c r="C11" i="3"/>
  <c r="H11" i="3"/>
  <c r="I8" i="3"/>
  <c r="E8" i="3"/>
  <c r="F5" i="3"/>
  <c r="F31" i="3"/>
  <c r="AE6" i="3"/>
  <c r="AJ14" i="3"/>
  <c r="H31" i="3"/>
  <c r="D31" i="3"/>
  <c r="AE11" i="3"/>
  <c r="AA8" i="3"/>
  <c r="AC5" i="3"/>
  <c r="AC11" i="3"/>
  <c r="AD8" i="3"/>
  <c r="AE5" i="3"/>
  <c r="AD6" i="3"/>
  <c r="AI14" i="3"/>
  <c r="AC32" i="3"/>
  <c r="AH33" i="3" s="1"/>
  <c r="AH14" i="3"/>
  <c r="AE32" i="3"/>
  <c r="AJ33" i="3" s="1"/>
  <c r="AD32" i="3"/>
  <c r="AI33" i="3" s="1"/>
  <c r="AA32" i="3"/>
  <c r="AG33" i="3" s="1"/>
  <c r="L30" i="3"/>
  <c r="M31" i="3" s="1"/>
  <c r="AA27" i="3"/>
  <c r="AD21" i="3"/>
  <c r="AE18" i="3"/>
  <c r="AD24" i="3"/>
  <c r="AE24" i="3"/>
  <c r="AA24" i="3"/>
  <c r="AE27" i="3"/>
  <c r="AD27" i="3"/>
  <c r="AC18" i="3"/>
  <c r="AC27" i="3"/>
  <c r="AC21" i="3"/>
  <c r="AA21" i="3"/>
  <c r="AE9" i="3"/>
  <c r="M14" i="3"/>
  <c r="AD9" i="3"/>
  <c r="AD12" i="3"/>
  <c r="AC12" i="3"/>
  <c r="AC9" i="3"/>
  <c r="AC6" i="3"/>
  <c r="AA12" i="3"/>
  <c r="AE12" i="3"/>
  <c r="AA9" i="3"/>
  <c r="J7" i="3"/>
  <c r="J8" i="3" s="1"/>
  <c r="K4" i="3"/>
  <c r="H13" i="3"/>
  <c r="G13" i="3"/>
  <c r="O13" i="3"/>
  <c r="O9" i="3" s="1"/>
  <c r="B13" i="3"/>
  <c r="B6" i="3" s="1"/>
  <c r="J4" i="3"/>
  <c r="J5" i="3" s="1"/>
  <c r="W13" i="3"/>
  <c r="AC14" i="3" s="1"/>
  <c r="X13" i="3"/>
  <c r="AD14" i="3" s="1"/>
  <c r="I13" i="3"/>
  <c r="E13" i="3"/>
  <c r="T13" i="3"/>
  <c r="F13" i="3"/>
  <c r="C13" i="3"/>
  <c r="C14" i="3" s="1"/>
  <c r="Y13" i="3"/>
  <c r="R13" i="3"/>
  <c r="V13" i="3"/>
  <c r="AA14" i="3" s="1"/>
  <c r="Q13" i="3"/>
  <c r="Q9" i="3" s="1"/>
  <c r="D13" i="3"/>
  <c r="K10" i="3"/>
  <c r="J10" i="3"/>
  <c r="J11" i="3" s="1"/>
  <c r="S13" i="3"/>
  <c r="S12" i="3" s="1"/>
  <c r="K7" i="3"/>
  <c r="K37" i="3"/>
  <c r="K30" i="3"/>
  <c r="K31" i="3" s="1"/>
  <c r="D18" i="3"/>
  <c r="D24" i="3"/>
  <c r="E24" i="3"/>
  <c r="H18" i="3"/>
  <c r="O24" i="3"/>
  <c r="T27" i="3"/>
  <c r="T21" i="3"/>
  <c r="Y21" i="3"/>
  <c r="O27" i="3"/>
  <c r="O21" i="3"/>
  <c r="H24" i="3"/>
  <c r="T24" i="3"/>
  <c r="Y18" i="3"/>
  <c r="Y27" i="3"/>
  <c r="V24" i="3"/>
  <c r="Q24" i="3"/>
  <c r="J21" i="3"/>
  <c r="F21" i="3"/>
  <c r="X21" i="3"/>
  <c r="S21" i="3"/>
  <c r="F27" i="3"/>
  <c r="X27" i="3"/>
  <c r="S27" i="3"/>
  <c r="I21" i="3"/>
  <c r="E21" i="3"/>
  <c r="W21" i="3"/>
  <c r="R21" i="3"/>
  <c r="X18" i="3"/>
  <c r="S18" i="3"/>
  <c r="E27" i="3"/>
  <c r="I24" i="3"/>
  <c r="J27" i="3"/>
  <c r="W27" i="3"/>
  <c r="R27" i="3"/>
  <c r="H21" i="3"/>
  <c r="D21" i="3"/>
  <c r="V21" i="3"/>
  <c r="Q21" i="3"/>
  <c r="W18" i="3"/>
  <c r="R18" i="3"/>
  <c r="I27" i="3"/>
  <c r="V27" i="3"/>
  <c r="Q27" i="3"/>
  <c r="B21" i="3"/>
  <c r="G21" i="3"/>
  <c r="C21" i="3"/>
  <c r="B18" i="3"/>
  <c r="G18" i="3"/>
  <c r="J18" i="3"/>
  <c r="F18" i="3"/>
  <c r="B24" i="3"/>
  <c r="G24" i="3"/>
  <c r="C24" i="3"/>
  <c r="C18" i="3"/>
  <c r="J50" i="3"/>
  <c r="E223" i="5" l="1"/>
  <c r="E227" i="5" s="1"/>
  <c r="E216" i="5"/>
  <c r="E254" i="5" s="1"/>
  <c r="C223" i="5"/>
  <c r="C227" i="5" s="1"/>
  <c r="C216" i="5"/>
  <c r="C254" i="5" s="1"/>
  <c r="D223" i="5"/>
  <c r="D227" i="5" s="1"/>
  <c r="D216" i="5"/>
  <c r="D254" i="5" s="1"/>
  <c r="K84" i="5"/>
  <c r="K93" i="5"/>
  <c r="AI86" i="5"/>
  <c r="AD86" i="5"/>
  <c r="AJ86" i="5"/>
  <c r="M86" i="5"/>
  <c r="N86" i="5"/>
  <c r="L84" i="5"/>
  <c r="AK86" i="5"/>
  <c r="AG86" i="5"/>
  <c r="AL86" i="5"/>
  <c r="K43" i="5"/>
  <c r="K86" i="5" s="1"/>
  <c r="G123" i="5"/>
  <c r="G107" i="5"/>
  <c r="F123" i="5"/>
  <c r="F107" i="5"/>
  <c r="I107" i="5"/>
  <c r="I123" i="5"/>
  <c r="J123" i="5"/>
  <c r="H123" i="5"/>
  <c r="H107" i="5"/>
  <c r="M123" i="5"/>
  <c r="M107" i="5"/>
  <c r="M124" i="5" s="1"/>
  <c r="M112" i="5"/>
  <c r="M129" i="5" s="1"/>
  <c r="V32" i="3"/>
  <c r="V39" i="3" s="1"/>
  <c r="K11" i="3"/>
  <c r="K8" i="3"/>
  <c r="K5" i="3"/>
  <c r="L11" i="3"/>
  <c r="T6" i="3"/>
  <c r="T14" i="3"/>
  <c r="W14" i="3"/>
  <c r="G6" i="3"/>
  <c r="G14" i="3"/>
  <c r="I6" i="3"/>
  <c r="I14" i="3"/>
  <c r="D14" i="3"/>
  <c r="Y14" i="3"/>
  <c r="E32" i="3"/>
  <c r="E14" i="3"/>
  <c r="H32" i="3"/>
  <c r="H14" i="3"/>
  <c r="L8" i="3"/>
  <c r="L21" i="3"/>
  <c r="L31" i="3"/>
  <c r="V12" i="3"/>
  <c r="V14" i="3"/>
  <c r="F32" i="3"/>
  <c r="F39" i="3" s="1"/>
  <c r="F14" i="3"/>
  <c r="X32" i="3"/>
  <c r="AD33" i="3" s="1"/>
  <c r="X14" i="3"/>
  <c r="AE14" i="3"/>
  <c r="L5" i="3"/>
  <c r="AC39" i="3"/>
  <c r="AE39" i="3"/>
  <c r="AE41" i="3" s="1"/>
  <c r="L32" i="3"/>
  <c r="M33" i="3" s="1"/>
  <c r="L24" i="3"/>
  <c r="AA39" i="3"/>
  <c r="AD39" i="3"/>
  <c r="L27" i="3"/>
  <c r="L18" i="3"/>
  <c r="X12" i="3"/>
  <c r="O32" i="3"/>
  <c r="O39" i="3" s="1"/>
  <c r="L12" i="3"/>
  <c r="L6" i="3"/>
  <c r="L9" i="3"/>
  <c r="G12" i="3"/>
  <c r="C9" i="3"/>
  <c r="B12" i="3"/>
  <c r="T9" i="3"/>
  <c r="C6" i="3"/>
  <c r="I12" i="3"/>
  <c r="T12" i="3"/>
  <c r="I9" i="3"/>
  <c r="R32" i="3"/>
  <c r="R39" i="3" s="1"/>
  <c r="R6" i="3"/>
  <c r="R9" i="3"/>
  <c r="W32" i="3"/>
  <c r="W9" i="3"/>
  <c r="W6" i="3"/>
  <c r="F12" i="3"/>
  <c r="V6" i="3"/>
  <c r="G9" i="3"/>
  <c r="O12" i="3"/>
  <c r="X6" i="3"/>
  <c r="E6" i="3"/>
  <c r="E12" i="3"/>
  <c r="Q6" i="3"/>
  <c r="Y9" i="3"/>
  <c r="Y6" i="3"/>
  <c r="D12" i="3"/>
  <c r="D9" i="3"/>
  <c r="H12" i="3"/>
  <c r="H9" i="3"/>
  <c r="Y12" i="3"/>
  <c r="C12" i="3"/>
  <c r="F6" i="3"/>
  <c r="V9" i="3"/>
  <c r="F9" i="3"/>
  <c r="R12" i="3"/>
  <c r="Q32" i="3"/>
  <c r="Q39" i="3" s="1"/>
  <c r="Q12" i="3"/>
  <c r="B32" i="3"/>
  <c r="B39" i="3" s="1"/>
  <c r="B9" i="3"/>
  <c r="S9" i="3"/>
  <c r="D6" i="3"/>
  <c r="H6" i="3"/>
  <c r="W12" i="3"/>
  <c r="O6" i="3"/>
  <c r="X9" i="3"/>
  <c r="S6" i="3"/>
  <c r="E9" i="3"/>
  <c r="G32" i="3"/>
  <c r="I32" i="3"/>
  <c r="J13" i="3"/>
  <c r="J32" i="3" s="1"/>
  <c r="S32" i="3"/>
  <c r="S39" i="3" s="1"/>
  <c r="C32" i="3"/>
  <c r="T32" i="3"/>
  <c r="K13" i="3"/>
  <c r="K14" i="3" s="1"/>
  <c r="D32" i="3"/>
  <c r="Y32" i="3"/>
  <c r="K24" i="3"/>
  <c r="K21" i="3"/>
  <c r="K18" i="3"/>
  <c r="K27" i="3"/>
  <c r="L86" i="5" l="1"/>
  <c r="G259" i="5"/>
  <c r="G124" i="5"/>
  <c r="F259" i="5"/>
  <c r="F124" i="5"/>
  <c r="H259" i="5"/>
  <c r="H124" i="5"/>
  <c r="I259" i="5"/>
  <c r="I124" i="5"/>
  <c r="J124" i="5"/>
  <c r="G202" i="5"/>
  <c r="AA33" i="3"/>
  <c r="V41" i="3"/>
  <c r="V43" i="3"/>
  <c r="V45" i="3" s="1"/>
  <c r="G33" i="3"/>
  <c r="AE43" i="3"/>
  <c r="AE45" i="3" s="1"/>
  <c r="L14" i="3"/>
  <c r="W33" i="3"/>
  <c r="F33" i="3"/>
  <c r="C33" i="3"/>
  <c r="T39" i="3"/>
  <c r="T43" i="3" s="1"/>
  <c r="T45" i="3" s="1"/>
  <c r="T56" i="3" s="1"/>
  <c r="T33" i="3"/>
  <c r="AC33" i="3"/>
  <c r="E39" i="3"/>
  <c r="E33" i="3"/>
  <c r="J39" i="3"/>
  <c r="J41" i="3" s="1"/>
  <c r="J33" i="3"/>
  <c r="D39" i="3"/>
  <c r="D41" i="3" s="1"/>
  <c r="D33" i="3"/>
  <c r="I39" i="3"/>
  <c r="I45" i="3" s="1"/>
  <c r="I48" i="3" s="1"/>
  <c r="I51" i="3" s="1"/>
  <c r="I33" i="3"/>
  <c r="X39" i="3"/>
  <c r="X33" i="3"/>
  <c r="H39" i="3"/>
  <c r="H33" i="3"/>
  <c r="Y33" i="3"/>
  <c r="J9" i="3"/>
  <c r="J14" i="3"/>
  <c r="AE33" i="3"/>
  <c r="V33" i="3"/>
  <c r="L41" i="3"/>
  <c r="AC41" i="3"/>
  <c r="AC43" i="3"/>
  <c r="AC45" i="3" s="1"/>
  <c r="S43" i="3"/>
  <c r="S45" i="3" s="1"/>
  <c r="S56" i="3" s="1"/>
  <c r="S41" i="3"/>
  <c r="B41" i="3"/>
  <c r="B45" i="3"/>
  <c r="B48" i="3" s="1"/>
  <c r="AA41" i="3"/>
  <c r="AA43" i="3"/>
  <c r="AA45" i="3" s="1"/>
  <c r="AG46" i="3" s="1"/>
  <c r="O43" i="3"/>
  <c r="O45" i="3" s="1"/>
  <c r="O48" i="3" s="1"/>
  <c r="O51" i="3" s="1"/>
  <c r="O41" i="3"/>
  <c r="F45" i="3"/>
  <c r="F48" i="3" s="1"/>
  <c r="F41" i="3"/>
  <c r="I41" i="3"/>
  <c r="Q43" i="3"/>
  <c r="Q45" i="3" s="1"/>
  <c r="Q48" i="3" s="1"/>
  <c r="Q50" i="3" s="1"/>
  <c r="Q41" i="3"/>
  <c r="R43" i="3"/>
  <c r="R45" i="3" s="1"/>
  <c r="R48" i="3" s="1"/>
  <c r="R51" i="3" s="1"/>
  <c r="R41" i="3"/>
  <c r="AD41" i="3"/>
  <c r="AD43" i="3"/>
  <c r="AD45" i="3" s="1"/>
  <c r="AI46" i="3" s="1"/>
  <c r="Y39" i="3"/>
  <c r="W39" i="3"/>
  <c r="Q56" i="3"/>
  <c r="J12" i="3"/>
  <c r="J6" i="3"/>
  <c r="K9" i="3"/>
  <c r="K12" i="3"/>
  <c r="K6" i="3"/>
  <c r="G39" i="3"/>
  <c r="C39" i="3"/>
  <c r="K32" i="3"/>
  <c r="K33" i="3" s="1"/>
  <c r="G203" i="5" l="1"/>
  <c r="G222" i="5"/>
  <c r="T41" i="3"/>
  <c r="V46" i="3"/>
  <c r="G253" i="5"/>
  <c r="L253" i="5"/>
  <c r="H253" i="5"/>
  <c r="Q51" i="3"/>
  <c r="F56" i="3"/>
  <c r="F52" i="4" s="1"/>
  <c r="F58" i="4" s="1"/>
  <c r="F60" i="4" s="1"/>
  <c r="F66" i="4" s="1"/>
  <c r="S48" i="3"/>
  <c r="S50" i="3" s="1"/>
  <c r="AE56" i="3"/>
  <c r="AJ46" i="3"/>
  <c r="AC56" i="3"/>
  <c r="AH46" i="3"/>
  <c r="AE48" i="3"/>
  <c r="AE51" i="3" s="1"/>
  <c r="T48" i="3"/>
  <c r="T51" i="3" s="1"/>
  <c r="D45" i="3"/>
  <c r="D48" i="3" s="1"/>
  <c r="R56" i="3"/>
  <c r="AA46" i="3"/>
  <c r="B56" i="3"/>
  <c r="B52" i="4" s="1"/>
  <c r="B58" i="4" s="1"/>
  <c r="B60" i="4" s="1"/>
  <c r="B66" i="4" s="1"/>
  <c r="T46" i="3"/>
  <c r="H41" i="3"/>
  <c r="H45" i="3"/>
  <c r="I46" i="3" s="1"/>
  <c r="J46" i="3"/>
  <c r="X43" i="3"/>
  <c r="X45" i="3" s="1"/>
  <c r="X41" i="3"/>
  <c r="L33" i="3"/>
  <c r="E41" i="3"/>
  <c r="E45" i="3"/>
  <c r="L43" i="3"/>
  <c r="I202" i="5"/>
  <c r="H202" i="5"/>
  <c r="AC48" i="3"/>
  <c r="L45" i="3"/>
  <c r="I56" i="3"/>
  <c r="I52" i="4" s="1"/>
  <c r="I58" i="4" s="1"/>
  <c r="I60" i="4" s="1"/>
  <c r="O56" i="3"/>
  <c r="W43" i="3"/>
  <c r="W41" i="3"/>
  <c r="Y43" i="3"/>
  <c r="Y45" i="3" s="1"/>
  <c r="Y41" i="3"/>
  <c r="K39" i="3"/>
  <c r="K41" i="3" s="1"/>
  <c r="G45" i="3"/>
  <c r="G41" i="3"/>
  <c r="R50" i="3"/>
  <c r="C45" i="3"/>
  <c r="C46" i="3" s="1"/>
  <c r="C41" i="3"/>
  <c r="AD56" i="3"/>
  <c r="AD48" i="3"/>
  <c r="AD51" i="3" s="1"/>
  <c r="AA56" i="3"/>
  <c r="AA48" i="3"/>
  <c r="I50" i="3"/>
  <c r="V56" i="3"/>
  <c r="V48" i="3"/>
  <c r="I203" i="5" l="1"/>
  <c r="I222" i="5"/>
  <c r="H203" i="5"/>
  <c r="H222" i="5"/>
  <c r="G216" i="5"/>
  <c r="G254" i="5" s="1"/>
  <c r="G223" i="5"/>
  <c r="G227" i="5" s="1"/>
  <c r="D56" i="3"/>
  <c r="D52" i="4" s="1"/>
  <c r="D58" i="4" s="1"/>
  <c r="D60" i="4" s="1"/>
  <c r="D66" i="4" s="1"/>
  <c r="F61" i="4"/>
  <c r="M46" i="3"/>
  <c r="L4" i="4"/>
  <c r="J253" i="5"/>
  <c r="I253" i="5"/>
  <c r="K253" i="5"/>
  <c r="S51" i="3"/>
  <c r="AA51" i="3"/>
  <c r="L48" i="3"/>
  <c r="L59" i="3" s="1"/>
  <c r="L70" i="3" s="1"/>
  <c r="I61" i="4"/>
  <c r="I66" i="4"/>
  <c r="E46" i="3"/>
  <c r="E48" i="3"/>
  <c r="E56" i="3"/>
  <c r="E52" i="4" s="1"/>
  <c r="E58" i="4" s="1"/>
  <c r="E60" i="4" s="1"/>
  <c r="X46" i="3"/>
  <c r="X48" i="3"/>
  <c r="X56" i="3"/>
  <c r="D61" i="4"/>
  <c r="AD46" i="3"/>
  <c r="Y46" i="3"/>
  <c r="AE46" i="3"/>
  <c r="G56" i="3"/>
  <c r="G52" i="4" s="1"/>
  <c r="G58" i="4" s="1"/>
  <c r="G60" i="4" s="1"/>
  <c r="G46" i="3"/>
  <c r="F46" i="3"/>
  <c r="D46" i="3"/>
  <c r="H46" i="3"/>
  <c r="H56" i="3"/>
  <c r="H52" i="4" s="1"/>
  <c r="H58" i="4" s="1"/>
  <c r="H60" i="4" s="1"/>
  <c r="H48" i="3"/>
  <c r="B61" i="4"/>
  <c r="F202" i="5"/>
  <c r="L202" i="5"/>
  <c r="L56" i="3"/>
  <c r="L67" i="3" s="1"/>
  <c r="L51" i="3"/>
  <c r="L62" i="3" s="1"/>
  <c r="AC51" i="3"/>
  <c r="G48" i="3"/>
  <c r="W45" i="3"/>
  <c r="K43" i="3"/>
  <c r="Y48" i="3"/>
  <c r="Y51" i="3" s="1"/>
  <c r="Y56" i="3"/>
  <c r="C48" i="3"/>
  <c r="C56" i="3"/>
  <c r="C52" i="4" s="1"/>
  <c r="C58" i="4" s="1"/>
  <c r="C60" i="4" s="1"/>
  <c r="V50" i="3"/>
  <c r="V51" i="3"/>
  <c r="H216" i="5" l="1"/>
  <c r="H254" i="5" s="1"/>
  <c r="H223" i="5"/>
  <c r="H227" i="5" s="1"/>
  <c r="F203" i="5"/>
  <c r="F222" i="5"/>
  <c r="I216" i="5"/>
  <c r="I254" i="5" s="1"/>
  <c r="I223" i="5"/>
  <c r="I227" i="5" s="1"/>
  <c r="L52" i="4"/>
  <c r="L58" i="4" s="1"/>
  <c r="L60" i="4" s="1"/>
  <c r="L29" i="4"/>
  <c r="W46" i="3"/>
  <c r="AC46" i="3"/>
  <c r="H51" i="3"/>
  <c r="H50" i="3"/>
  <c r="H61" i="4"/>
  <c r="H66" i="4"/>
  <c r="X51" i="3"/>
  <c r="X50" i="3"/>
  <c r="G61" i="4"/>
  <c r="G66" i="4"/>
  <c r="C66" i="4"/>
  <c r="C61" i="4"/>
  <c r="E61" i="4"/>
  <c r="E66" i="4"/>
  <c r="L203" i="5"/>
  <c r="L223" i="5" s="1"/>
  <c r="L222" i="5"/>
  <c r="J202" i="5"/>
  <c r="J222" i="5" s="1"/>
  <c r="K202" i="5"/>
  <c r="W48" i="3"/>
  <c r="W56" i="3"/>
  <c r="K45" i="3"/>
  <c r="F216" i="5" l="1"/>
  <c r="F254" i="5" s="1"/>
  <c r="F223" i="5"/>
  <c r="F227" i="5" s="1"/>
  <c r="L61" i="4"/>
  <c r="L66" i="4"/>
  <c r="K46" i="3"/>
  <c r="L46" i="3"/>
  <c r="L57" i="3" s="1"/>
  <c r="L68" i="3" s="1"/>
  <c r="K203" i="5"/>
  <c r="K222" i="5"/>
  <c r="J203" i="5"/>
  <c r="J223" i="5" s="1"/>
  <c r="J227" i="5" s="1"/>
  <c r="K56" i="3"/>
  <c r="K48" i="3"/>
  <c r="K51" i="3" s="1"/>
  <c r="W50" i="3"/>
  <c r="W51" i="3"/>
  <c r="K61" i="4" l="1"/>
  <c r="J216" i="5"/>
  <c r="J254" i="5" s="1"/>
  <c r="K216" i="5"/>
  <c r="K254" i="5" s="1"/>
  <c r="K223" i="5"/>
  <c r="K227" i="5" s="1"/>
  <c r="L259" i="5" l="1"/>
  <c r="L133" i="5" l="1"/>
  <c r="M133" i="5" l="1"/>
  <c r="M165" i="5" s="1"/>
  <c r="L165" i="5"/>
  <c r="L245" i="5"/>
  <c r="L138" i="5"/>
  <c r="M245" i="5" l="1"/>
  <c r="M247" i="5" s="1"/>
  <c r="M138" i="5"/>
  <c r="M195" i="5" s="1"/>
  <c r="L195" i="5"/>
  <c r="L170" i="5"/>
  <c r="F272" i="5"/>
  <c r="L247" i="5"/>
  <c r="L211" i="5"/>
  <c r="L214" i="5" s="1"/>
  <c r="L144" i="5"/>
  <c r="L176" i="5" s="1"/>
  <c r="L255" i="5" l="1"/>
  <c r="L256" i="5"/>
  <c r="L216" i="5"/>
  <c r="L254" i="5" s="1"/>
  <c r="L248" i="5"/>
  <c r="L258" i="5" s="1"/>
  <c r="L196" i="5"/>
  <c r="L226" i="5" s="1"/>
  <c r="L227" i="5" s="1"/>
  <c r="L230" i="5" s="1"/>
  <c r="M196" i="5"/>
  <c r="M226" i="5" s="1"/>
  <c r="M144" i="5"/>
  <c r="M176" i="5" s="1"/>
  <c r="M211" i="5"/>
  <c r="M214" i="5" s="1"/>
  <c r="M248" i="5" s="1"/>
  <c r="M170" i="5"/>
  <c r="M227" i="5" l="1"/>
  <c r="M230" i="5" s="1"/>
  <c r="M216" i="5"/>
  <c r="M254" i="5" s="1"/>
  <c r="N227" i="5" l="1"/>
  <c r="N230" i="5" l="1"/>
  <c r="F236" i="5" s="1"/>
  <c r="F238" i="5" s="1"/>
  <c r="F240" i="5" s="1"/>
  <c r="F242" i="5" s="1"/>
</calcChain>
</file>

<file path=xl/sharedStrings.xml><?xml version="1.0" encoding="utf-8"?>
<sst xmlns="http://schemas.openxmlformats.org/spreadsheetml/2006/main" count="635" uniqueCount="246">
  <si>
    <t>Dec. 31, 2023</t>
  </si>
  <si>
    <t>Mar. 31, 2023</t>
  </si>
  <si>
    <t>Current assets:</t>
  </si>
  <si>
    <t> </t>
  </si>
  <si>
    <t>Cash and cash equivalents</t>
  </si>
  <si>
    <t>Accounts receivable, net</t>
  </si>
  <si>
    <t>Inventories</t>
  </si>
  <si>
    <t>Prepaid expenses and other current assets</t>
  </si>
  <si>
    <t>Total current assets</t>
  </si>
  <si>
    <t>Property, equipment and satellites, net</t>
  </si>
  <si>
    <t>Operating lease right-of-use assets</t>
  </si>
  <si>
    <t>Other acquired intangible assets, net</t>
  </si>
  <si>
    <t>Goodwill</t>
  </si>
  <si>
    <t>Other assets</t>
  </si>
  <si>
    <t>Total assets</t>
  </si>
  <si>
    <t>Current liabilities:</t>
  </si>
  <si>
    <t>Accounts payable</t>
  </si>
  <si>
    <t>Accrued and other liabilities</t>
  </si>
  <si>
    <t>Current portion of long-term debt</t>
  </si>
  <si>
    <t>Total current liabilities</t>
  </si>
  <si>
    <t>Senior notes</t>
  </si>
  <si>
    <t>Other long-term debt</t>
  </si>
  <si>
    <t>Non-current operating lease liabilities</t>
  </si>
  <si>
    <t>Other liabilities</t>
  </si>
  <si>
    <t>Total liabilities</t>
  </si>
  <si>
    <t xml:space="preserve"> </t>
  </si>
  <si>
    <t>Viasat, Inc. stockholders’ equity</t>
  </si>
  <si>
    <t>Paid-in capital</t>
  </si>
  <si>
    <t>Retained earnings</t>
  </si>
  <si>
    <t>Total Viasat, Inc. stockholders’ equity</t>
  </si>
  <si>
    <t>Noncontrolling interest in subsidiary</t>
  </si>
  <si>
    <t>Total equity</t>
  </si>
  <si>
    <t>Total liabilities and equity</t>
  </si>
  <si>
    <t>Dec. 31, 2022</t>
  </si>
  <si>
    <t>Revenues:</t>
  </si>
  <si>
    <t>Total revenues</t>
  </si>
  <si>
    <t>Operating expenses:</t>
  </si>
  <si>
    <t>Independent research and development</t>
  </si>
  <si>
    <t>Amortization of acquired intangible assets</t>
  </si>
  <si>
    <t>Other income (expense):</t>
  </si>
  <si>
    <t>Interest income</t>
  </si>
  <si>
    <t>Interest expense</t>
  </si>
  <si>
    <t>Other income, net</t>
  </si>
  <si>
    <t>Net income (loss) from continuing operations</t>
  </si>
  <si>
    <t>Net income (loss) from discontinued operations, net of tax</t>
  </si>
  <si>
    <t>Comprehensive income (loss):</t>
  </si>
  <si>
    <t>Foreign currency translation adjustments, net of tax</t>
  </si>
  <si>
    <t>Other comprehensive income (loss), net of tax</t>
  </si>
  <si>
    <t>Product [Member]</t>
  </si>
  <si>
    <t>Service [Member]</t>
  </si>
  <si>
    <t>Consolidated Balance Sheets - USD ($) $ in Thousands</t>
  </si>
  <si>
    <t>Mar. 31, 2022</t>
  </si>
  <si>
    <t>Mar. 31, 2021</t>
  </si>
  <si>
    <t>Commitments and contingencies (Notes 12 and 13)</t>
  </si>
  <si>
    <t>Preferred stock, $0.0001 par value; 5,000,000 shares authorized; no shares issued and outstanding at March 31, 2022 and 2021, respectively</t>
  </si>
  <si>
    <t>Common stock, $0.0001 par value, 100,000,000 shares authorized; 74,428,816 and 68,529,133 shares outstanding at March 31, 2022 and 2021, respectively</t>
  </si>
  <si>
    <t>Accumulated other comprehensive (loss) income</t>
  </si>
  <si>
    <t>Consolidated Statements of Operations and Comprehensive Income (Loss) - USD ($) shares in Thousands, $ in Thousands</t>
  </si>
  <si>
    <t>12 Months Ended</t>
  </si>
  <si>
    <t>Mar. 31, 2020</t>
  </si>
  <si>
    <t>Selling, general and administrative</t>
  </si>
  <si>
    <t>Income from operations</t>
  </si>
  <si>
    <t>(Loss) income before income taxes</t>
  </si>
  <si>
    <t>Benefit from (provision for) income taxes</t>
  </si>
  <si>
    <t>Equity in (loss) income of unconsolidated affiliates, net</t>
  </si>
  <si>
    <t>Net (loss) income</t>
  </si>
  <si>
    <t>Less: net income attributable to noncontrolling interest, net of tax</t>
  </si>
  <si>
    <t>Net (loss) income attributable to Viasat, Inc.</t>
  </si>
  <si>
    <t>Net income (loss) per share attributable to Viasat, Inc. common stockholders:</t>
  </si>
  <si>
    <t>Basic net (loss) income per share attributable to Viasat, Inc common stockholders</t>
  </si>
  <si>
    <t>Diluted net (loss) income per share attributable to Viasat, Inc. common stockholders</t>
  </si>
  <si>
    <t>Shares used in computing basic net (loss) income per share</t>
  </si>
  <si>
    <t>Shares used in computing diluted net (loss) income per share</t>
  </si>
  <si>
    <t>Unrealized gain on hedging, net of tax</t>
  </si>
  <si>
    <t>Other comprehensive (loss) income, net of tax</t>
  </si>
  <si>
    <t>Comprehensive (loss) income</t>
  </si>
  <si>
    <t>Less: comprehensive income attributable to noncontrolling interest, net of tax</t>
  </si>
  <si>
    <t>Comprehensive (loss) income attributable to Viasat, Inc.</t>
  </si>
  <si>
    <t>Consolidated Statements of Cash Flows - USD ($) $ in Thousands</t>
  </si>
  <si>
    <t>Cash flows from operating activities:</t>
  </si>
  <si>
    <t>Depreciation</t>
  </si>
  <si>
    <t>Amortization of intangible assets</t>
  </si>
  <si>
    <t>Stock-based compensation expense</t>
  </si>
  <si>
    <t>Loss on disposition of fixed assets</t>
  </si>
  <si>
    <t>Increase (decrease) in cash resulting from changes in operating assets and liabilities, net of effect of acquisitions:</t>
  </si>
  <si>
    <t>Accounts receivable</t>
  </si>
  <si>
    <t>Accrued liabilities</t>
  </si>
  <si>
    <t>Cash flows from investing activities:</t>
  </si>
  <si>
    <t>Purchase of property, equipment and satellites</t>
  </si>
  <si>
    <t>Cash paid for patents, licenses and other assets</t>
  </si>
  <si>
    <t>Payments related to acquisition of businesses, net of cash acquired</t>
  </si>
  <si>
    <t>Cash flows from financing activities:</t>
  </si>
  <si>
    <t>Payments on debt borrowings</t>
  </si>
  <si>
    <t>Payment of debt issuance costs</t>
  </si>
  <si>
    <t>Proceeds from issuance of common stock under equity plans</t>
  </si>
  <si>
    <t>Purchase of common stock in treasury (immediately retired) related to tax withholdings for stock-based compensation</t>
  </si>
  <si>
    <t>Proceeds from common stock issued in private placement, net of issuance costs</t>
  </si>
  <si>
    <t>Other financing activities</t>
  </si>
  <si>
    <t>Effect of exchange rate changes on cash</t>
  </si>
  <si>
    <t>Sep. 30, 2023</t>
  </si>
  <si>
    <t>Sep. 30, 2022</t>
  </si>
  <si>
    <t>Jun. 30, 2023</t>
  </si>
  <si>
    <t>Jun. 30, 2022</t>
  </si>
  <si>
    <t>Cost of product revenues</t>
  </si>
  <si>
    <t>Cost of service revenues</t>
  </si>
  <si>
    <t>Mar. 31, 2019</t>
  </si>
  <si>
    <t>Mar. 31, 2018</t>
  </si>
  <si>
    <t>Mar. 31, 2017</t>
  </si>
  <si>
    <t>Mar. 31, 2016</t>
  </si>
  <si>
    <t>Apr. 03, 2015</t>
  </si>
  <si>
    <t>Interest expense, net</t>
  </si>
  <si>
    <t>Mar. 31, 2024</t>
  </si>
  <si>
    <t>Total Operating Expenses</t>
  </si>
  <si>
    <t>Mar. 31, 2025 E</t>
  </si>
  <si>
    <t>Satellite Services</t>
  </si>
  <si>
    <t>Commercial Networks</t>
  </si>
  <si>
    <t>Government Systems</t>
  </si>
  <si>
    <t>Jun. 30, 2024 E</t>
  </si>
  <si>
    <t>Sep. 30, 2024 E</t>
  </si>
  <si>
    <t>Dec. 31, 2024 E</t>
  </si>
  <si>
    <t>Tax Rate</t>
  </si>
  <si>
    <t>Jun. 30, 2025 E</t>
  </si>
  <si>
    <t>Net income</t>
  </si>
  <si>
    <t>Depreciation and amort</t>
  </si>
  <si>
    <t>Stock based compensation</t>
  </si>
  <si>
    <t>Deferred taxes</t>
  </si>
  <si>
    <t>Other</t>
  </si>
  <si>
    <t>Working capital, net</t>
  </si>
  <si>
    <t>Net cash flow from operations</t>
  </si>
  <si>
    <t>Capital spending</t>
  </si>
  <si>
    <t>Excess cash flow from operations</t>
  </si>
  <si>
    <t>Excess cash flow/share</t>
  </si>
  <si>
    <t>Acquisitions, net</t>
  </si>
  <si>
    <t>Debt, net</t>
  </si>
  <si>
    <t>Share repurchases, net</t>
  </si>
  <si>
    <t>Net change in cash</t>
  </si>
  <si>
    <t>Net income (loss)</t>
  </si>
  <si>
    <t>Adjustments to reconcile net income (loss) to net cash provided by operating activities:</t>
  </si>
  <si>
    <t>Gain on disposition of business prior to costs to sell</t>
  </si>
  <si>
    <t>Deferred income taxes and other non-cash adjustments</t>
  </si>
  <si>
    <t>Net cash provided by (used in) operating activities</t>
  </si>
  <si>
    <t>Proceeds from sale of business</t>
  </si>
  <si>
    <t>Net cash provided by (used in) investing activities</t>
  </si>
  <si>
    <t>Proceeds from debt borrowings</t>
  </si>
  <si>
    <t>Repurchase of shares by majority-owned subsidiary</t>
  </si>
  <si>
    <t>Net cash provided by (used in) financing activities</t>
  </si>
  <si>
    <t>Net increase (decrease) in cash and cash equivalents and restricted cash</t>
  </si>
  <si>
    <t>Cash and cash equivalents and restricted cash at beginning of fiscal year</t>
  </si>
  <si>
    <t>Cash and cash equivalents and restricted cash at end of fiscal year</t>
  </si>
  <si>
    <t xml:space="preserve">Proceeds from sale of real property </t>
  </si>
  <si>
    <t>Restricted Cash</t>
  </si>
  <si>
    <t>Net working capital</t>
  </si>
  <si>
    <t>Change: net working capital</t>
  </si>
  <si>
    <t>Operating income</t>
  </si>
  <si>
    <t>Taxes</t>
  </si>
  <si>
    <t>NOPAT</t>
  </si>
  <si>
    <t>Income taxes</t>
  </si>
  <si>
    <t>Pre-tax income</t>
  </si>
  <si>
    <t>Effective tax rate</t>
  </si>
  <si>
    <t>Invested capital</t>
  </si>
  <si>
    <t>PP&amp;E</t>
  </si>
  <si>
    <t xml:space="preserve">  Total</t>
  </si>
  <si>
    <t>Return on invested capital (ROIC)</t>
  </si>
  <si>
    <t>DCF</t>
  </si>
  <si>
    <t>Tax rate</t>
  </si>
  <si>
    <t>Free cash flow</t>
  </si>
  <si>
    <t>NPV</t>
  </si>
  <si>
    <t>Assumed growth rate</t>
  </si>
  <si>
    <t>Assumed cost of capital</t>
  </si>
  <si>
    <t>Net debt</t>
  </si>
  <si>
    <t>Equity Capitalization</t>
  </si>
  <si>
    <t>Shares outstanding</t>
  </si>
  <si>
    <t>Estimated stock price</t>
  </si>
  <si>
    <t>Ending year end stock price</t>
  </si>
  <si>
    <t>Market capitalization</t>
  </si>
  <si>
    <t>Total market value</t>
  </si>
  <si>
    <t>EBITD margin</t>
  </si>
  <si>
    <t>EBITD growth</t>
  </si>
  <si>
    <t>ROIC</t>
  </si>
  <si>
    <t>TMV/invested capital</t>
  </si>
  <si>
    <t>Excess cash flow yield</t>
  </si>
  <si>
    <t>EBITD multiple</t>
  </si>
  <si>
    <t>Current stock price</t>
  </si>
  <si>
    <t>Viasat</t>
  </si>
  <si>
    <t>Sep. 30, 2025 E</t>
  </si>
  <si>
    <t>Dec. 31, 2025 E</t>
  </si>
  <si>
    <t>Mar. 31, 2026 E</t>
  </si>
  <si>
    <t>Total COGS</t>
  </si>
  <si>
    <t>2026 EBITD</t>
  </si>
  <si>
    <t>Discount Rate</t>
  </si>
  <si>
    <t>Discount Period</t>
  </si>
  <si>
    <t>2024 Market cap</t>
  </si>
  <si>
    <t>Stock price 2024</t>
  </si>
  <si>
    <t>Potential appreciation</t>
  </si>
  <si>
    <t>Mar. 31, 2027 E</t>
  </si>
  <si>
    <t>Mar. 31, 2028 E</t>
  </si>
  <si>
    <t>Mar. 31, 2029 E</t>
  </si>
  <si>
    <t xml:space="preserve">Average growth rate </t>
  </si>
  <si>
    <t>2025 E</t>
  </si>
  <si>
    <t>2026 E</t>
  </si>
  <si>
    <t>Funds Flow</t>
  </si>
  <si>
    <t>Growth Rates</t>
  </si>
  <si>
    <t>2027 E</t>
  </si>
  <si>
    <t xml:space="preserve">Jun. 30, 2024 </t>
  </si>
  <si>
    <t>Segment Breakdown</t>
  </si>
  <si>
    <t>Aviation services</t>
  </si>
  <si>
    <t>Government satcom services</t>
  </si>
  <si>
    <t>Maritime services</t>
  </si>
  <si>
    <t>Fixed services and other services</t>
  </si>
  <si>
    <t>Previous Segment Reports (2015-2024):</t>
  </si>
  <si>
    <t>Total services</t>
  </si>
  <si>
    <t>Information security and cyber defense products</t>
  </si>
  <si>
    <t>Space and mission systems products</t>
  </si>
  <si>
    <t>Tactical networking products</t>
  </si>
  <si>
    <t>Advanced technolgoies and other products</t>
  </si>
  <si>
    <t>Total products</t>
  </si>
  <si>
    <t>Total communication services revenue</t>
  </si>
  <si>
    <t>Total defense and advanced technologies revenue</t>
  </si>
  <si>
    <t>Defense and advanced technologies:</t>
  </si>
  <si>
    <t>Communication services:</t>
  </si>
  <si>
    <t>Q1</t>
  </si>
  <si>
    <t>Q2</t>
  </si>
  <si>
    <t>Q3</t>
  </si>
  <si>
    <t>Q4</t>
  </si>
  <si>
    <t>Q1 E</t>
  </si>
  <si>
    <t>Q2 E</t>
  </si>
  <si>
    <t>Q3 E</t>
  </si>
  <si>
    <t>Q4 E</t>
  </si>
  <si>
    <t>Ratios</t>
  </si>
  <si>
    <t>Gross margin</t>
  </si>
  <si>
    <t>Operating margin</t>
  </si>
  <si>
    <t>Net margin</t>
  </si>
  <si>
    <t>Profitability:</t>
  </si>
  <si>
    <t>EBITDA</t>
  </si>
  <si>
    <t>Adj. EBITDA</t>
  </si>
  <si>
    <t>Operating Income</t>
  </si>
  <si>
    <t>TMV/OI (forward)</t>
  </si>
  <si>
    <t>TMV/EBITDA (forward)</t>
  </si>
  <si>
    <t>2028 E</t>
  </si>
  <si>
    <t>2029 E</t>
  </si>
  <si>
    <t>2030 E</t>
  </si>
  <si>
    <t>2031 E</t>
  </si>
  <si>
    <t>2032 E</t>
  </si>
  <si>
    <t>Estimated Growth</t>
  </si>
  <si>
    <t>Adj.</t>
  </si>
  <si>
    <t>TMV/Adj. EBITDA (forward)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</si>
</sst>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164" formatCode="_(&quot;$ &quot;#,##0_);_(&quot;$ &quot;\(#,##0\)"/>
    <numFmt numFmtId="165" formatCode="_(&quot;$ &quot;#,##0.00_);_(&quot;$ &quot;\(#,##0.00\)"/>
    <numFmt numFmtId="166" formatCode="_([$$-409]* #,##0_);_([$$-409]* \(#,##0\);_([$$-409]* &quot;-&quot;??_);_(@_)"/>
    <numFmt numFmtId="167" formatCode="&quot;$&quot;#,##0_);\(&quot;$&quot;#,##0\)"/>
    <numFmt numFmtId="168" formatCode="&quot;$&quot;#,##0.0_);\(&quot;$&quot;#,##0.0\)"/>
    <numFmt numFmtId="169" formatCode="_([$$-409]* #,##0_);_([$$-409]* \(#,##0\);_([$$-409]* &quot;-&quot;_);_(@_)"/>
    <numFmt numFmtId="170" formatCode="_([$$-409]* #,##0.00_);_([$$-409]* \(#,##0.00\);_([$$-409]* &quot;-&quot;_);_(@_)"/>
    <numFmt numFmtId="171" formatCode="&quot;$&quot;#,##0;\-&quot;$&quot;#,##0"/>
    <numFmt numFmtId="172" formatCode="0.0%"/>
    <numFmt numFmtId="173" formatCode="[$$-409]#,##0"/>
    <numFmt numFmtId="174" formatCode="[$$-409]#,##0.00"/>
    <numFmt numFmtId="175" formatCode="0.0"/>
    <numFmt numFmtId="176" formatCode="_([$$-409]* #,##0.00_);_([$$-409]* \(#,##0.00\);_([$$-409]* &quot;-&quot;??_);_(@_)"/>
  </numFmts>
  <fonts count="29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sz val="11"/>
      <color rgb="FF00B050"/>
      <name val="Calibri"/>
      <family val="2"/>
    </font>
    <font>
      <sz val="8"/>
      <name val="Calibri"/>
      <family val="2"/>
      <scheme val="minor"/>
    </font>
    <font>
      <sz val="11"/>
      <color rgb="FFFF0000"/>
      <name val="Calibri"/>
      <family val="2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Calibri"/>
      <family val="2"/>
    </font>
    <font>
      <sz val="12"/>
      <name val="Calibri"/>
      <family val="2"/>
    </font>
    <font>
      <sz val="12"/>
      <color theme="1"/>
      <name val="Calibri (Body)"/>
    </font>
    <font>
      <sz val="12"/>
      <color rgb="FFFF0000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00B050"/>
      <name val="Calibri"/>
      <family val="2"/>
      <scheme val="minor"/>
    </font>
    <font>
      <sz val="11"/>
      <name val="Calibri "/>
    </font>
    <font>
      <sz val="11"/>
      <color theme="1"/>
      <name val="Calibri "/>
    </font>
    <font>
      <b/>
      <sz val="11"/>
      <name val="Calibri "/>
    </font>
    <font>
      <sz val="11"/>
      <color rgb="FF00B050"/>
      <name val="Calibri "/>
    </font>
    <font>
      <sz val="11"/>
      <color rgb="FFFF0000"/>
      <name val="Calibri "/>
    </font>
    <font>
      <b/>
      <u/>
      <sz val="11"/>
      <color theme="1"/>
      <name val="Calibri"/>
      <family val="2"/>
      <scheme val="minor"/>
    </font>
    <font>
      <b/>
      <u/>
      <sz val="11"/>
      <color theme="1"/>
      <name val="Calibri (Body)"/>
    </font>
    <font>
      <b/>
      <u/>
      <sz val="11"/>
      <color theme="1"/>
      <name val="Calibri "/>
    </font>
    <font>
      <b/>
      <u/>
      <sz val="11"/>
      <name val="Calibri "/>
    </font>
    <font>
      <sz val="12"/>
      <color rgb="FF9C0006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rgb="FF000000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14" fillId="3" borderId="0" applyNumberFormat="0" applyBorder="0" applyAlignment="0" applyProtection="0"/>
    <xf numFmtId="0" fontId="25" fillId="4" borderId="0" applyNumberFormat="0" applyBorder="0" applyAlignment="0" applyProtection="0"/>
  </cellStyleXfs>
  <cellXfs count="189">
    <xf numFmtId="0" fontId="0" fillId="0" borderId="0" xfId="0"/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vertical="top" wrapText="1"/>
    </xf>
    <xf numFmtId="0" fontId="3" fillId="0" borderId="0" xfId="0" applyFont="1" applyAlignment="1">
      <alignment vertical="top" wrapText="1"/>
    </xf>
    <xf numFmtId="164" fontId="3" fillId="0" borderId="0" xfId="0" applyNumberFormat="1" applyFont="1" applyAlignment="1">
      <alignment horizontal="right" vertical="top"/>
    </xf>
    <xf numFmtId="37" fontId="3" fillId="0" borderId="0" xfId="0" applyNumberFormat="1" applyFont="1" applyAlignment="1">
      <alignment horizontal="right" vertical="top"/>
    </xf>
    <xf numFmtId="165" fontId="3" fillId="0" borderId="0" xfId="0" applyNumberFormat="1" applyFont="1" applyAlignment="1">
      <alignment horizontal="right" vertical="top"/>
    </xf>
    <xf numFmtId="39" fontId="3" fillId="0" borderId="0" xfId="0" applyNumberFormat="1" applyFont="1" applyAlignment="1">
      <alignment horizontal="right" vertical="top"/>
    </xf>
    <xf numFmtId="9" fontId="4" fillId="0" borderId="0" xfId="1" applyFont="1" applyAlignment="1">
      <alignment horizontal="right" vertical="top"/>
    </xf>
    <xf numFmtId="37" fontId="3" fillId="0" borderId="0" xfId="0" applyNumberFormat="1" applyFont="1" applyAlignment="1">
      <alignment vertical="top" wrapText="1"/>
    </xf>
    <xf numFmtId="37" fontId="0" fillId="0" borderId="0" xfId="0" applyNumberFormat="1"/>
    <xf numFmtId="0" fontId="3" fillId="0" borderId="0" xfId="1" applyNumberFormat="1" applyFont="1" applyAlignment="1">
      <alignment vertical="top" wrapText="1"/>
    </xf>
    <xf numFmtId="2" fontId="3" fillId="0" borderId="0" xfId="1" applyNumberFormat="1" applyFont="1" applyAlignment="1">
      <alignment vertical="top" wrapText="1"/>
    </xf>
    <xf numFmtId="2" fontId="3" fillId="0" borderId="0" xfId="0" applyNumberFormat="1" applyFont="1" applyAlignment="1">
      <alignment vertical="top" wrapText="1"/>
    </xf>
    <xf numFmtId="9" fontId="6" fillId="0" borderId="0" xfId="1" applyFont="1" applyAlignment="1">
      <alignment horizontal="right" vertical="top"/>
    </xf>
    <xf numFmtId="0" fontId="7" fillId="0" borderId="0" xfId="0" applyFont="1" applyAlignment="1">
      <alignment vertical="top" wrapText="1"/>
    </xf>
    <xf numFmtId="9" fontId="8" fillId="0" borderId="0" xfId="1" applyFont="1"/>
    <xf numFmtId="0" fontId="9" fillId="0" borderId="0" xfId="0" applyFont="1"/>
    <xf numFmtId="166" fontId="9" fillId="0" borderId="0" xfId="1" applyNumberFormat="1" applyFont="1"/>
    <xf numFmtId="166" fontId="7" fillId="0" borderId="0" xfId="0" applyNumberFormat="1" applyFont="1" applyAlignment="1">
      <alignment vertical="top" wrapText="1"/>
    </xf>
    <xf numFmtId="166" fontId="9" fillId="0" borderId="0" xfId="0" applyNumberFormat="1" applyFont="1"/>
    <xf numFmtId="166" fontId="3" fillId="0" borderId="0" xfId="0" applyNumberFormat="1" applyFont="1" applyAlignment="1">
      <alignment horizontal="right" vertical="top"/>
    </xf>
    <xf numFmtId="9" fontId="3" fillId="2" borderId="0" xfId="1" applyFont="1" applyFill="1" applyAlignment="1">
      <alignment horizontal="right" vertical="top"/>
    </xf>
    <xf numFmtId="9" fontId="3" fillId="0" borderId="0" xfId="1" applyFont="1" applyFill="1" applyAlignment="1">
      <alignment horizontal="right" vertical="top"/>
    </xf>
    <xf numFmtId="1" fontId="3" fillId="0" borderId="0" xfId="0" applyNumberFormat="1" applyFont="1" applyAlignment="1">
      <alignment horizontal="right" vertical="top"/>
    </xf>
    <xf numFmtId="1" fontId="9" fillId="0" borderId="0" xfId="1" applyNumberFormat="1" applyFont="1"/>
    <xf numFmtId="0" fontId="3" fillId="0" borderId="0" xfId="0" applyFont="1" applyAlignment="1">
      <alignment vertical="center" wrapText="1"/>
    </xf>
    <xf numFmtId="0" fontId="10" fillId="0" borderId="0" xfId="0" applyFont="1" applyAlignment="1">
      <alignment vertical="top" wrapText="1"/>
    </xf>
    <xf numFmtId="0" fontId="11" fillId="0" borderId="0" xfId="0" applyFont="1" applyAlignment="1">
      <alignment vertical="top" wrapText="1"/>
    </xf>
    <xf numFmtId="169" fontId="0" fillId="0" borderId="0" xfId="0" applyNumberFormat="1"/>
    <xf numFmtId="170" fontId="0" fillId="0" borderId="0" xfId="0" applyNumberFormat="1"/>
    <xf numFmtId="0" fontId="12" fillId="0" borderId="0" xfId="0" applyFont="1"/>
    <xf numFmtId="9" fontId="0" fillId="0" borderId="0" xfId="0" applyNumberFormat="1"/>
    <xf numFmtId="10" fontId="0" fillId="0" borderId="0" xfId="1" applyNumberFormat="1" applyFont="1"/>
    <xf numFmtId="10" fontId="0" fillId="0" borderId="0" xfId="0" applyNumberFormat="1"/>
    <xf numFmtId="1" fontId="0" fillId="0" borderId="0" xfId="0" applyNumberFormat="1"/>
    <xf numFmtId="172" fontId="4" fillId="0" borderId="0" xfId="1" applyNumberFormat="1" applyFont="1" applyAlignment="1">
      <alignment horizontal="right" vertical="top"/>
    </xf>
    <xf numFmtId="0" fontId="3" fillId="0" borderId="0" xfId="0" applyFont="1" applyAlignment="1">
      <alignment horizontal="right" vertical="top" wrapText="1"/>
    </xf>
    <xf numFmtId="164" fontId="3" fillId="0" borderId="0" xfId="0" applyNumberFormat="1" applyFont="1" applyAlignment="1">
      <alignment vertical="top" wrapText="1"/>
    </xf>
    <xf numFmtId="0" fontId="15" fillId="0" borderId="0" xfId="0" applyFont="1"/>
    <xf numFmtId="10" fontId="15" fillId="0" borderId="0" xfId="1" applyNumberFormat="1" applyFont="1"/>
    <xf numFmtId="0" fontId="13" fillId="0" borderId="0" xfId="0" applyFont="1"/>
    <xf numFmtId="10" fontId="13" fillId="0" borderId="0" xfId="0" applyNumberFormat="1" applyFont="1"/>
    <xf numFmtId="169" fontId="16" fillId="0" borderId="0" xfId="0" applyNumberFormat="1" applyFont="1"/>
    <xf numFmtId="169" fontId="17" fillId="0" borderId="0" xfId="0" applyNumberFormat="1" applyFont="1"/>
    <xf numFmtId="172" fontId="17" fillId="0" borderId="0" xfId="1" applyNumberFormat="1" applyFont="1"/>
    <xf numFmtId="170" fontId="17" fillId="0" borderId="0" xfId="0" applyNumberFormat="1" applyFont="1"/>
    <xf numFmtId="0" fontId="16" fillId="0" borderId="0" xfId="0" applyFont="1" applyAlignment="1">
      <alignment vertical="top" wrapText="1"/>
    </xf>
    <xf numFmtId="37" fontId="16" fillId="0" borderId="0" xfId="0" applyNumberFormat="1" applyFont="1" applyAlignment="1">
      <alignment horizontal="right" vertical="top"/>
    </xf>
    <xf numFmtId="0" fontId="17" fillId="0" borderId="0" xfId="0" applyFont="1"/>
    <xf numFmtId="0" fontId="18" fillId="0" borderId="0" xfId="0" applyFont="1" applyAlignment="1">
      <alignment vertical="top" wrapText="1"/>
    </xf>
    <xf numFmtId="164" fontId="16" fillId="0" borderId="0" xfId="0" applyNumberFormat="1" applyFont="1" applyAlignment="1">
      <alignment horizontal="right" vertical="top"/>
    </xf>
    <xf numFmtId="37" fontId="17" fillId="0" borderId="0" xfId="0" applyNumberFormat="1" applyFont="1"/>
    <xf numFmtId="37" fontId="16" fillId="0" borderId="0" xfId="0" applyNumberFormat="1" applyFont="1"/>
    <xf numFmtId="3" fontId="16" fillId="0" borderId="0" xfId="0" applyNumberFormat="1" applyFont="1"/>
    <xf numFmtId="0" fontId="16" fillId="0" borderId="0" xfId="0" applyFont="1"/>
    <xf numFmtId="167" fontId="16" fillId="0" borderId="0" xfId="0" applyNumberFormat="1" applyFont="1"/>
    <xf numFmtId="171" fontId="16" fillId="0" borderId="0" xfId="0" applyNumberFormat="1" applyFont="1"/>
    <xf numFmtId="172" fontId="16" fillId="0" borderId="0" xfId="0" applyNumberFormat="1" applyFont="1"/>
    <xf numFmtId="9" fontId="17" fillId="0" borderId="0" xfId="0" applyNumberFormat="1" applyFont="1"/>
    <xf numFmtId="10" fontId="17" fillId="0" borderId="0" xfId="1" applyNumberFormat="1" applyFont="1"/>
    <xf numFmtId="166" fontId="17" fillId="0" borderId="0" xfId="0" applyNumberFormat="1" applyFont="1"/>
    <xf numFmtId="173" fontId="17" fillId="0" borderId="0" xfId="0" applyNumberFormat="1" applyFont="1"/>
    <xf numFmtId="10" fontId="17" fillId="0" borderId="0" xfId="0" applyNumberFormat="1" applyFont="1"/>
    <xf numFmtId="1" fontId="17" fillId="0" borderId="0" xfId="0" applyNumberFormat="1" applyFont="1"/>
    <xf numFmtId="174" fontId="17" fillId="0" borderId="0" xfId="0" applyNumberFormat="1" applyFont="1"/>
    <xf numFmtId="172" fontId="16" fillId="0" borderId="0" xfId="1" applyNumberFormat="1" applyFont="1"/>
    <xf numFmtId="0" fontId="19" fillId="0" borderId="0" xfId="0" applyFont="1"/>
    <xf numFmtId="0" fontId="20" fillId="0" borderId="0" xfId="0" applyFont="1"/>
    <xf numFmtId="2" fontId="17" fillId="0" borderId="0" xfId="0" applyNumberFormat="1" applyFont="1"/>
    <xf numFmtId="0" fontId="7" fillId="0" borderId="0" xfId="0" applyFont="1" applyAlignment="1">
      <alignment horizontal="right" vertical="top" wrapText="1"/>
    </xf>
    <xf numFmtId="0" fontId="3" fillId="0" borderId="0" xfId="0" applyFont="1" applyAlignment="1">
      <alignment horizontal="center" vertical="top" wrapText="1"/>
    </xf>
    <xf numFmtId="37" fontId="14" fillId="3" borderId="0" xfId="2" applyNumberFormat="1" applyAlignment="1">
      <alignment horizontal="right" vertical="top"/>
    </xf>
    <xf numFmtId="37" fontId="14" fillId="0" borderId="0" xfId="2" applyNumberFormat="1" applyFill="1" applyAlignment="1">
      <alignment horizontal="right" vertical="top"/>
    </xf>
    <xf numFmtId="0" fontId="21" fillId="0" borderId="0" xfId="0" applyFont="1" applyAlignment="1">
      <alignment horizontal="center"/>
    </xf>
    <xf numFmtId="0" fontId="3" fillId="2" borderId="0" xfId="0" applyFont="1" applyFill="1" applyAlignment="1">
      <alignment horizontal="center" vertical="top" wrapText="1"/>
    </xf>
    <xf numFmtId="0" fontId="14" fillId="3" borderId="0" xfId="2" applyAlignment="1">
      <alignment horizontal="center" vertical="top" wrapText="1"/>
    </xf>
    <xf numFmtId="166" fontId="14" fillId="3" borderId="0" xfId="2" applyNumberFormat="1" applyAlignment="1">
      <alignment horizontal="right" vertical="top"/>
    </xf>
    <xf numFmtId="166" fontId="14" fillId="3" borderId="0" xfId="2" applyNumberFormat="1"/>
    <xf numFmtId="166" fontId="14" fillId="0" borderId="0" xfId="2" applyNumberFormat="1" applyFill="1" applyAlignment="1">
      <alignment horizontal="right" vertical="top"/>
    </xf>
    <xf numFmtId="0" fontId="22" fillId="0" borderId="0" xfId="0" applyFont="1" applyAlignment="1">
      <alignment horizontal="center"/>
    </xf>
    <xf numFmtId="172" fontId="19" fillId="0" borderId="0" xfId="1" applyNumberFormat="1" applyFont="1"/>
    <xf numFmtId="169" fontId="16" fillId="0" borderId="0" xfId="0" applyNumberFormat="1" applyFont="1" applyAlignment="1">
      <alignment horizontal="center"/>
    </xf>
    <xf numFmtId="0" fontId="16" fillId="0" borderId="0" xfId="0" applyFont="1" applyAlignment="1">
      <alignment horizontal="right" vertical="top" wrapText="1"/>
    </xf>
    <xf numFmtId="0" fontId="16" fillId="0" borderId="0" xfId="0" applyFont="1" applyAlignment="1">
      <alignment horizontal="center" vertical="top" wrapText="1"/>
    </xf>
    <xf numFmtId="0" fontId="18" fillId="0" borderId="0" xfId="0" applyFont="1" applyAlignment="1">
      <alignment horizontal="center" vertical="top" wrapText="1"/>
    </xf>
    <xf numFmtId="0" fontId="16" fillId="0" borderId="0" xfId="0" applyFont="1" applyAlignment="1">
      <alignment horizontal="right"/>
    </xf>
    <xf numFmtId="0" fontId="16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9" fontId="19" fillId="0" borderId="0" xfId="1" applyFont="1" applyAlignment="1">
      <alignment horizontal="right" vertical="top"/>
    </xf>
    <xf numFmtId="0" fontId="24" fillId="0" borderId="0" xfId="0" applyFont="1" applyAlignment="1">
      <alignment horizontal="center"/>
    </xf>
    <xf numFmtId="175" fontId="17" fillId="0" borderId="0" xfId="0" applyNumberFormat="1" applyFont="1"/>
    <xf numFmtId="172" fontId="20" fillId="0" borderId="0" xfId="0" applyNumberFormat="1" applyFont="1"/>
    <xf numFmtId="172" fontId="17" fillId="0" borderId="0" xfId="0" applyNumberFormat="1" applyFont="1"/>
    <xf numFmtId="167" fontId="11" fillId="0" borderId="0" xfId="0" applyNumberFormat="1" applyFont="1"/>
    <xf numFmtId="37" fontId="11" fillId="0" borderId="0" xfId="0" applyNumberFormat="1" applyFont="1"/>
    <xf numFmtId="168" fontId="11" fillId="0" borderId="0" xfId="0" applyNumberFormat="1" applyFont="1"/>
    <xf numFmtId="0" fontId="3" fillId="5" borderId="0" xfId="0" applyFont="1" applyFill="1" applyAlignment="1">
      <alignment horizontal="center" vertical="center" wrapText="1"/>
    </xf>
    <xf numFmtId="0" fontId="0" fillId="5" borderId="0" xfId="0" applyFill="1"/>
    <xf numFmtId="0" fontId="9" fillId="5" borderId="0" xfId="0" applyFont="1" applyFill="1"/>
    <xf numFmtId="172" fontId="4" fillId="5" borderId="0" xfId="1" applyNumberFormat="1" applyFont="1" applyFill="1" applyAlignment="1">
      <alignment horizontal="right" vertical="top"/>
    </xf>
    <xf numFmtId="9" fontId="8" fillId="5" borderId="0" xfId="1" applyFont="1" applyFill="1"/>
    <xf numFmtId="9" fontId="4" fillId="5" borderId="0" xfId="1" applyFont="1" applyFill="1" applyAlignment="1">
      <alignment horizontal="right" vertical="top"/>
    </xf>
    <xf numFmtId="166" fontId="3" fillId="5" borderId="0" xfId="0" applyNumberFormat="1" applyFont="1" applyFill="1" applyAlignment="1">
      <alignment horizontal="right" vertical="top"/>
    </xf>
    <xf numFmtId="37" fontId="3" fillId="5" borderId="0" xfId="0" applyNumberFormat="1" applyFont="1" applyFill="1" applyAlignment="1">
      <alignment horizontal="right" vertical="top"/>
    </xf>
    <xf numFmtId="9" fontId="6" fillId="5" borderId="0" xfId="1" applyFont="1" applyFill="1" applyAlignment="1">
      <alignment horizontal="right" vertical="top"/>
    </xf>
    <xf numFmtId="164" fontId="3" fillId="5" borderId="0" xfId="0" applyNumberFormat="1" applyFont="1" applyFill="1" applyAlignment="1">
      <alignment horizontal="right" vertical="top"/>
    </xf>
    <xf numFmtId="0" fontId="3" fillId="5" borderId="0" xfId="0" applyFont="1" applyFill="1" applyAlignment="1">
      <alignment vertical="top" wrapText="1"/>
    </xf>
    <xf numFmtId="37" fontId="3" fillId="5" borderId="0" xfId="0" applyNumberFormat="1" applyFont="1" applyFill="1" applyAlignment="1">
      <alignment vertical="top" wrapText="1"/>
    </xf>
    <xf numFmtId="9" fontId="3" fillId="5" borderId="0" xfId="1" applyFont="1" applyFill="1" applyAlignment="1">
      <alignment horizontal="right" vertical="top"/>
    </xf>
    <xf numFmtId="2" fontId="3" fillId="5" borderId="0" xfId="0" applyNumberFormat="1" applyFont="1" applyFill="1" applyAlignment="1">
      <alignment vertical="top" wrapText="1"/>
    </xf>
    <xf numFmtId="172" fontId="4" fillId="0" borderId="0" xfId="1" applyNumberFormat="1" applyFont="1" applyFill="1" applyAlignment="1">
      <alignment horizontal="right" vertical="top"/>
    </xf>
    <xf numFmtId="9" fontId="8" fillId="0" borderId="0" xfId="1" applyFont="1" applyFill="1"/>
    <xf numFmtId="9" fontId="4" fillId="0" borderId="0" xfId="1" applyFont="1" applyFill="1" applyAlignment="1">
      <alignment horizontal="right" vertical="top"/>
    </xf>
    <xf numFmtId="9" fontId="6" fillId="0" borderId="0" xfId="1" applyFont="1" applyFill="1" applyAlignment="1">
      <alignment horizontal="right" vertical="top"/>
    </xf>
    <xf numFmtId="0" fontId="12" fillId="5" borderId="0" xfId="0" applyFont="1" applyFill="1"/>
    <xf numFmtId="0" fontId="25" fillId="4" borderId="0" xfId="3" applyAlignment="1">
      <alignment horizontal="center" vertical="top" wrapText="1"/>
    </xf>
    <xf numFmtId="164" fontId="25" fillId="4" borderId="0" xfId="3" applyNumberFormat="1" applyAlignment="1">
      <alignment horizontal="right" vertical="top"/>
    </xf>
    <xf numFmtId="166" fontId="14" fillId="3" borderId="0" xfId="2" applyNumberFormat="1" applyAlignment="1">
      <alignment horizontal="right" vertical="center"/>
    </xf>
    <xf numFmtId="166" fontId="14" fillId="3" borderId="0" xfId="2" applyNumberFormat="1" applyAlignment="1">
      <alignment vertical="center"/>
    </xf>
    <xf numFmtId="0" fontId="3" fillId="0" borderId="0" xfId="0" applyFont="1" applyAlignment="1">
      <alignment horizontal="right" vertical="center" wrapText="1"/>
    </xf>
    <xf numFmtId="0" fontId="26" fillId="0" borderId="0" xfId="0" applyFont="1"/>
    <xf numFmtId="0" fontId="2" fillId="0" borderId="0" xfId="0" applyFont="1" applyAlignment="1">
      <alignment horizontal="right" vertical="center" wrapText="1"/>
    </xf>
    <xf numFmtId="166" fontId="0" fillId="0" borderId="0" xfId="0" applyNumberFormat="1"/>
    <xf numFmtId="37" fontId="2" fillId="0" borderId="0" xfId="0" applyNumberFormat="1" applyFont="1" applyAlignment="1">
      <alignment horizontal="right" vertical="top"/>
    </xf>
    <xf numFmtId="166" fontId="0" fillId="5" borderId="0" xfId="0" applyNumberFormat="1" applyFill="1"/>
    <xf numFmtId="164" fontId="25" fillId="0" borderId="0" xfId="3" applyNumberFormat="1" applyFill="1" applyAlignment="1">
      <alignment horizontal="right" vertical="top"/>
    </xf>
    <xf numFmtId="9" fontId="15" fillId="0" borderId="0" xfId="1" applyFont="1"/>
    <xf numFmtId="9" fontId="15" fillId="5" borderId="0" xfId="1" applyFont="1" applyFill="1"/>
    <xf numFmtId="176" fontId="3" fillId="0" borderId="0" xfId="0" applyNumberFormat="1" applyFont="1" applyAlignment="1">
      <alignment vertical="top" wrapText="1"/>
    </xf>
    <xf numFmtId="166" fontId="25" fillId="4" borderId="0" xfId="3" applyNumberFormat="1" applyAlignment="1">
      <alignment horizontal="right" vertical="top"/>
    </xf>
    <xf numFmtId="166" fontId="3" fillId="0" borderId="0" xfId="0" applyNumberFormat="1" applyFont="1" applyAlignment="1">
      <alignment vertical="top" wrapText="1"/>
    </xf>
    <xf numFmtId="176" fontId="3" fillId="5" borderId="0" xfId="0" applyNumberFormat="1" applyFont="1" applyFill="1" applyAlignment="1">
      <alignment vertical="top" wrapText="1"/>
    </xf>
    <xf numFmtId="166" fontId="3" fillId="5" borderId="0" xfId="0" applyNumberFormat="1" applyFont="1" applyFill="1" applyAlignment="1">
      <alignment vertical="top" wrapText="1"/>
    </xf>
    <xf numFmtId="0" fontId="27" fillId="0" borderId="0" xfId="0" applyFont="1" applyAlignment="1">
      <alignment horizontal="left"/>
    </xf>
    <xf numFmtId="0" fontId="9" fillId="0" borderId="0" xfId="0" applyFont="1" applyAlignment="1">
      <alignment horizontal="right"/>
    </xf>
    <xf numFmtId="9" fontId="13" fillId="0" borderId="0" xfId="1" applyFont="1"/>
    <xf numFmtId="176" fontId="17" fillId="0" borderId="0" xfId="0" applyNumberFormat="1" applyFont="1"/>
    <xf numFmtId="3" fontId="16" fillId="0" borderId="0" xfId="0" applyNumberFormat="1" applyFont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9" fillId="0" borderId="0" xfId="0" applyFont="1" applyAlignment="1">
      <alignment horizontal="center"/>
    </xf>
    <xf numFmtId="0" fontId="3" fillId="0" borderId="0" xfId="0" applyFont="1" applyAlignment="1">
      <alignment horizontal="center" vertical="center" wrapText="1"/>
    </xf>
    <xf numFmtId="3" fontId="16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center" vertical="center" wrapText="1"/>
    </xf>
    <xf numFmtId="0" fontId="9" fillId="0" borderId="0" xfId="0" applyFont="1"/>
    <xf numFmtId="3" fontId="16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top"/>
    </xf>
    <xf numFmtId="0" fontId="26" fillId="0" borderId="0" xfId="0" applyFont="1" applyAlignment="1">
      <alignment horizontal="center" vertical="center"/>
    </xf>
    <xf numFmtId="0" fontId="26" fillId="0" borderId="0" xfId="0" applyFont="1" applyAlignment="1">
      <alignment horizontal="center"/>
    </xf>
    <xf numFmtId="0" fontId="0" fillId="0" borderId="0" xfId="0"/>
    <xf numFmtId="0" fontId="10" fillId="0" borderId="0" xfId="0" applyFont="1" applyAlignment="1">
      <alignment horizontal="center" vertical="center" wrapText="1"/>
    </xf>
    <xf numFmtId="166" fontId="14" fillId="5" borderId="0" xfId="2" applyNumberFormat="1" applyFill="1" applyAlignment="1">
      <alignment horizontal="right" vertical="top"/>
    </xf>
    <xf numFmtId="166" fontId="9" fillId="5" borderId="0" xfId="1" applyNumberFormat="1" applyFont="1" applyFill="1"/>
    <xf numFmtId="164" fontId="25" fillId="5" borderId="0" xfId="3" applyNumberFormat="1" applyFill="1" applyAlignment="1">
      <alignment horizontal="right" vertical="top"/>
    </xf>
    <xf numFmtId="37" fontId="14" fillId="5" borderId="0" xfId="2" applyNumberFormat="1" applyFill="1" applyAlignment="1">
      <alignment horizontal="right" vertical="top"/>
    </xf>
    <xf numFmtId="165" fontId="3" fillId="5" borderId="0" xfId="0" applyNumberFormat="1" applyFont="1" applyFill="1" applyAlignment="1">
      <alignment horizontal="right" vertical="top"/>
    </xf>
    <xf numFmtId="1" fontId="9" fillId="5" borderId="0" xfId="1" applyNumberFormat="1" applyFont="1" applyFill="1"/>
    <xf numFmtId="9" fontId="13" fillId="5" borderId="0" xfId="1" applyFont="1" applyFill="1"/>
    <xf numFmtId="169" fontId="17" fillId="5" borderId="0" xfId="0" applyNumberFormat="1" applyFont="1" applyFill="1"/>
    <xf numFmtId="173" fontId="17" fillId="5" borderId="0" xfId="1" applyNumberFormat="1" applyFont="1" applyFill="1"/>
    <xf numFmtId="170" fontId="17" fillId="5" borderId="0" xfId="0" applyNumberFormat="1" applyFont="1" applyFill="1"/>
    <xf numFmtId="0" fontId="17" fillId="5" borderId="0" xfId="0" applyFont="1" applyFill="1"/>
    <xf numFmtId="172" fontId="19" fillId="5" borderId="0" xfId="1" applyNumberFormat="1" applyFont="1" applyFill="1"/>
    <xf numFmtId="164" fontId="16" fillId="5" borderId="0" xfId="0" applyNumberFormat="1" applyFont="1" applyFill="1" applyAlignment="1">
      <alignment horizontal="right" vertical="top"/>
    </xf>
    <xf numFmtId="37" fontId="16" fillId="5" borderId="0" xfId="0" applyNumberFormat="1" applyFont="1" applyFill="1" applyAlignment="1">
      <alignment horizontal="right" vertical="top"/>
    </xf>
    <xf numFmtId="9" fontId="19" fillId="5" borderId="0" xfId="1" applyFont="1" applyFill="1" applyAlignment="1">
      <alignment horizontal="right" vertical="top"/>
    </xf>
    <xf numFmtId="37" fontId="17" fillId="5" borderId="0" xfId="0" applyNumberFormat="1" applyFont="1" applyFill="1"/>
    <xf numFmtId="9" fontId="17" fillId="5" borderId="0" xfId="0" applyNumberFormat="1" applyFont="1" applyFill="1"/>
    <xf numFmtId="10" fontId="17" fillId="5" borderId="0" xfId="1" applyNumberFormat="1" applyFont="1" applyFill="1"/>
    <xf numFmtId="166" fontId="17" fillId="5" borderId="0" xfId="0" applyNumberFormat="1" applyFont="1" applyFill="1"/>
    <xf numFmtId="173" fontId="17" fillId="5" borderId="0" xfId="0" applyNumberFormat="1" applyFont="1" applyFill="1"/>
    <xf numFmtId="176" fontId="17" fillId="5" borderId="0" xfId="0" applyNumberFormat="1" applyFont="1" applyFill="1"/>
    <xf numFmtId="1" fontId="17" fillId="5" borderId="0" xfId="0" applyNumberFormat="1" applyFont="1" applyFill="1"/>
    <xf numFmtId="10" fontId="19" fillId="5" borderId="0" xfId="1" applyNumberFormat="1" applyFont="1" applyFill="1"/>
    <xf numFmtId="0" fontId="15" fillId="5" borderId="0" xfId="0" applyFont="1" applyFill="1"/>
    <xf numFmtId="172" fontId="20" fillId="5" borderId="0" xfId="0" applyNumberFormat="1" applyFont="1" applyFill="1"/>
    <xf numFmtId="10" fontId="20" fillId="5" borderId="0" xfId="0" applyNumberFormat="1" applyFont="1" applyFill="1"/>
    <xf numFmtId="0" fontId="13" fillId="5" borderId="0" xfId="0" applyFont="1" applyFill="1"/>
    <xf numFmtId="172" fontId="17" fillId="5" borderId="0" xfId="0" applyNumberFormat="1" applyFont="1" applyFill="1"/>
    <xf numFmtId="10" fontId="17" fillId="5" borderId="0" xfId="0" applyNumberFormat="1" applyFont="1" applyFill="1"/>
    <xf numFmtId="2" fontId="17" fillId="5" borderId="0" xfId="0" applyNumberFormat="1" applyFont="1" applyFill="1"/>
    <xf numFmtId="175" fontId="17" fillId="5" borderId="0" xfId="0" applyNumberFormat="1" applyFont="1" applyFill="1"/>
    <xf numFmtId="176" fontId="0" fillId="5" borderId="0" xfId="0" applyNumberFormat="1" applyFill="1"/>
    <xf numFmtId="0" fontId="2" fillId="5" borderId="0" xfId="0" applyFont="1" applyFill="1" applyAlignment="1">
      <alignment horizontal="center" vertical="center" wrapText="1"/>
    </xf>
    <xf numFmtId="9" fontId="0" fillId="2" borderId="0" xfId="1" applyFont="1" applyFill="1"/>
    <xf numFmtId="9" fontId="28" fillId="6" borderId="0" xfId="0" applyNumberFormat="1" applyFont="1" applyFill="1"/>
    <xf numFmtId="172" fontId="13" fillId="0" borderId="0" xfId="1" applyNumberFormat="1" applyFont="1"/>
    <xf numFmtId="172" fontId="13" fillId="5" borderId="0" xfId="1" applyNumberFormat="1" applyFont="1" applyFill="1"/>
  </cellXfs>
  <cellStyles count="4">
    <cellStyle name="Bad" xfId="3" builtinId="27"/>
    <cellStyle name="Good" xfId="2" builtinId="26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CDA07-6968-0345-8D8D-9511540BBB78}">
  <dimension ref="A1:AS272"/>
  <sheetViews>
    <sheetView tabSelected="1" zoomScale="93" zoomScaleNormal="65" workbookViewId="0">
      <pane xSplit="1" ySplit="2" topLeftCell="J238" activePane="bottomRight" state="frozen"/>
      <selection pane="topRight" activeCell="B1" sqref="B1"/>
      <selection pane="bottomLeft" activeCell="A3" sqref="A3"/>
      <selection pane="bottomRight" activeCell="O244" sqref="O244:P244"/>
    </sheetView>
  </sheetViews>
  <sheetFormatPr baseColWidth="10" defaultColWidth="31.83203125" defaultRowHeight="16" outlineLevelRow="2" outlineLevelCol="1"/>
  <cols>
    <col min="1" max="1" width="41.33203125" style="18" customWidth="1"/>
    <col min="2" max="3" width="12" customWidth="1" outlineLevel="1"/>
    <col min="4" max="5" width="12.33203125" customWidth="1" outlineLevel="1"/>
    <col min="6" max="11" width="12.33203125" bestFit="1" customWidth="1"/>
    <col min="12" max="13" width="13" style="99" bestFit="1" customWidth="1"/>
    <col min="14" max="19" width="14.6640625" style="99" bestFit="1" customWidth="1"/>
    <col min="20" max="20" width="8.83203125" style="99" bestFit="1" customWidth="1"/>
    <col min="21" max="21" width="8.83203125" style="99" customWidth="1"/>
    <col min="22" max="22" width="12.83203125" customWidth="1"/>
    <col min="23" max="23" width="11.83203125" bestFit="1" customWidth="1" outlineLevel="1"/>
    <col min="24" max="24" width="9.83203125" hidden="1" customWidth="1" outlineLevel="1"/>
    <col min="25" max="26" width="11.5" bestFit="1" customWidth="1" outlineLevel="1"/>
    <col min="27" max="27" width="11.6640625" bestFit="1" customWidth="1" outlineLevel="1"/>
    <col min="28" max="28" width="11.83203125" bestFit="1" customWidth="1" outlineLevel="1"/>
    <col min="29" max="29" width="7.83203125" customWidth="1"/>
    <col min="30" max="30" width="10.33203125" bestFit="1" customWidth="1"/>
    <col min="31" max="33" width="12" bestFit="1" customWidth="1"/>
    <col min="34" max="34" width="10.83203125" customWidth="1"/>
    <col min="35" max="35" width="10.33203125" bestFit="1" customWidth="1"/>
    <col min="36" max="39" width="12" bestFit="1" customWidth="1"/>
    <col min="40" max="40" width="1.6640625" bestFit="1" customWidth="1"/>
    <col min="41" max="41" width="10.33203125" bestFit="1" customWidth="1"/>
    <col min="42" max="44" width="12" bestFit="1" customWidth="1"/>
  </cols>
  <sheetData>
    <row r="1" spans="1:45">
      <c r="A1" s="144" t="s">
        <v>57</v>
      </c>
      <c r="B1" s="142" t="s">
        <v>58</v>
      </c>
      <c r="C1" s="142"/>
      <c r="D1" s="142"/>
      <c r="E1" s="142"/>
      <c r="F1" s="142"/>
      <c r="G1" s="142"/>
      <c r="H1" s="142"/>
      <c r="I1" s="142"/>
      <c r="J1" s="142"/>
      <c r="K1" s="142"/>
      <c r="L1" s="142"/>
      <c r="M1" s="142"/>
      <c r="N1" s="142"/>
      <c r="V1" s="2"/>
      <c r="W1" s="27"/>
      <c r="X1" s="27"/>
      <c r="Y1" s="142">
        <v>2023</v>
      </c>
      <c r="Z1" s="142"/>
      <c r="AA1" s="142"/>
      <c r="AB1" s="142"/>
      <c r="AC1" s="27"/>
      <c r="AD1" s="142">
        <v>2024</v>
      </c>
      <c r="AE1" s="142"/>
      <c r="AF1" s="142"/>
      <c r="AG1" s="142"/>
      <c r="AI1" s="141" t="s">
        <v>198</v>
      </c>
      <c r="AJ1" s="141"/>
      <c r="AK1" s="141"/>
      <c r="AL1" s="141"/>
      <c r="AM1" s="141"/>
      <c r="AN1" s="18"/>
      <c r="AO1" s="141" t="s">
        <v>199</v>
      </c>
      <c r="AP1" s="141"/>
      <c r="AQ1" s="141"/>
      <c r="AR1" s="141"/>
    </row>
    <row r="2" spans="1:45" ht="32">
      <c r="A2" s="145"/>
      <c r="B2" s="2">
        <f t="shared" ref="B2:J2" si="0">C2-1</f>
        <v>2015</v>
      </c>
      <c r="C2" s="2">
        <f t="shared" si="0"/>
        <v>2016</v>
      </c>
      <c r="D2" s="2">
        <f t="shared" si="0"/>
        <v>2017</v>
      </c>
      <c r="E2" s="2">
        <f t="shared" si="0"/>
        <v>2018</v>
      </c>
      <c r="F2" s="2">
        <f t="shared" si="0"/>
        <v>2019</v>
      </c>
      <c r="G2" s="2">
        <f t="shared" si="0"/>
        <v>2020</v>
      </c>
      <c r="H2" s="2">
        <f t="shared" si="0"/>
        <v>2021</v>
      </c>
      <c r="I2" s="2">
        <f t="shared" si="0"/>
        <v>2022</v>
      </c>
      <c r="J2" s="2">
        <f t="shared" si="0"/>
        <v>2023</v>
      </c>
      <c r="K2" s="2">
        <v>2024</v>
      </c>
      <c r="L2" s="98" t="s">
        <v>198</v>
      </c>
      <c r="M2" s="98" t="s">
        <v>199</v>
      </c>
      <c r="N2" s="98" t="s">
        <v>202</v>
      </c>
      <c r="O2" s="98" t="s">
        <v>238</v>
      </c>
      <c r="P2" s="98" t="s">
        <v>239</v>
      </c>
      <c r="Q2" s="98" t="s">
        <v>240</v>
      </c>
      <c r="R2" s="98" t="s">
        <v>241</v>
      </c>
      <c r="S2" s="98" t="s">
        <v>242</v>
      </c>
      <c r="T2" s="184" t="s">
        <v>243</v>
      </c>
      <c r="U2" s="184" t="s">
        <v>244</v>
      </c>
      <c r="V2" s="2"/>
      <c r="W2" s="2" t="s">
        <v>51</v>
      </c>
      <c r="X2" s="2"/>
      <c r="Y2" s="2" t="s">
        <v>102</v>
      </c>
      <c r="Z2" s="2" t="s">
        <v>100</v>
      </c>
      <c r="AA2" s="2" t="s">
        <v>33</v>
      </c>
      <c r="AB2" s="2" t="s">
        <v>1</v>
      </c>
      <c r="AC2" s="2"/>
      <c r="AD2" s="2" t="s">
        <v>220</v>
      </c>
      <c r="AE2" s="2" t="s">
        <v>221</v>
      </c>
      <c r="AF2" s="2" t="s">
        <v>222</v>
      </c>
      <c r="AG2" s="2" t="s">
        <v>223</v>
      </c>
      <c r="AH2" s="2"/>
      <c r="AI2" s="98" t="s">
        <v>224</v>
      </c>
      <c r="AJ2" s="2" t="s">
        <v>220</v>
      </c>
      <c r="AK2" s="98" t="s">
        <v>225</v>
      </c>
      <c r="AL2" s="98" t="s">
        <v>226</v>
      </c>
      <c r="AM2" s="98" t="s">
        <v>227</v>
      </c>
      <c r="AN2" s="2"/>
      <c r="AO2" s="98" t="s">
        <v>224</v>
      </c>
      <c r="AP2" s="98" t="s">
        <v>225</v>
      </c>
      <c r="AQ2" s="98" t="s">
        <v>226</v>
      </c>
      <c r="AR2" s="98" t="s">
        <v>227</v>
      </c>
    </row>
    <row r="3" spans="1:45">
      <c r="A3" s="3" t="s">
        <v>34</v>
      </c>
      <c r="E3" s="6"/>
      <c r="F3" s="6"/>
      <c r="G3" s="6"/>
      <c r="H3" s="6"/>
      <c r="I3" s="6"/>
      <c r="J3" s="6"/>
      <c r="K3" s="4"/>
      <c r="L3" s="108"/>
      <c r="M3" s="108"/>
      <c r="N3" s="108"/>
      <c r="V3" s="4"/>
      <c r="W3" s="3"/>
      <c r="X3" s="3"/>
      <c r="Y3" s="6"/>
      <c r="Z3" s="6"/>
      <c r="AA3" s="6"/>
      <c r="AB3" s="6"/>
      <c r="AC3" s="6"/>
      <c r="AD3" s="6"/>
      <c r="AE3" s="6"/>
      <c r="AF3" s="6"/>
      <c r="AI3" s="99"/>
      <c r="AK3" s="99"/>
      <c r="AL3" s="99"/>
      <c r="AM3" s="99"/>
      <c r="AO3" s="99"/>
      <c r="AP3" s="99"/>
      <c r="AQ3" s="99"/>
      <c r="AR3" s="99"/>
    </row>
    <row r="4" spans="1:45">
      <c r="A4" s="3" t="s">
        <v>219</v>
      </c>
      <c r="V4" s="4"/>
      <c r="W4" s="3"/>
      <c r="X4" s="3"/>
      <c r="Y4" s="6"/>
      <c r="Z4" s="6"/>
      <c r="AA4" s="6"/>
      <c r="AB4" s="6"/>
      <c r="AC4" s="6"/>
      <c r="AD4" s="6"/>
      <c r="AE4" s="6"/>
      <c r="AF4" s="6"/>
      <c r="AI4" s="99"/>
      <c r="AK4" s="99"/>
      <c r="AL4" s="99"/>
      <c r="AM4" s="99"/>
      <c r="AO4" s="99"/>
      <c r="AP4" s="99"/>
      <c r="AQ4" s="99"/>
      <c r="AR4" s="99"/>
    </row>
    <row r="5" spans="1:45">
      <c r="A5" s="2" t="s">
        <v>205</v>
      </c>
      <c r="AD5" s="124">
        <v>151112</v>
      </c>
      <c r="AE5" s="124"/>
      <c r="AF5" s="124"/>
      <c r="AG5" s="124"/>
      <c r="AH5" s="124"/>
      <c r="AI5" s="126"/>
      <c r="AJ5" s="124">
        <v>257155</v>
      </c>
      <c r="AK5" s="126"/>
      <c r="AL5" s="126"/>
      <c r="AM5" s="126"/>
      <c r="AN5" s="124"/>
      <c r="AO5" s="126"/>
      <c r="AP5" s="126"/>
      <c r="AQ5" s="126"/>
      <c r="AR5" s="126"/>
    </row>
    <row r="6" spans="1:45">
      <c r="A6" s="2" t="s">
        <v>206</v>
      </c>
      <c r="AD6" s="124">
        <v>82624</v>
      </c>
      <c r="AE6" s="124"/>
      <c r="AF6" s="124"/>
      <c r="AG6" s="124"/>
      <c r="AH6" s="124"/>
      <c r="AI6" s="126"/>
      <c r="AJ6" s="124">
        <v>183873</v>
      </c>
      <c r="AK6" s="126"/>
      <c r="AL6" s="126"/>
      <c r="AM6" s="126"/>
      <c r="AN6" s="124"/>
      <c r="AO6" s="126"/>
      <c r="AP6" s="126"/>
      <c r="AQ6" s="126"/>
      <c r="AR6" s="126"/>
    </row>
    <row r="7" spans="1:45">
      <c r="A7" s="2" t="s">
        <v>207</v>
      </c>
      <c r="AD7" s="124">
        <v>45345</v>
      </c>
      <c r="AE7" s="124"/>
      <c r="AF7" s="124"/>
      <c r="AG7" s="124"/>
      <c r="AH7" s="124"/>
      <c r="AI7" s="126"/>
      <c r="AJ7" s="124">
        <v>123947</v>
      </c>
      <c r="AK7" s="126"/>
      <c r="AL7" s="126"/>
      <c r="AM7" s="126"/>
      <c r="AN7" s="124"/>
      <c r="AO7" s="126"/>
      <c r="AP7" s="126"/>
      <c r="AQ7" s="126"/>
      <c r="AR7" s="126"/>
    </row>
    <row r="8" spans="1:45">
      <c r="A8" s="2" t="s">
        <v>208</v>
      </c>
      <c r="AD8" s="124">
        <v>214692</v>
      </c>
      <c r="AE8" s="124"/>
      <c r="AF8" s="124"/>
      <c r="AG8" s="124"/>
      <c r="AH8" s="124"/>
      <c r="AI8" s="126"/>
      <c r="AJ8" s="124">
        <v>201636</v>
      </c>
      <c r="AK8" s="126"/>
      <c r="AL8" s="126"/>
      <c r="AM8" s="126"/>
      <c r="AN8" s="124"/>
      <c r="AO8" s="126"/>
      <c r="AP8" s="126"/>
      <c r="AQ8" s="126"/>
      <c r="AR8" s="126"/>
    </row>
    <row r="9" spans="1:45">
      <c r="A9" s="121" t="s">
        <v>210</v>
      </c>
      <c r="AD9" s="124">
        <v>493773</v>
      </c>
      <c r="AE9" s="124"/>
      <c r="AF9" s="124"/>
      <c r="AG9" s="124"/>
      <c r="AH9" s="124"/>
      <c r="AI9" s="126"/>
      <c r="AJ9" s="124">
        <v>766611</v>
      </c>
      <c r="AK9" s="126"/>
      <c r="AL9" s="126"/>
      <c r="AM9" s="126"/>
      <c r="AN9" s="124"/>
      <c r="AO9" s="126"/>
      <c r="AP9" s="126"/>
      <c r="AQ9" s="126"/>
      <c r="AR9" s="126"/>
    </row>
    <row r="10" spans="1:45">
      <c r="A10" s="121" t="s">
        <v>215</v>
      </c>
      <c r="AD10" s="124">
        <v>66487</v>
      </c>
      <c r="AE10" s="124"/>
      <c r="AF10" s="124"/>
      <c r="AG10" s="124"/>
      <c r="AH10" s="124"/>
      <c r="AI10" s="126"/>
      <c r="AJ10" s="124">
        <v>60176</v>
      </c>
      <c r="AK10" s="126"/>
      <c r="AL10" s="126"/>
      <c r="AM10" s="126"/>
      <c r="AN10" s="124"/>
      <c r="AO10" s="126"/>
      <c r="AP10" s="126"/>
      <c r="AQ10" s="126"/>
      <c r="AR10" s="126"/>
    </row>
    <row r="11" spans="1:45">
      <c r="A11" s="123" t="s">
        <v>216</v>
      </c>
      <c r="B11" s="124">
        <v>1035400</v>
      </c>
      <c r="C11" s="124">
        <v>1166700</v>
      </c>
      <c r="D11" s="124">
        <v>1314700</v>
      </c>
      <c r="E11" s="124">
        <v>1361400</v>
      </c>
      <c r="F11" s="124">
        <v>1639800</v>
      </c>
      <c r="G11" s="124">
        <v>1964700</v>
      </c>
      <c r="H11" s="124">
        <v>1935200</v>
      </c>
      <c r="I11" s="124">
        <v>2275300</v>
      </c>
      <c r="J11" s="124">
        <v>1943500</v>
      </c>
      <c r="K11" s="124">
        <v>3505900</v>
      </c>
      <c r="L11" s="126">
        <v>3735900</v>
      </c>
      <c r="M11" s="126">
        <f>L11*(1+$T$11)</f>
        <v>3974997.6</v>
      </c>
      <c r="N11" s="126">
        <f t="shared" ref="N11:S11" si="1">M11*(1+$T$11)</f>
        <v>4229397.4464000007</v>
      </c>
      <c r="O11" s="126">
        <f t="shared" si="1"/>
        <v>4500078.8829696011</v>
      </c>
      <c r="P11" s="126">
        <f t="shared" si="1"/>
        <v>4788083.9314796561</v>
      </c>
      <c r="Q11" s="126">
        <f t="shared" si="1"/>
        <v>5094521.3030943545</v>
      </c>
      <c r="R11" s="126">
        <f t="shared" si="1"/>
        <v>5420570.6664923932</v>
      </c>
      <c r="S11" s="126">
        <f t="shared" si="1"/>
        <v>5767487.1891479064</v>
      </c>
      <c r="T11" s="185">
        <f>8%*U11</f>
        <v>6.4000000000000001E-2</v>
      </c>
      <c r="U11" s="185">
        <v>0.8</v>
      </c>
      <c r="W11" s="124">
        <v>487700</v>
      </c>
      <c r="Y11" s="124">
        <v>462300</v>
      </c>
      <c r="Z11" s="124">
        <v>483500</v>
      </c>
      <c r="AA11" s="124">
        <v>484200</v>
      </c>
      <c r="AB11" s="124">
        <v>513500</v>
      </c>
      <c r="AD11" s="124">
        <v>560260</v>
      </c>
      <c r="AE11" s="124">
        <v>950200</v>
      </c>
      <c r="AF11" s="124">
        <v>962200</v>
      </c>
      <c r="AG11" s="124">
        <v>962300</v>
      </c>
      <c r="AH11" s="124"/>
      <c r="AI11" s="126">
        <v>670000</v>
      </c>
      <c r="AJ11" s="124">
        <v>826787</v>
      </c>
      <c r="AK11" s="126">
        <v>1028900</v>
      </c>
      <c r="AL11" s="126">
        <v>1015000</v>
      </c>
      <c r="AM11" s="126">
        <v>1022000</v>
      </c>
      <c r="AN11" s="124"/>
      <c r="AO11" s="126">
        <v>710000</v>
      </c>
      <c r="AP11" s="126">
        <v>1090000</v>
      </c>
      <c r="AQ11" s="126">
        <v>1083000</v>
      </c>
      <c r="AR11" s="126">
        <v>1083000</v>
      </c>
      <c r="AS11" s="124"/>
    </row>
    <row r="12" spans="1:45">
      <c r="A12" s="3" t="s">
        <v>218</v>
      </c>
      <c r="V12" s="4"/>
      <c r="W12" s="3"/>
      <c r="X12" s="3"/>
      <c r="Y12" s="6"/>
      <c r="Z12" s="6"/>
      <c r="AA12" s="6"/>
      <c r="AB12" s="6"/>
      <c r="AC12" s="6"/>
      <c r="AD12" s="22"/>
      <c r="AE12" s="22"/>
      <c r="AF12" s="22"/>
      <c r="AG12" s="124"/>
      <c r="AH12" s="124"/>
      <c r="AI12" s="126"/>
      <c r="AJ12" s="124"/>
      <c r="AK12" s="126"/>
      <c r="AL12" s="126"/>
      <c r="AM12" s="126"/>
      <c r="AN12" s="124"/>
      <c r="AO12" s="126"/>
      <c r="AP12" s="126"/>
      <c r="AQ12" s="126"/>
      <c r="AR12" s="126"/>
    </row>
    <row r="13" spans="1:45">
      <c r="A13" s="121" t="s">
        <v>210</v>
      </c>
      <c r="L13" s="183">
        <f>(AJ13/AJ$19)*L$19</f>
        <v>147159.23690155603</v>
      </c>
      <c r="M13" s="183">
        <f>L13/L14*M14</f>
        <v>155400.15416804317</v>
      </c>
      <c r="N13" s="183">
        <f t="shared" ref="N13:S13" si="2">M13/M14*N14</f>
        <v>164102.56280145361</v>
      </c>
      <c r="O13" s="183">
        <f t="shared" si="2"/>
        <v>173292.306318335</v>
      </c>
      <c r="P13" s="183">
        <f t="shared" si="2"/>
        <v>182996.67547216179</v>
      </c>
      <c r="Q13" s="183">
        <f t="shared" si="2"/>
        <v>193244.48929860286</v>
      </c>
      <c r="R13" s="183">
        <f t="shared" si="2"/>
        <v>204066.18069932461</v>
      </c>
      <c r="S13" s="183">
        <f t="shared" si="2"/>
        <v>215493.88681848682</v>
      </c>
      <c r="AD13" s="124">
        <v>49646</v>
      </c>
      <c r="AE13" s="124"/>
      <c r="AF13" s="124"/>
      <c r="AG13" s="124"/>
      <c r="AH13" s="124"/>
      <c r="AI13" s="126"/>
      <c r="AJ13" s="124">
        <v>54110</v>
      </c>
      <c r="AK13" s="126"/>
      <c r="AL13" s="126"/>
      <c r="AM13" s="126"/>
      <c r="AN13" s="124"/>
      <c r="AO13" s="126"/>
      <c r="AP13" s="126"/>
      <c r="AQ13" s="126"/>
      <c r="AR13" s="126"/>
    </row>
    <row r="14" spans="1:45">
      <c r="A14" s="2" t="s">
        <v>211</v>
      </c>
      <c r="L14" s="183">
        <f>(AJ14/AJ$19)*L$19</f>
        <v>150958.56149870026</v>
      </c>
      <c r="M14" s="183">
        <f>L14*(1+$T$14)</f>
        <v>159412.24094262748</v>
      </c>
      <c r="N14" s="183">
        <f>M14*(1+$T$14)</f>
        <v>168339.32643541464</v>
      </c>
      <c r="O14" s="183">
        <f t="shared" ref="O14:S14" si="3">N14*(1+$T$14)</f>
        <v>177766.32871579786</v>
      </c>
      <c r="P14" s="183">
        <f t="shared" si="3"/>
        <v>187721.24312388257</v>
      </c>
      <c r="Q14" s="183">
        <f t="shared" si="3"/>
        <v>198233.63273881999</v>
      </c>
      <c r="R14" s="183">
        <f t="shared" si="3"/>
        <v>209334.7161721939</v>
      </c>
      <c r="S14" s="183">
        <f t="shared" si="3"/>
        <v>221057.46027783677</v>
      </c>
      <c r="T14" s="185">
        <f>7%*U14</f>
        <v>5.6000000000000008E-2</v>
      </c>
      <c r="U14" s="185">
        <v>0.8</v>
      </c>
      <c r="AD14" s="124">
        <v>56676</v>
      </c>
      <c r="AE14" s="124"/>
      <c r="AF14" s="124"/>
      <c r="AG14" s="124"/>
      <c r="AH14" s="124"/>
      <c r="AI14" s="126"/>
      <c r="AJ14" s="124">
        <v>55507</v>
      </c>
      <c r="AK14" s="126"/>
      <c r="AL14" s="126"/>
      <c r="AM14" s="126"/>
      <c r="AN14" s="124"/>
      <c r="AO14" s="126"/>
      <c r="AP14" s="126"/>
      <c r="AQ14" s="126"/>
      <c r="AR14" s="126"/>
    </row>
    <row r="15" spans="1:45">
      <c r="A15" s="2" t="s">
        <v>212</v>
      </c>
      <c r="L15" s="183">
        <f>(AJ15/AJ$19)*L$19</f>
        <v>199365.27481621635</v>
      </c>
      <c r="M15" s="183">
        <f>L15*(1+$T15)</f>
        <v>215314.49680151368</v>
      </c>
      <c r="N15" s="183">
        <f t="shared" ref="N15:S15" si="4">M15*(1+$T15)</f>
        <v>232539.65654563479</v>
      </c>
      <c r="O15" s="183">
        <f t="shared" si="4"/>
        <v>251142.8290692856</v>
      </c>
      <c r="P15" s="183">
        <f t="shared" si="4"/>
        <v>271234.25539482845</v>
      </c>
      <c r="Q15" s="183">
        <f t="shared" si="4"/>
        <v>292932.99582641473</v>
      </c>
      <c r="R15" s="183">
        <f t="shared" si="4"/>
        <v>316367.63549252792</v>
      </c>
      <c r="S15" s="183">
        <f t="shared" si="4"/>
        <v>341677.04633193015</v>
      </c>
      <c r="T15" s="186">
        <f>10%*U15</f>
        <v>8.0000000000000016E-2</v>
      </c>
      <c r="U15" s="186">
        <v>0.8</v>
      </c>
      <c r="AD15" s="124">
        <v>72387</v>
      </c>
      <c r="AE15" s="124"/>
      <c r="AF15" s="124"/>
      <c r="AG15" s="124"/>
      <c r="AH15" s="124"/>
      <c r="AI15" s="126"/>
      <c r="AJ15" s="124">
        <v>73306</v>
      </c>
      <c r="AK15" s="126"/>
      <c r="AL15" s="126"/>
      <c r="AM15" s="126"/>
      <c r="AN15" s="124"/>
      <c r="AO15" s="126"/>
      <c r="AP15" s="126"/>
      <c r="AQ15" s="126"/>
      <c r="AR15" s="126"/>
    </row>
    <row r="16" spans="1:45">
      <c r="A16" s="2" t="s">
        <v>213</v>
      </c>
      <c r="L16" s="183">
        <f>(AJ16/AJ$19)*L$19</f>
        <v>194208.85431787313</v>
      </c>
      <c r="M16" s="183">
        <f>L16/L15*M15</f>
        <v>209745.56266330302</v>
      </c>
      <c r="N16" s="183">
        <f t="shared" ref="N16:S16" si="5">M16/M15*N15</f>
        <v>226525.20767636725</v>
      </c>
      <c r="O16" s="183">
        <f t="shared" si="5"/>
        <v>244647.22429047668</v>
      </c>
      <c r="P16" s="183">
        <f t="shared" si="5"/>
        <v>264219.0022337148</v>
      </c>
      <c r="Q16" s="183">
        <f t="shared" si="5"/>
        <v>285356.52241241198</v>
      </c>
      <c r="R16" s="183">
        <f t="shared" si="5"/>
        <v>308185.04420540493</v>
      </c>
      <c r="S16" s="183">
        <f t="shared" si="5"/>
        <v>332839.84774183732</v>
      </c>
      <c r="AD16" s="124">
        <v>37384</v>
      </c>
      <c r="AE16" s="124"/>
      <c r="AF16" s="124"/>
      <c r="AG16" s="124"/>
      <c r="AH16" s="124"/>
      <c r="AI16" s="126"/>
      <c r="AJ16" s="124">
        <v>71410</v>
      </c>
      <c r="AK16" s="126"/>
      <c r="AL16" s="126"/>
      <c r="AM16" s="126"/>
      <c r="AN16" s="124"/>
      <c r="AO16" s="126"/>
      <c r="AP16" s="126"/>
      <c r="AQ16" s="126"/>
      <c r="AR16" s="126"/>
    </row>
    <row r="17" spans="1:44">
      <c r="A17" s="2" t="s">
        <v>214</v>
      </c>
      <c r="L17" s="183">
        <f>(AJ17/AJ$19)*L$19</f>
        <v>123308.07246565423</v>
      </c>
      <c r="M17" s="183">
        <f>L17/L16*M16</f>
        <v>133172.71826290656</v>
      </c>
      <c r="N17" s="183">
        <f t="shared" ref="N17:S17" si="6">M17/M16*N16</f>
        <v>143826.53572393907</v>
      </c>
      <c r="O17" s="183">
        <f t="shared" si="6"/>
        <v>155332.65858185422</v>
      </c>
      <c r="P17" s="183">
        <f t="shared" si="6"/>
        <v>167759.27126840255</v>
      </c>
      <c r="Q17" s="183">
        <f t="shared" si="6"/>
        <v>181180.01296987478</v>
      </c>
      <c r="R17" s="183">
        <f t="shared" si="6"/>
        <v>195674.41400746474</v>
      </c>
      <c r="S17" s="183">
        <f t="shared" si="6"/>
        <v>211328.36712806192</v>
      </c>
      <c r="AD17" s="124">
        <v>3438</v>
      </c>
      <c r="AE17" s="124"/>
      <c r="AF17" s="124"/>
      <c r="AG17" s="124"/>
      <c r="AH17" s="124"/>
      <c r="AI17" s="126"/>
      <c r="AJ17" s="124">
        <v>45340</v>
      </c>
      <c r="AK17" s="126"/>
      <c r="AL17" s="126"/>
      <c r="AM17" s="126"/>
      <c r="AN17" s="124"/>
      <c r="AO17" s="126"/>
      <c r="AP17" s="126"/>
      <c r="AQ17" s="126"/>
      <c r="AR17" s="126"/>
    </row>
    <row r="18" spans="1:44">
      <c r="A18" s="121" t="s">
        <v>215</v>
      </c>
      <c r="L18" s="183">
        <f>SUM(L14:L17)</f>
        <v>667840.76309844397</v>
      </c>
      <c r="M18" s="183">
        <f t="shared" ref="M18:S18" si="7">SUM(M14:M17)</f>
        <v>717645.01867035066</v>
      </c>
      <c r="N18" s="183">
        <f t="shared" si="7"/>
        <v>771230.72638135578</v>
      </c>
      <c r="O18" s="183">
        <f t="shared" si="7"/>
        <v>828889.04065741436</v>
      </c>
      <c r="P18" s="183">
        <f t="shared" si="7"/>
        <v>890933.77202082833</v>
      </c>
      <c r="Q18" s="183">
        <f t="shared" si="7"/>
        <v>957703.16394752148</v>
      </c>
      <c r="R18" s="183">
        <f t="shared" si="7"/>
        <v>1029561.8098775916</v>
      </c>
      <c r="S18" s="183">
        <f t="shared" si="7"/>
        <v>1106902.7214796662</v>
      </c>
      <c r="AD18" s="124">
        <v>169885</v>
      </c>
      <c r="AE18" s="124"/>
      <c r="AF18" s="124"/>
      <c r="AG18" s="124"/>
      <c r="AH18" s="124"/>
      <c r="AI18" s="126"/>
      <c r="AJ18" s="124">
        <v>245563</v>
      </c>
      <c r="AK18" s="126"/>
      <c r="AL18" s="126"/>
      <c r="AM18" s="126"/>
      <c r="AN18" s="124"/>
      <c r="AO18" s="126"/>
      <c r="AP18" s="126"/>
      <c r="AQ18" s="126"/>
      <c r="AR18" s="126"/>
    </row>
    <row r="19" spans="1:44">
      <c r="A19" s="123" t="s">
        <v>217</v>
      </c>
      <c r="B19" s="124">
        <v>347100</v>
      </c>
      <c r="C19" s="124">
        <v>250700</v>
      </c>
      <c r="D19" s="124">
        <v>244600</v>
      </c>
      <c r="E19" s="124">
        <v>233200</v>
      </c>
      <c r="F19" s="124">
        <v>428400</v>
      </c>
      <c r="G19" s="124">
        <v>344600</v>
      </c>
      <c r="H19" s="124">
        <v>320900</v>
      </c>
      <c r="I19" s="124">
        <v>512100</v>
      </c>
      <c r="J19" s="124">
        <v>612600</v>
      </c>
      <c r="K19" s="124">
        <v>777900</v>
      </c>
      <c r="L19" s="126">
        <v>815000</v>
      </c>
      <c r="M19" s="126">
        <v>839200</v>
      </c>
      <c r="N19" s="126">
        <v>839200</v>
      </c>
      <c r="O19" s="126">
        <v>839200</v>
      </c>
      <c r="P19" s="126">
        <v>839200</v>
      </c>
      <c r="Q19" s="126">
        <v>839200</v>
      </c>
      <c r="R19" s="126">
        <v>839200</v>
      </c>
      <c r="S19" s="126">
        <v>839200</v>
      </c>
      <c r="Y19" s="124">
        <v>112800</v>
      </c>
      <c r="Z19" s="124">
        <v>180000</v>
      </c>
      <c r="AA19" s="124">
        <v>167200</v>
      </c>
      <c r="AB19" s="124">
        <v>152600</v>
      </c>
      <c r="AD19" s="124">
        <v>219531</v>
      </c>
      <c r="AE19" s="124">
        <v>275200</v>
      </c>
      <c r="AF19" s="124">
        <v>166400</v>
      </c>
      <c r="AG19" s="124">
        <v>187700</v>
      </c>
      <c r="AH19" s="124"/>
      <c r="AI19" s="126">
        <v>155000</v>
      </c>
      <c r="AJ19" s="124">
        <v>299673</v>
      </c>
      <c r="AK19" s="126">
        <v>290000</v>
      </c>
      <c r="AL19" s="126">
        <v>175000</v>
      </c>
      <c r="AM19" s="126">
        <v>195000</v>
      </c>
      <c r="AN19" s="124"/>
      <c r="AO19" s="126">
        <v>160000</v>
      </c>
      <c r="AP19" s="126">
        <v>291200</v>
      </c>
      <c r="AQ19" s="126">
        <v>188000</v>
      </c>
      <c r="AR19" s="126">
        <v>200000</v>
      </c>
    </row>
    <row r="20" spans="1:44" ht="17">
      <c r="A20" s="77" t="s">
        <v>35</v>
      </c>
      <c r="B20" s="78">
        <f>B19+B11</f>
        <v>1382500</v>
      </c>
      <c r="C20" s="78">
        <f t="shared" ref="C20:S20" si="8">C19+C11</f>
        <v>1417400</v>
      </c>
      <c r="D20" s="78">
        <f t="shared" si="8"/>
        <v>1559300</v>
      </c>
      <c r="E20" s="78">
        <f t="shared" si="8"/>
        <v>1594600</v>
      </c>
      <c r="F20" s="78">
        <f t="shared" si="8"/>
        <v>2068200</v>
      </c>
      <c r="G20" s="78">
        <f t="shared" si="8"/>
        <v>2309300</v>
      </c>
      <c r="H20" s="78">
        <f t="shared" si="8"/>
        <v>2256100</v>
      </c>
      <c r="I20" s="78">
        <f t="shared" si="8"/>
        <v>2787400</v>
      </c>
      <c r="J20" s="78">
        <f t="shared" si="8"/>
        <v>2556100</v>
      </c>
      <c r="K20" s="78">
        <f t="shared" si="8"/>
        <v>4283800</v>
      </c>
      <c r="L20" s="152">
        <f>L19+L11</f>
        <v>4550900</v>
      </c>
      <c r="M20" s="152">
        <f t="shared" si="8"/>
        <v>4814197.5999999996</v>
      </c>
      <c r="N20" s="152">
        <f t="shared" si="8"/>
        <v>5068597.4464000007</v>
      </c>
      <c r="O20" s="152">
        <f t="shared" si="8"/>
        <v>5339278.8829696011</v>
      </c>
      <c r="P20" s="152">
        <f t="shared" si="8"/>
        <v>5627283.9314796561</v>
      </c>
      <c r="Q20" s="152">
        <f t="shared" si="8"/>
        <v>5933721.3030943545</v>
      </c>
      <c r="R20" s="152">
        <f t="shared" si="8"/>
        <v>6259770.6664923932</v>
      </c>
      <c r="S20" s="152">
        <f t="shared" si="8"/>
        <v>6606687.1891479064</v>
      </c>
      <c r="W20" s="78">
        <f>W19+W11</f>
        <v>487700</v>
      </c>
      <c r="X20" s="80"/>
      <c r="Y20" s="78">
        <f>Y19+Y11</f>
        <v>575100</v>
      </c>
      <c r="Z20" s="78">
        <f>Z19+Z11</f>
        <v>663500</v>
      </c>
      <c r="AA20" s="78">
        <f>AA19+AA11</f>
        <v>651400</v>
      </c>
      <c r="AB20" s="78">
        <f>AB19+AB11</f>
        <v>666100</v>
      </c>
      <c r="AC20" s="80"/>
      <c r="AD20" s="78">
        <f>AD19+AD11</f>
        <v>779791</v>
      </c>
      <c r="AE20" s="78">
        <f>AE19+AE11</f>
        <v>1225400</v>
      </c>
      <c r="AF20" s="78">
        <f>AF19+AF11</f>
        <v>1128600</v>
      </c>
      <c r="AG20" s="78">
        <f>AG19+AG11</f>
        <v>1150000</v>
      </c>
      <c r="AH20" s="124"/>
      <c r="AI20" s="78">
        <f>AI19+AI11</f>
        <v>825000</v>
      </c>
      <c r="AJ20" s="78">
        <f>AJ19+AJ11</f>
        <v>1126460</v>
      </c>
      <c r="AK20" s="78">
        <f>AK19+AK11</f>
        <v>1318900</v>
      </c>
      <c r="AL20" s="78">
        <f>AL19+AL11</f>
        <v>1190000</v>
      </c>
      <c r="AM20" s="78">
        <f>AM19+AM11</f>
        <v>1217000</v>
      </c>
      <c r="AN20" s="21"/>
      <c r="AO20" s="78">
        <f t="shared" ref="AO20:AR20" si="9">AO19+AO11</f>
        <v>870000</v>
      </c>
      <c r="AP20" s="78">
        <f t="shared" si="9"/>
        <v>1381200</v>
      </c>
      <c r="AQ20" s="78">
        <f>AQ19+AQ11</f>
        <v>1271000</v>
      </c>
      <c r="AR20" s="78">
        <f t="shared" si="9"/>
        <v>1283000</v>
      </c>
    </row>
    <row r="21" spans="1:44">
      <c r="A21" s="3" t="s">
        <v>36</v>
      </c>
      <c r="B21" s="6"/>
      <c r="C21" s="6"/>
      <c r="D21" s="6"/>
      <c r="H21" s="6"/>
      <c r="I21" s="6"/>
      <c r="J21" s="6"/>
      <c r="N21" s="105"/>
      <c r="V21" s="6"/>
      <c r="W21" s="3"/>
      <c r="X21" s="3"/>
      <c r="Y21" s="4" t="s">
        <v>3</v>
      </c>
      <c r="Z21" s="4" t="s">
        <v>3</v>
      </c>
      <c r="AA21" s="4" t="s">
        <v>3</v>
      </c>
      <c r="AB21" s="4"/>
      <c r="AC21" s="4"/>
      <c r="AD21" s="132" t="s">
        <v>3</v>
      </c>
      <c r="AE21" s="132" t="s">
        <v>3</v>
      </c>
      <c r="AF21" s="132" t="s">
        <v>3</v>
      </c>
      <c r="AG21" s="124"/>
      <c r="AH21" s="124"/>
      <c r="AI21" s="126"/>
      <c r="AJ21" s="124"/>
      <c r="AK21" s="126"/>
      <c r="AL21" s="126"/>
      <c r="AM21" s="126"/>
      <c r="AN21" s="124"/>
      <c r="AO21" s="126"/>
      <c r="AP21" s="126"/>
      <c r="AQ21" s="126"/>
      <c r="AR21" s="126"/>
    </row>
    <row r="22" spans="1:44">
      <c r="A22" s="38" t="s">
        <v>103</v>
      </c>
      <c r="B22" s="6">
        <v>519483</v>
      </c>
      <c r="C22" s="6">
        <v>489246</v>
      </c>
      <c r="D22" s="6">
        <v>524026</v>
      </c>
      <c r="E22" s="6">
        <v>553677</v>
      </c>
      <c r="F22" s="6">
        <v>834472</v>
      </c>
      <c r="G22" s="6">
        <v>845757</v>
      </c>
      <c r="H22" s="6">
        <v>774893</v>
      </c>
      <c r="I22" s="6">
        <v>914323</v>
      </c>
      <c r="J22" s="6">
        <v>736446</v>
      </c>
      <c r="K22" s="5">
        <f>SUM(AD22:AG22)</f>
        <v>973375</v>
      </c>
      <c r="L22" s="153">
        <f>SUM(AJ22:AM22)</f>
        <v>1017032</v>
      </c>
      <c r="M22" s="153">
        <f>SUM(AO22:AR22)</f>
        <v>1060000</v>
      </c>
      <c r="N22" s="153"/>
      <c r="V22" s="6"/>
      <c r="W22" s="4">
        <v>222774</v>
      </c>
      <c r="X22" s="4"/>
      <c r="Y22" s="6">
        <v>149116</v>
      </c>
      <c r="Z22" s="6">
        <v>174185</v>
      </c>
      <c r="AA22" s="6">
        <v>205177</v>
      </c>
      <c r="AB22" s="6">
        <v>207968</v>
      </c>
      <c r="AC22" s="6"/>
      <c r="AD22" s="22">
        <v>197078</v>
      </c>
      <c r="AE22" s="22">
        <v>254020</v>
      </c>
      <c r="AF22" s="22">
        <v>252519</v>
      </c>
      <c r="AG22" s="22">
        <v>269758</v>
      </c>
      <c r="AH22" s="22"/>
      <c r="AI22" s="104">
        <v>200758</v>
      </c>
      <c r="AJ22" s="22">
        <v>194158</v>
      </c>
      <c r="AK22" s="104">
        <v>280758</v>
      </c>
      <c r="AL22" s="104">
        <v>270058</v>
      </c>
      <c r="AM22" s="104">
        <v>272058</v>
      </c>
      <c r="AN22" s="22"/>
      <c r="AO22" s="104">
        <v>205000</v>
      </c>
      <c r="AP22" s="104">
        <v>285000</v>
      </c>
      <c r="AQ22" s="104">
        <v>285000</v>
      </c>
      <c r="AR22" s="104">
        <v>285000</v>
      </c>
    </row>
    <row r="23" spans="1:44">
      <c r="A23" s="38" t="s">
        <v>104</v>
      </c>
      <c r="B23" s="6">
        <v>444431</v>
      </c>
      <c r="C23" s="6">
        <v>495099</v>
      </c>
      <c r="D23" s="6">
        <v>524949</v>
      </c>
      <c r="E23" s="5">
        <v>567137</v>
      </c>
      <c r="F23" s="5">
        <v>703249</v>
      </c>
      <c r="G23" s="5">
        <v>763930</v>
      </c>
      <c r="H23" s="5">
        <v>789391</v>
      </c>
      <c r="I23" s="5">
        <v>1025799</v>
      </c>
      <c r="J23" s="5">
        <v>1098308</v>
      </c>
      <c r="K23" s="5">
        <f>SUM(AD23:AG23)</f>
        <v>1928721</v>
      </c>
      <c r="L23" s="153">
        <f>SUM(AJ23:AM23)</f>
        <v>2215250</v>
      </c>
      <c r="M23" s="153">
        <f>SUM(AO23:AR23)</f>
        <v>2210000</v>
      </c>
      <c r="N23" s="153"/>
      <c r="V23" s="6"/>
      <c r="W23" s="4">
        <v>274808</v>
      </c>
      <c r="X23" s="4"/>
      <c r="Y23" s="5">
        <v>268665</v>
      </c>
      <c r="Z23" s="5">
        <v>267703</v>
      </c>
      <c r="AA23" s="5">
        <v>277856</v>
      </c>
      <c r="AB23" s="5">
        <v>284084</v>
      </c>
      <c r="AC23" s="5"/>
      <c r="AD23" s="22">
        <v>347833</v>
      </c>
      <c r="AE23" s="22">
        <v>512270</v>
      </c>
      <c r="AF23" s="22">
        <v>514757</v>
      </c>
      <c r="AG23" s="22">
        <v>553861</v>
      </c>
      <c r="AH23" s="22"/>
      <c r="AI23" s="104">
        <v>373861</v>
      </c>
      <c r="AJ23" s="22">
        <v>516667</v>
      </c>
      <c r="AK23" s="104">
        <v>563861</v>
      </c>
      <c r="AL23" s="104">
        <v>553861</v>
      </c>
      <c r="AM23" s="104">
        <v>580861</v>
      </c>
      <c r="AN23" s="22"/>
      <c r="AO23" s="104">
        <v>420000</v>
      </c>
      <c r="AP23" s="104">
        <v>600000</v>
      </c>
      <c r="AQ23" s="104">
        <v>590000</v>
      </c>
      <c r="AR23" s="104">
        <v>600000</v>
      </c>
    </row>
    <row r="24" spans="1:44" ht="17">
      <c r="A24" s="117" t="s">
        <v>187</v>
      </c>
      <c r="B24" s="118">
        <f t="shared" ref="B24:E24" si="10">B22+B23</f>
        <v>963914</v>
      </c>
      <c r="C24" s="118">
        <f t="shared" si="10"/>
        <v>984345</v>
      </c>
      <c r="D24" s="118">
        <f t="shared" si="10"/>
        <v>1048975</v>
      </c>
      <c r="E24" s="118">
        <f t="shared" si="10"/>
        <v>1120814</v>
      </c>
      <c r="F24" s="118">
        <f t="shared" ref="F24:I24" si="11">F22+F23</f>
        <v>1537721</v>
      </c>
      <c r="G24" s="118">
        <f t="shared" si="11"/>
        <v>1609687</v>
      </c>
      <c r="H24" s="118">
        <f t="shared" si="11"/>
        <v>1564284</v>
      </c>
      <c r="I24" s="118">
        <f t="shared" si="11"/>
        <v>1940122</v>
      </c>
      <c r="J24" s="118">
        <f>J22+J23</f>
        <v>1834754</v>
      </c>
      <c r="K24" s="118">
        <f t="shared" ref="K24:M24" si="12">K22+K23</f>
        <v>2902096</v>
      </c>
      <c r="L24" s="154">
        <f t="shared" si="12"/>
        <v>3232282</v>
      </c>
      <c r="M24" s="154">
        <f t="shared" si="12"/>
        <v>3270000</v>
      </c>
      <c r="N24" s="126">
        <f>N20-(N20*0.335)</f>
        <v>3370617.3018560004</v>
      </c>
      <c r="O24" s="126">
        <f>O20-(O20*0.34)</f>
        <v>3523924.0627599368</v>
      </c>
      <c r="P24" s="126">
        <f>P20-(P20*0.345)</f>
        <v>3685870.9751191749</v>
      </c>
      <c r="Q24" s="126">
        <f t="shared" ref="Q24:R24" si="13">Q20-(Q20*0.35)</f>
        <v>3856918.8470113305</v>
      </c>
      <c r="R24" s="126">
        <f t="shared" si="13"/>
        <v>4068850.9332200559</v>
      </c>
      <c r="S24" s="126">
        <f>S20-(S20*0.35)</f>
        <v>4294346.6729461392</v>
      </c>
      <c r="V24" s="74"/>
      <c r="W24" s="118">
        <f>W22+W23</f>
        <v>497582</v>
      </c>
      <c r="X24" s="127"/>
      <c r="Y24" s="118">
        <f>Y22+Y23</f>
        <v>417781</v>
      </c>
      <c r="Z24" s="118">
        <f>Z22+Z23</f>
        <v>441888</v>
      </c>
      <c r="AA24" s="118">
        <f>AA22+AA23</f>
        <v>483033</v>
      </c>
      <c r="AB24" s="118">
        <f>AB22+AB23</f>
        <v>492052</v>
      </c>
      <c r="AC24" s="5"/>
      <c r="AD24" s="131">
        <f>AD22+AD23</f>
        <v>544911</v>
      </c>
      <c r="AE24" s="131">
        <f>AE22+AE23</f>
        <v>766290</v>
      </c>
      <c r="AF24" s="131">
        <f>AF22+AF23</f>
        <v>767276</v>
      </c>
      <c r="AG24" s="131">
        <f>AG22+AG23</f>
        <v>823619</v>
      </c>
      <c r="AH24" s="124"/>
      <c r="AI24" s="131">
        <f>AI22+AI23</f>
        <v>574619</v>
      </c>
      <c r="AJ24" s="131">
        <f>AJ22+AJ23</f>
        <v>710825</v>
      </c>
      <c r="AK24" s="131">
        <f>AK22+AK23</f>
        <v>844619</v>
      </c>
      <c r="AL24" s="131">
        <f>AL22+AL23</f>
        <v>823919</v>
      </c>
      <c r="AM24" s="131">
        <f>AM22+AM23</f>
        <v>852919</v>
      </c>
      <c r="AN24" s="124"/>
      <c r="AO24" s="131">
        <f>AO22+AO23</f>
        <v>625000</v>
      </c>
      <c r="AP24" s="131">
        <f>AP22+AP23</f>
        <v>885000</v>
      </c>
      <c r="AQ24" s="131">
        <f>AQ22+AQ23</f>
        <v>875000</v>
      </c>
      <c r="AR24" s="131">
        <f>AR22+AR23</f>
        <v>885000</v>
      </c>
    </row>
    <row r="25" spans="1:44">
      <c r="A25" s="38" t="s">
        <v>60</v>
      </c>
      <c r="B25" s="6">
        <v>270841</v>
      </c>
      <c r="C25" s="6">
        <v>298345</v>
      </c>
      <c r="D25" s="6">
        <v>333468</v>
      </c>
      <c r="E25" s="6">
        <v>385420</v>
      </c>
      <c r="F25" s="6">
        <v>458458</v>
      </c>
      <c r="G25" s="6">
        <v>523085</v>
      </c>
      <c r="H25" s="6">
        <v>512316</v>
      </c>
      <c r="I25" s="6">
        <v>657251</v>
      </c>
      <c r="J25" s="6">
        <v>718626</v>
      </c>
      <c r="K25" s="5">
        <f>SUM(AD25:AG25)</f>
        <v>1893650</v>
      </c>
      <c r="L25" s="153">
        <f>SUM(AJ25:AM25)</f>
        <v>1134814</v>
      </c>
      <c r="M25" s="153">
        <f>SUM(AO25:AR25)</f>
        <v>1257384</v>
      </c>
      <c r="N25" s="153"/>
      <c r="V25" s="6"/>
      <c r="W25" s="4">
        <v>176145</v>
      </c>
      <c r="X25" s="4"/>
      <c r="Y25" s="6">
        <v>171625</v>
      </c>
      <c r="Z25" s="6">
        <v>177191</v>
      </c>
      <c r="AA25" s="6">
        <v>162845</v>
      </c>
      <c r="AB25" s="6">
        <v>206965</v>
      </c>
      <c r="AC25" s="6"/>
      <c r="AD25" s="22">
        <v>219581</v>
      </c>
      <c r="AE25" s="22">
        <v>1148989</v>
      </c>
      <c r="AF25" s="22">
        <v>271734</v>
      </c>
      <c r="AG25" s="22">
        <v>253346</v>
      </c>
      <c r="AH25" s="22"/>
      <c r="AI25" s="104">
        <v>253346</v>
      </c>
      <c r="AJ25" s="22">
        <v>251122</v>
      </c>
      <c r="AK25" s="104">
        <v>270000</v>
      </c>
      <c r="AL25" s="104">
        <v>303346</v>
      </c>
      <c r="AM25" s="104">
        <v>310346</v>
      </c>
      <c r="AN25" s="22"/>
      <c r="AO25" s="104">
        <v>290346</v>
      </c>
      <c r="AP25" s="104">
        <v>303346</v>
      </c>
      <c r="AQ25" s="104">
        <v>328346</v>
      </c>
      <c r="AR25" s="104">
        <v>335346</v>
      </c>
    </row>
    <row r="26" spans="1:44">
      <c r="A26" s="38" t="s">
        <v>37</v>
      </c>
      <c r="B26" s="6">
        <v>46670</v>
      </c>
      <c r="C26" s="6">
        <v>77184</v>
      </c>
      <c r="D26" s="6">
        <v>129647</v>
      </c>
      <c r="E26" s="6">
        <v>168347</v>
      </c>
      <c r="F26" s="6">
        <v>123044</v>
      </c>
      <c r="G26" s="6">
        <v>130434</v>
      </c>
      <c r="H26" s="6">
        <v>115792</v>
      </c>
      <c r="I26" s="6">
        <v>153203</v>
      </c>
      <c r="J26" s="6">
        <v>128923</v>
      </c>
      <c r="K26" s="5">
        <f>SUM(AD26:AG26)</f>
        <v>150653</v>
      </c>
      <c r="L26" s="153">
        <f t="shared" ref="L26:L28" si="14">SUM(AJ26:AM26)</f>
        <v>180039</v>
      </c>
      <c r="M26" s="153">
        <f>SUM(AO26:AR26)</f>
        <v>199968</v>
      </c>
      <c r="N26" s="153"/>
      <c r="V26" s="4"/>
      <c r="W26" s="4">
        <v>40894</v>
      </c>
      <c r="X26" s="4"/>
      <c r="Y26" s="6">
        <v>34765</v>
      </c>
      <c r="Z26" s="6">
        <v>32416</v>
      </c>
      <c r="AA26" s="6">
        <v>29444</v>
      </c>
      <c r="AB26" s="6">
        <v>32298</v>
      </c>
      <c r="AC26" s="6"/>
      <c r="AD26" s="22">
        <v>29004</v>
      </c>
      <c r="AE26" s="22">
        <v>33429</v>
      </c>
      <c r="AF26" s="22">
        <v>41728</v>
      </c>
      <c r="AG26" s="22">
        <v>46492</v>
      </c>
      <c r="AH26" s="22"/>
      <c r="AI26" s="104">
        <v>39492</v>
      </c>
      <c r="AJ26" s="22">
        <v>38563</v>
      </c>
      <c r="AK26" s="104">
        <v>42492</v>
      </c>
      <c r="AL26" s="104">
        <v>48492</v>
      </c>
      <c r="AM26" s="104">
        <v>50492</v>
      </c>
      <c r="AN26" s="22"/>
      <c r="AO26" s="104">
        <v>44492</v>
      </c>
      <c r="AP26" s="104">
        <v>48492</v>
      </c>
      <c r="AQ26" s="104">
        <v>52492</v>
      </c>
      <c r="AR26" s="104">
        <v>54492</v>
      </c>
    </row>
    <row r="27" spans="1:44">
      <c r="A27" s="38" t="s">
        <v>38</v>
      </c>
      <c r="B27" s="6">
        <v>17966</v>
      </c>
      <c r="C27" s="6">
        <v>16438</v>
      </c>
      <c r="D27" s="6">
        <v>10788</v>
      </c>
      <c r="E27" s="6">
        <v>12231</v>
      </c>
      <c r="F27" s="6">
        <v>9655</v>
      </c>
      <c r="G27" s="6">
        <v>7611</v>
      </c>
      <c r="H27" s="6">
        <v>5482</v>
      </c>
      <c r="I27" s="6">
        <v>28729</v>
      </c>
      <c r="J27" s="6">
        <v>29811</v>
      </c>
      <c r="K27" s="5">
        <f>SUM(AD27:AG27)</f>
        <v>227165</v>
      </c>
      <c r="L27" s="153">
        <f t="shared" si="14"/>
        <v>99215</v>
      </c>
      <c r="M27" s="153">
        <f>SUM(AO27:AR27)</f>
        <v>13010</v>
      </c>
      <c r="N27" s="153"/>
      <c r="V27" s="6"/>
      <c r="W27" s="4">
        <v>7870</v>
      </c>
      <c r="X27" s="4"/>
      <c r="Y27" s="6">
        <v>7523</v>
      </c>
      <c r="Z27" s="6">
        <v>7379</v>
      </c>
      <c r="AA27" s="6">
        <v>7433</v>
      </c>
      <c r="AB27" s="6">
        <v>7476</v>
      </c>
      <c r="AC27" s="6"/>
      <c r="AD27" s="22">
        <v>27811</v>
      </c>
      <c r="AE27" s="22">
        <v>81374</v>
      </c>
      <c r="AF27" s="22">
        <v>91719</v>
      </c>
      <c r="AG27" s="22">
        <v>26261</v>
      </c>
      <c r="AH27" s="22"/>
      <c r="AI27" s="104">
        <v>20000</v>
      </c>
      <c r="AJ27" s="22">
        <v>66215</v>
      </c>
      <c r="AK27" s="104">
        <v>15000</v>
      </c>
      <c r="AL27" s="104">
        <v>10000</v>
      </c>
      <c r="AM27" s="104">
        <v>8000</v>
      </c>
      <c r="AN27" s="22"/>
      <c r="AO27" s="104">
        <v>6001</v>
      </c>
      <c r="AP27" s="104">
        <v>4002</v>
      </c>
      <c r="AQ27" s="104">
        <v>2003</v>
      </c>
      <c r="AR27" s="104">
        <v>1004</v>
      </c>
    </row>
    <row r="28" spans="1:44">
      <c r="A28" s="72" t="s">
        <v>112</v>
      </c>
      <c r="B28" s="6">
        <f t="shared" ref="B28:K28" si="15">B22+B23+B25+B26+B27</f>
        <v>1299391</v>
      </c>
      <c r="C28" s="6">
        <f t="shared" si="15"/>
        <v>1376312</v>
      </c>
      <c r="D28" s="6">
        <f t="shared" si="15"/>
        <v>1522878</v>
      </c>
      <c r="E28" s="6">
        <f t="shared" si="15"/>
        <v>1686812</v>
      </c>
      <c r="F28" s="6">
        <f t="shared" si="15"/>
        <v>2128878</v>
      </c>
      <c r="G28" s="6">
        <f t="shared" si="15"/>
        <v>2270817</v>
      </c>
      <c r="H28" s="6">
        <f t="shared" si="15"/>
        <v>2197874</v>
      </c>
      <c r="I28" s="6">
        <f t="shared" si="15"/>
        <v>2779305</v>
      </c>
      <c r="J28" s="6">
        <f t="shared" si="15"/>
        <v>2712114</v>
      </c>
      <c r="K28" s="6">
        <f t="shared" si="15"/>
        <v>5173564</v>
      </c>
      <c r="L28" s="153">
        <f t="shared" si="14"/>
        <v>4646350</v>
      </c>
      <c r="M28" s="153">
        <f>SUM(AO28:AR28)</f>
        <v>4740362</v>
      </c>
      <c r="N28" s="105"/>
      <c r="V28" s="6"/>
      <c r="W28" s="6">
        <f>W22+W23+W25+W26+W27</f>
        <v>722491</v>
      </c>
      <c r="X28" s="6"/>
      <c r="Y28" s="6">
        <f>Y22+Y23+Y25+Y26+Y27</f>
        <v>631694</v>
      </c>
      <c r="Z28" s="6">
        <f>Z22+Z23+Z25+Z26+Z27</f>
        <v>658874</v>
      </c>
      <c r="AA28" s="6">
        <f>AA22+AA23+AA25+AA26+AA27</f>
        <v>682755</v>
      </c>
      <c r="AB28" s="6">
        <f>AB22+AB23+AB25+AB26+AB27</f>
        <v>738791</v>
      </c>
      <c r="AC28" s="6"/>
      <c r="AD28" s="22">
        <f>AD22+AD23+AD25+AD26+AD27</f>
        <v>821307</v>
      </c>
      <c r="AE28" s="22">
        <f>AE22+AE23+AE25+AE26+AE27</f>
        <v>2030082</v>
      </c>
      <c r="AF28" s="22">
        <f>AF22+AF23+AF25+AF26+AF27</f>
        <v>1172457</v>
      </c>
      <c r="AG28" s="22">
        <f>AG22+AG23+AG25+AG26+AG27</f>
        <v>1149718</v>
      </c>
      <c r="AH28" s="22"/>
      <c r="AI28" s="104">
        <f>AI22+AI23+AI25+AI26+AI27</f>
        <v>887457</v>
      </c>
      <c r="AJ28" s="22">
        <f>AJ22+AJ23+AJ25+AJ26+AJ27</f>
        <v>1066725</v>
      </c>
      <c r="AK28" s="104">
        <f>AK22+AK23+AK25+AK26+AK27</f>
        <v>1172111</v>
      </c>
      <c r="AL28" s="104">
        <f>AL22+AL23+AL25+AL26+AL27</f>
        <v>1185757</v>
      </c>
      <c r="AM28" s="104">
        <f>AM22+AM23+AM25+AM26+AM27</f>
        <v>1221757</v>
      </c>
      <c r="AN28" s="22"/>
      <c r="AO28" s="104">
        <f>AO22+AO23+AO25+AO26+AO27</f>
        <v>965839</v>
      </c>
      <c r="AP28" s="104">
        <f>AP22+AP23+AP25+AP26+AP27</f>
        <v>1240840</v>
      </c>
      <c r="AQ28" s="104">
        <f>AQ22+AQ23+AQ25+AQ26+AQ27</f>
        <v>1257841</v>
      </c>
      <c r="AR28" s="104">
        <f>AR22+AR23+AR25+AR26+AR27</f>
        <v>1275842</v>
      </c>
    </row>
    <row r="29" spans="1:44" ht="17">
      <c r="A29" s="77" t="s">
        <v>61</v>
      </c>
      <c r="B29" s="73">
        <f t="shared" ref="B29:K29" si="16">B20-B28</f>
        <v>83109</v>
      </c>
      <c r="C29" s="73">
        <f t="shared" si="16"/>
        <v>41088</v>
      </c>
      <c r="D29" s="73">
        <f t="shared" si="16"/>
        <v>36422</v>
      </c>
      <c r="E29" s="73">
        <f t="shared" si="16"/>
        <v>-92212</v>
      </c>
      <c r="F29" s="73">
        <f t="shared" si="16"/>
        <v>-60678</v>
      </c>
      <c r="G29" s="73">
        <f t="shared" si="16"/>
        <v>38483</v>
      </c>
      <c r="H29" s="73">
        <f t="shared" si="16"/>
        <v>58226</v>
      </c>
      <c r="I29" s="73">
        <f t="shared" si="16"/>
        <v>8095</v>
      </c>
      <c r="J29" s="73">
        <f t="shared" si="16"/>
        <v>-156014</v>
      </c>
      <c r="K29" s="73">
        <f t="shared" si="16"/>
        <v>-889764</v>
      </c>
      <c r="L29" s="155">
        <f>L20-L28</f>
        <v>-95450</v>
      </c>
      <c r="M29" s="155">
        <f>M20-M28</f>
        <v>73835.599999999627</v>
      </c>
      <c r="N29" s="155">
        <f>N20*N92</f>
        <v>81624.210916078839</v>
      </c>
      <c r="O29" s="155">
        <f t="shared" ref="O29:S29" si="17">O20*O92</f>
        <v>90282.400961326479</v>
      </c>
      <c r="P29" s="155">
        <f t="shared" si="17"/>
        <v>99909.922506171322</v>
      </c>
      <c r="Q29" s="155">
        <f t="shared" si="17"/>
        <v>110618.11078368082</v>
      </c>
      <c r="R29" s="155">
        <f t="shared" si="17"/>
        <v>122531.23599530375</v>
      </c>
      <c r="S29" s="155">
        <f t="shared" si="17"/>
        <v>135788.01361311766</v>
      </c>
      <c r="T29" s="155"/>
      <c r="U29" s="155"/>
      <c r="V29" s="74"/>
      <c r="W29" s="73">
        <f>W20-W28</f>
        <v>-234791</v>
      </c>
      <c r="X29" s="74"/>
      <c r="Y29" s="73">
        <f>Y20-Y28</f>
        <v>-56594</v>
      </c>
      <c r="Z29" s="73">
        <f>Z20-Z28</f>
        <v>4626</v>
      </c>
      <c r="AA29" s="73">
        <f>AA20-AA28</f>
        <v>-31355</v>
      </c>
      <c r="AB29" s="73">
        <f>AB20-AB28</f>
        <v>-72691</v>
      </c>
      <c r="AC29" s="74"/>
      <c r="AD29" s="78">
        <f>AD20-AD28</f>
        <v>-41516</v>
      </c>
      <c r="AE29" s="78">
        <f>AE20-AE28</f>
        <v>-804682</v>
      </c>
      <c r="AF29" s="78">
        <f>AF20-AF28</f>
        <v>-43857</v>
      </c>
      <c r="AG29" s="78">
        <f>AG20-AG28</f>
        <v>282</v>
      </c>
      <c r="AH29" s="80"/>
      <c r="AI29" s="78">
        <f>AI20-AI28</f>
        <v>-62457</v>
      </c>
      <c r="AJ29" s="78">
        <f>AJ20-AJ28</f>
        <v>59735</v>
      </c>
      <c r="AK29" s="78">
        <f>AK20-AK28</f>
        <v>146789</v>
      </c>
      <c r="AL29" s="78">
        <f>AL20-AL28</f>
        <v>4243</v>
      </c>
      <c r="AM29" s="78">
        <f>AM20-AM28</f>
        <v>-4757</v>
      </c>
      <c r="AN29" s="22"/>
      <c r="AO29" s="78">
        <f>AO20-AO28</f>
        <v>-95839</v>
      </c>
      <c r="AP29" s="78">
        <f>AP20-AP28</f>
        <v>140360</v>
      </c>
      <c r="AQ29" s="78">
        <f>AQ20-AQ28</f>
        <v>13159</v>
      </c>
      <c r="AR29" s="78">
        <f>AR20-AR28</f>
        <v>7158</v>
      </c>
    </row>
    <row r="30" spans="1:44">
      <c r="A30" s="3" t="s">
        <v>39</v>
      </c>
      <c r="H30" s="6"/>
      <c r="I30" s="6"/>
      <c r="J30" s="6"/>
      <c r="K30" s="6"/>
      <c r="L30" s="105"/>
      <c r="M30" s="105"/>
      <c r="N30" s="105"/>
      <c r="V30" s="6"/>
      <c r="W30" s="3"/>
      <c r="X30" s="3"/>
      <c r="Y30" s="4" t="s">
        <v>3</v>
      </c>
      <c r="Z30" s="4" t="s">
        <v>3</v>
      </c>
      <c r="AA30" s="4" t="s">
        <v>3</v>
      </c>
      <c r="AB30" s="4"/>
      <c r="AC30" s="4"/>
      <c r="AD30" s="4" t="s">
        <v>3</v>
      </c>
      <c r="AE30" s="4" t="s">
        <v>3</v>
      </c>
      <c r="AF30" s="4" t="s">
        <v>3</v>
      </c>
      <c r="AI30" s="99"/>
      <c r="AJ30" s="124"/>
      <c r="AK30" s="99"/>
      <c r="AL30" s="99"/>
      <c r="AM30" s="99"/>
      <c r="AO30" s="99"/>
      <c r="AP30" s="99"/>
      <c r="AQ30" s="99"/>
      <c r="AR30" s="99"/>
    </row>
    <row r="31" spans="1:44">
      <c r="A31" s="38" t="s">
        <v>110</v>
      </c>
      <c r="B31" s="6">
        <v>-29426</v>
      </c>
      <c r="C31" s="6">
        <v>-23522</v>
      </c>
      <c r="D31" s="6">
        <v>-11075</v>
      </c>
      <c r="E31" s="6">
        <v>-3066</v>
      </c>
      <c r="F31" s="6">
        <v>-49861</v>
      </c>
      <c r="G31" s="6">
        <v>-36993</v>
      </c>
      <c r="H31" s="6">
        <v>-32247</v>
      </c>
      <c r="I31" s="6">
        <v>-28887</v>
      </c>
      <c r="J31" s="6">
        <v>-7297</v>
      </c>
      <c r="K31" s="5">
        <v>-304140</v>
      </c>
      <c r="L31" s="153">
        <f>SUM(AJ31:AM31)</f>
        <v>-296293</v>
      </c>
      <c r="M31" s="153">
        <f>SUM(AO31:AR31)</f>
        <v>-140000</v>
      </c>
      <c r="N31" s="153"/>
      <c r="V31" s="6"/>
      <c r="W31" s="4">
        <v>-11611</v>
      </c>
      <c r="X31" s="4"/>
      <c r="Y31" s="6">
        <v>-5750</v>
      </c>
      <c r="Z31" s="6">
        <v>2171</v>
      </c>
      <c r="AA31" s="6">
        <v>-8222</v>
      </c>
      <c r="AB31" s="6">
        <v>4504</v>
      </c>
      <c r="AC31" s="6"/>
      <c r="AD31" s="22">
        <v>-36750</v>
      </c>
      <c r="AE31" s="22">
        <v>-53671</v>
      </c>
      <c r="AF31" s="22">
        <v>-112616</v>
      </c>
      <c r="AG31" s="124">
        <v>-101103</v>
      </c>
      <c r="AH31" s="124"/>
      <c r="AI31" s="126">
        <v>-91103</v>
      </c>
      <c r="AJ31" s="124">
        <v>-82984</v>
      </c>
      <c r="AK31" s="126">
        <v>-81103</v>
      </c>
      <c r="AL31" s="126">
        <v>-71103</v>
      </c>
      <c r="AM31" s="126">
        <v>-61103</v>
      </c>
      <c r="AN31" s="124"/>
      <c r="AO31" s="126">
        <v>-50000</v>
      </c>
      <c r="AP31" s="126">
        <v>-40000</v>
      </c>
      <c r="AQ31" s="126">
        <v>-30000</v>
      </c>
      <c r="AR31" s="126">
        <v>-20000</v>
      </c>
    </row>
    <row r="32" spans="1:44">
      <c r="A32" s="38" t="s">
        <v>42</v>
      </c>
      <c r="B32" s="6">
        <v>0</v>
      </c>
      <c r="C32" s="6">
        <v>0</v>
      </c>
      <c r="D32" s="6">
        <v>0</v>
      </c>
      <c r="E32" s="6">
        <v>-10217</v>
      </c>
      <c r="F32" s="6">
        <v>0</v>
      </c>
      <c r="G32" s="6">
        <v>0</v>
      </c>
      <c r="H32" s="4">
        <v>0</v>
      </c>
      <c r="I32" s="6">
        <v>4118</v>
      </c>
      <c r="J32" s="6">
        <v>1098</v>
      </c>
      <c r="K32" s="5">
        <f t="shared" ref="K32:K40" si="18">SUM(AD32:AG32)</f>
        <v>0</v>
      </c>
      <c r="L32" s="153">
        <f>SUM(AJ32:AM32)</f>
        <v>0</v>
      </c>
      <c r="M32" s="153">
        <f>SUM(AO32:AR32)</f>
        <v>0</v>
      </c>
      <c r="N32" s="153">
        <f>SUM(AL32:AO32)</f>
        <v>0</v>
      </c>
      <c r="V32" s="6"/>
      <c r="W32" s="4">
        <v>0</v>
      </c>
      <c r="X32" s="4"/>
      <c r="Y32" s="6">
        <v>1011</v>
      </c>
      <c r="Z32" s="6">
        <v>87</v>
      </c>
      <c r="AA32" s="4">
        <v>0</v>
      </c>
      <c r="AB32" s="4">
        <v>0</v>
      </c>
      <c r="AC32" s="4"/>
      <c r="AD32" s="132">
        <v>0</v>
      </c>
      <c r="AE32" s="132">
        <v>0</v>
      </c>
      <c r="AF32" s="132">
        <v>0</v>
      </c>
      <c r="AG32" s="132">
        <v>0</v>
      </c>
      <c r="AH32" s="132"/>
      <c r="AI32" s="134">
        <v>0</v>
      </c>
      <c r="AJ32" s="132">
        <v>0</v>
      </c>
      <c r="AK32" s="134">
        <v>0</v>
      </c>
      <c r="AL32" s="134">
        <v>0</v>
      </c>
      <c r="AM32" s="134">
        <v>0</v>
      </c>
      <c r="AN32" s="132"/>
      <c r="AO32" s="134">
        <v>0</v>
      </c>
      <c r="AP32" s="134">
        <v>0</v>
      </c>
      <c r="AQ32" s="134">
        <v>0</v>
      </c>
      <c r="AR32" s="134">
        <v>0</v>
      </c>
    </row>
    <row r="33" spans="1:44">
      <c r="A33" s="72" t="s">
        <v>62</v>
      </c>
      <c r="B33" s="6">
        <f>SUM(B31:B32)+B29</f>
        <v>53683</v>
      </c>
      <c r="C33" s="6">
        <f t="shared" ref="C33:N33" si="19">SUM(C31:C32)+C29</f>
        <v>17566</v>
      </c>
      <c r="D33" s="6">
        <f t="shared" si="19"/>
        <v>25347</v>
      </c>
      <c r="E33" s="6">
        <f t="shared" si="19"/>
        <v>-105495</v>
      </c>
      <c r="F33" s="6">
        <f t="shared" si="19"/>
        <v>-110539</v>
      </c>
      <c r="G33" s="6">
        <f t="shared" si="19"/>
        <v>1490</v>
      </c>
      <c r="H33" s="6">
        <f t="shared" si="19"/>
        <v>25979</v>
      </c>
      <c r="I33" s="6">
        <f t="shared" si="19"/>
        <v>-16674</v>
      </c>
      <c r="J33" s="6">
        <f t="shared" si="19"/>
        <v>-162213</v>
      </c>
      <c r="K33" s="6">
        <f t="shared" si="19"/>
        <v>-1193904</v>
      </c>
      <c r="L33" s="105">
        <f>SUM(L31:L32)+L29</f>
        <v>-391743</v>
      </c>
      <c r="M33" s="105">
        <f t="shared" si="19"/>
        <v>-66164.400000000373</v>
      </c>
      <c r="N33" s="105">
        <f t="shared" si="19"/>
        <v>81624.210916078839</v>
      </c>
      <c r="V33" s="6"/>
      <c r="W33" s="10" t="e">
        <f>W29+#REF!+W32</f>
        <v>#REF!</v>
      </c>
      <c r="X33" s="10"/>
      <c r="Y33" s="10" t="e">
        <f>Y29+#REF!+Y32</f>
        <v>#REF!</v>
      </c>
      <c r="Z33" s="10" t="e">
        <f>Z29+#REF!+Z32</f>
        <v>#REF!</v>
      </c>
      <c r="AA33" s="10" t="e">
        <f>AA29+#REF!+AA32</f>
        <v>#REF!</v>
      </c>
      <c r="AB33" s="10" t="e">
        <f>AB29+#REF!+AB32</f>
        <v>#REF!</v>
      </c>
      <c r="AC33" s="10"/>
      <c r="AD33" s="6">
        <f t="shared" ref="AD33" si="20">SUM(AD31:AD32)+AD29</f>
        <v>-78266</v>
      </c>
      <c r="AE33" s="6">
        <f t="shared" ref="AE33" si="21">SUM(AE31:AE32)+AE29</f>
        <v>-858353</v>
      </c>
      <c r="AF33" s="6">
        <f t="shared" ref="AF33" si="22">SUM(AF31:AF32)+AF29</f>
        <v>-156473</v>
      </c>
      <c r="AG33" s="6">
        <f t="shared" ref="AG33" si="23">SUM(AG31:AG32)+AG29</f>
        <v>-100821</v>
      </c>
      <c r="AH33" s="132"/>
      <c r="AI33" s="105">
        <f t="shared" ref="AI33" si="24">SUM(AI31:AI32)+AI29</f>
        <v>-153560</v>
      </c>
      <c r="AJ33" s="6">
        <f t="shared" ref="AJ33" si="25">SUM(AJ31:AJ32)+AJ29</f>
        <v>-23249</v>
      </c>
      <c r="AK33" s="105">
        <f t="shared" ref="AK33" si="26">SUM(AK31:AK32)+AK29</f>
        <v>65686</v>
      </c>
      <c r="AL33" s="105">
        <f t="shared" ref="AL33:AM33" si="27">SUM(AL31:AL32)+AL29</f>
        <v>-66860</v>
      </c>
      <c r="AM33" s="105">
        <f t="shared" si="27"/>
        <v>-65860</v>
      </c>
      <c r="AN33" s="132"/>
      <c r="AO33" s="105">
        <f t="shared" ref="AO33" si="28">SUM(AO31:AO32)+AO29</f>
        <v>-145839</v>
      </c>
      <c r="AP33" s="105">
        <f t="shared" ref="AP33" si="29">SUM(AP31:AP32)+AP29</f>
        <v>100360</v>
      </c>
      <c r="AQ33" s="105">
        <f t="shared" ref="AQ33" si="30">SUM(AQ31:AQ32)+AQ29</f>
        <v>-16841</v>
      </c>
      <c r="AR33" s="105">
        <f t="shared" ref="AR33" si="31">SUM(AR31:AR32)+AR29</f>
        <v>-12842</v>
      </c>
    </row>
    <row r="34" spans="1:44">
      <c r="A34" s="38" t="s">
        <v>63</v>
      </c>
      <c r="B34" s="6">
        <v>13827</v>
      </c>
      <c r="C34" s="6">
        <v>-4173</v>
      </c>
      <c r="D34" s="6">
        <v>3617</v>
      </c>
      <c r="E34" s="6">
        <v>35217</v>
      </c>
      <c r="F34" s="6">
        <v>41014</v>
      </c>
      <c r="G34" s="6">
        <v>7915</v>
      </c>
      <c r="H34" s="6">
        <v>-9441</v>
      </c>
      <c r="I34" s="6">
        <v>14237</v>
      </c>
      <c r="J34" s="6">
        <v>-49418</v>
      </c>
      <c r="K34" s="5">
        <f t="shared" si="18"/>
        <v>139474</v>
      </c>
      <c r="L34" s="153">
        <f>SUM(AJ34:AM34)</f>
        <v>122816</v>
      </c>
      <c r="M34" s="153">
        <f>SUM(AO34:AR34)</f>
        <v>87000</v>
      </c>
      <c r="N34" s="153"/>
      <c r="V34" s="5"/>
      <c r="W34" s="4">
        <v>10768</v>
      </c>
      <c r="X34" s="4"/>
      <c r="Y34" s="6">
        <v>22813</v>
      </c>
      <c r="Z34" s="6">
        <v>-76646</v>
      </c>
      <c r="AA34" s="6">
        <v>-5212</v>
      </c>
      <c r="AB34" s="6">
        <v>9627</v>
      </c>
      <c r="AC34" s="6"/>
      <c r="AD34" s="22">
        <v>533</v>
      </c>
      <c r="AE34" s="22">
        <v>93077</v>
      </c>
      <c r="AF34" s="22">
        <v>34496</v>
      </c>
      <c r="AG34" s="124">
        <v>11368</v>
      </c>
      <c r="AH34" s="124"/>
      <c r="AI34" s="104">
        <v>9000</v>
      </c>
      <c r="AJ34" s="22">
        <v>-1184</v>
      </c>
      <c r="AK34" s="104">
        <v>40000</v>
      </c>
      <c r="AL34" s="104">
        <v>40000</v>
      </c>
      <c r="AM34" s="104">
        <v>44000</v>
      </c>
      <c r="AN34" s="124"/>
      <c r="AO34" s="104">
        <v>94000</v>
      </c>
      <c r="AP34" s="104">
        <v>-25000</v>
      </c>
      <c r="AQ34" s="104">
        <v>10000</v>
      </c>
      <c r="AR34" s="104">
        <v>8000</v>
      </c>
    </row>
    <row r="35" spans="1:44">
      <c r="A35" s="76" t="s">
        <v>120</v>
      </c>
      <c r="B35" s="23">
        <f>B34/B33</f>
        <v>0.25756757260212731</v>
      </c>
      <c r="C35" s="23">
        <f t="shared" ref="C35:D35" si="32">C34/C33</f>
        <v>-0.23756119776841625</v>
      </c>
      <c r="D35" s="23">
        <f t="shared" si="32"/>
        <v>0.14269933325442855</v>
      </c>
      <c r="E35" s="23">
        <f>-E34/E33</f>
        <v>0.33382624768946395</v>
      </c>
      <c r="F35" s="23">
        <f>-F34/F33</f>
        <v>0.37103646676738528</v>
      </c>
      <c r="G35" s="23">
        <f t="shared" ref="G35:N35" si="33">-G34/G33</f>
        <v>-5.3120805369127515</v>
      </c>
      <c r="H35" s="23">
        <f t="shared" si="33"/>
        <v>0.36340890719427232</v>
      </c>
      <c r="I35" s="23">
        <f t="shared" si="33"/>
        <v>0.85384430850425808</v>
      </c>
      <c r="J35" s="23">
        <f>J34/J33</f>
        <v>0.30464882592640541</v>
      </c>
      <c r="K35" s="23">
        <f t="shared" si="33"/>
        <v>0.11682178801645693</v>
      </c>
      <c r="L35" s="110">
        <f t="shared" si="33"/>
        <v>0.31351166453516721</v>
      </c>
      <c r="M35" s="110">
        <f t="shared" si="33"/>
        <v>1.3149065056132831</v>
      </c>
      <c r="N35" s="110">
        <f t="shared" si="33"/>
        <v>0</v>
      </c>
      <c r="V35" s="24"/>
      <c r="W35" s="23" t="e">
        <f>-W34/W33</f>
        <v>#REF!</v>
      </c>
      <c r="X35" s="24"/>
      <c r="Y35" s="23" t="e">
        <f>-Y34/Y33</f>
        <v>#REF!</v>
      </c>
      <c r="Z35" s="23" t="e">
        <f t="shared" ref="Z35" si="34">Z34/Z33</f>
        <v>#REF!</v>
      </c>
      <c r="AA35" s="23" t="e">
        <f t="shared" ref="AA35:AI35" si="35">-AA34/AA33</f>
        <v>#REF!</v>
      </c>
      <c r="AB35" s="23" t="e">
        <f t="shared" si="35"/>
        <v>#REF!</v>
      </c>
      <c r="AC35" s="24"/>
      <c r="AD35" s="23">
        <f t="shared" si="35"/>
        <v>6.8101091150691235E-3</v>
      </c>
      <c r="AE35" s="23">
        <f t="shared" si="35"/>
        <v>0.1084367387310349</v>
      </c>
      <c r="AF35" s="23">
        <f t="shared" si="35"/>
        <v>0.22045975983076951</v>
      </c>
      <c r="AG35" s="23">
        <f t="shared" si="35"/>
        <v>0.11275428730125668</v>
      </c>
      <c r="AH35" s="11"/>
      <c r="AI35" s="23">
        <f t="shared" si="35"/>
        <v>5.8609012763740559E-2</v>
      </c>
      <c r="AJ35" s="23">
        <f>-AJ34/AJ33</f>
        <v>-5.0926921588025288E-2</v>
      </c>
      <c r="AK35" s="23">
        <f t="shared" ref="AK35:AR35" si="36">AK34/AK33</f>
        <v>0.6089577687787352</v>
      </c>
      <c r="AL35" s="23">
        <f t="shared" si="36"/>
        <v>-0.59826503140891418</v>
      </c>
      <c r="AM35" s="23">
        <f t="shared" si="36"/>
        <v>-0.66808381415122986</v>
      </c>
      <c r="AN35" s="6" t="s">
        <v>25</v>
      </c>
      <c r="AO35" s="23">
        <f t="shared" si="36"/>
        <v>-0.64454638334053305</v>
      </c>
      <c r="AP35" s="23">
        <f>-AP34/AP33</f>
        <v>0.24910322837783977</v>
      </c>
      <c r="AQ35" s="23">
        <f t="shared" si="36"/>
        <v>-0.59378896740098563</v>
      </c>
      <c r="AR35" s="23">
        <f t="shared" si="36"/>
        <v>-0.62295592586824478</v>
      </c>
    </row>
    <row r="36" spans="1:44" ht="32">
      <c r="A36" s="38" t="s">
        <v>64</v>
      </c>
      <c r="B36" s="6">
        <v>0</v>
      </c>
      <c r="C36" s="6">
        <v>0</v>
      </c>
      <c r="D36" s="6">
        <v>0</v>
      </c>
      <c r="E36" s="6">
        <v>1978</v>
      </c>
      <c r="F36" s="6">
        <v>2998</v>
      </c>
      <c r="G36" s="6">
        <v>4470</v>
      </c>
      <c r="H36" s="6">
        <v>556</v>
      </c>
      <c r="I36" s="6">
        <v>-281</v>
      </c>
      <c r="J36" s="6">
        <v>-66</v>
      </c>
      <c r="K36" s="5">
        <f t="shared" si="18"/>
        <v>6975</v>
      </c>
      <c r="L36" s="153">
        <f t="shared" ref="L36:L41" si="37">SUM(AI36:AM36)</f>
        <v>2746</v>
      </c>
      <c r="M36" s="153">
        <f t="shared" ref="M36:M41" si="38">SUM(AO36:AR36)</f>
        <v>0</v>
      </c>
      <c r="N36" s="153"/>
      <c r="V36" s="4"/>
      <c r="W36" s="4">
        <v>-25</v>
      </c>
      <c r="X36" s="4"/>
      <c r="Y36" s="4">
        <v>0</v>
      </c>
      <c r="Z36" s="6">
        <v>-40</v>
      </c>
      <c r="AA36" s="6">
        <v>-13</v>
      </c>
      <c r="AB36" s="6">
        <v>-13</v>
      </c>
      <c r="AC36" s="6"/>
      <c r="AD36" s="22">
        <v>831</v>
      </c>
      <c r="AE36" s="22">
        <v>-502</v>
      </c>
      <c r="AF36" s="22">
        <v>2689</v>
      </c>
      <c r="AG36" s="22">
        <v>3957</v>
      </c>
      <c r="AH36" s="22"/>
      <c r="AI36" s="104">
        <v>0</v>
      </c>
      <c r="AJ36" s="22">
        <v>2746</v>
      </c>
      <c r="AK36" s="104">
        <v>0</v>
      </c>
      <c r="AL36" s="104">
        <v>0</v>
      </c>
      <c r="AM36" s="104">
        <v>0</v>
      </c>
      <c r="AN36" s="22"/>
      <c r="AO36" s="104">
        <v>0</v>
      </c>
      <c r="AP36" s="104">
        <v>0</v>
      </c>
      <c r="AQ36" s="104">
        <v>0</v>
      </c>
      <c r="AR36" s="104">
        <v>0</v>
      </c>
    </row>
    <row r="37" spans="1:44">
      <c r="A37" s="38" t="s">
        <v>43</v>
      </c>
      <c r="B37" s="6">
        <v>0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-211639</v>
      </c>
      <c r="K37" s="5">
        <f t="shared" si="18"/>
        <v>-1047464</v>
      </c>
      <c r="L37" s="153">
        <f t="shared" si="37"/>
        <v>-109281</v>
      </c>
      <c r="M37" s="153">
        <f t="shared" si="38"/>
        <v>11838</v>
      </c>
      <c r="N37" s="153"/>
      <c r="V37" s="7"/>
      <c r="W37" s="10" t="e">
        <f>W33+W34+W36</f>
        <v>#REF!</v>
      </c>
      <c r="X37" s="10"/>
      <c r="Y37" s="10" t="e">
        <f>Y33+Y34+Y36</f>
        <v>#REF!</v>
      </c>
      <c r="Z37" s="10" t="e">
        <f t="shared" ref="Z37:AR37" si="39">Z33+Z34+Z36</f>
        <v>#REF!</v>
      </c>
      <c r="AA37" s="10" t="e">
        <f t="shared" si="39"/>
        <v>#REF!</v>
      </c>
      <c r="AB37" s="10" t="e">
        <f t="shared" si="39"/>
        <v>#REF!</v>
      </c>
      <c r="AC37" s="10"/>
      <c r="AD37" s="132">
        <f t="shared" si="39"/>
        <v>-76902</v>
      </c>
      <c r="AE37" s="132">
        <f t="shared" si="39"/>
        <v>-765778</v>
      </c>
      <c r="AF37" s="132">
        <f t="shared" si="39"/>
        <v>-119288</v>
      </c>
      <c r="AG37" s="132">
        <f t="shared" si="39"/>
        <v>-85496</v>
      </c>
      <c r="AH37" s="132"/>
      <c r="AI37" s="134">
        <f t="shared" si="39"/>
        <v>-144560</v>
      </c>
      <c r="AJ37" s="132">
        <f t="shared" si="39"/>
        <v>-21687</v>
      </c>
      <c r="AK37" s="134">
        <f t="shared" si="39"/>
        <v>105686</v>
      </c>
      <c r="AL37" s="134">
        <f t="shared" si="39"/>
        <v>-26860</v>
      </c>
      <c r="AM37" s="134">
        <f t="shared" si="39"/>
        <v>-21860</v>
      </c>
      <c r="AN37" s="132"/>
      <c r="AO37" s="134">
        <f t="shared" si="39"/>
        <v>-51839</v>
      </c>
      <c r="AP37" s="134">
        <f t="shared" si="39"/>
        <v>75360</v>
      </c>
      <c r="AQ37" s="134">
        <f t="shared" si="39"/>
        <v>-6841</v>
      </c>
      <c r="AR37" s="134">
        <f t="shared" si="39"/>
        <v>-4842</v>
      </c>
    </row>
    <row r="38" spans="1:44" ht="32">
      <c r="A38" s="38" t="s">
        <v>44</v>
      </c>
      <c r="B38" s="6">
        <v>0</v>
      </c>
      <c r="C38" s="6">
        <v>0</v>
      </c>
      <c r="D38" s="6">
        <v>0</v>
      </c>
      <c r="E38" s="6">
        <v>0</v>
      </c>
      <c r="F38" s="6">
        <v>0</v>
      </c>
      <c r="G38" s="6">
        <v>0</v>
      </c>
      <c r="H38" s="6">
        <v>0</v>
      </c>
      <c r="I38" s="6">
        <v>0</v>
      </c>
      <c r="J38" s="6">
        <v>1302387</v>
      </c>
      <c r="K38" s="5">
        <f t="shared" si="18"/>
        <v>-10422</v>
      </c>
      <c r="L38" s="153">
        <f t="shared" si="37"/>
        <v>0</v>
      </c>
      <c r="M38" s="153">
        <f t="shared" si="38"/>
        <v>0</v>
      </c>
      <c r="N38" s="153"/>
      <c r="V38" s="8"/>
      <c r="W38" s="4">
        <v>0</v>
      </c>
      <c r="X38" s="4"/>
      <c r="Y38" s="6">
        <v>17525</v>
      </c>
      <c r="Z38" s="6">
        <v>22187</v>
      </c>
      <c r="AA38" s="6">
        <v>4333</v>
      </c>
      <c r="AB38" s="6">
        <v>1258342</v>
      </c>
      <c r="AC38" s="6"/>
      <c r="AD38" s="132">
        <v>0</v>
      </c>
      <c r="AE38" s="132">
        <v>0</v>
      </c>
      <c r="AF38" s="132">
        <v>0</v>
      </c>
      <c r="AG38" s="132">
        <v>-10422</v>
      </c>
      <c r="AH38" s="132"/>
      <c r="AI38" s="134">
        <v>0</v>
      </c>
      <c r="AJ38" s="132">
        <v>0</v>
      </c>
      <c r="AK38" s="134">
        <v>0</v>
      </c>
      <c r="AL38" s="134">
        <v>0</v>
      </c>
      <c r="AM38" s="134">
        <v>0</v>
      </c>
      <c r="AN38" s="132"/>
      <c r="AO38" s="134">
        <v>0</v>
      </c>
      <c r="AP38" s="134">
        <v>0</v>
      </c>
      <c r="AQ38" s="134">
        <v>0</v>
      </c>
      <c r="AR38" s="134">
        <v>0</v>
      </c>
    </row>
    <row r="39" spans="1:44">
      <c r="A39" s="72" t="s">
        <v>65</v>
      </c>
      <c r="B39" s="6">
        <f>B33-B34+B36+B37+B38</f>
        <v>39856</v>
      </c>
      <c r="C39" s="6">
        <f>C33-C34+C36+C37+C38</f>
        <v>21739</v>
      </c>
      <c r="D39" s="6">
        <f t="shared" ref="D39" si="40">D33-D34+D36+D37+D38</f>
        <v>21730</v>
      </c>
      <c r="E39" s="6">
        <f>E33+E34+E36+E37+E38</f>
        <v>-68300</v>
      </c>
      <c r="F39" s="6">
        <f t="shared" ref="F39" si="41">F33+F34+F36+F37+F38</f>
        <v>-66527</v>
      </c>
      <c r="G39" s="6">
        <f>G33+G34+G36+G37+G38</f>
        <v>13875</v>
      </c>
      <c r="H39" s="6">
        <f>H33+H34+H36+H37+H38</f>
        <v>17094</v>
      </c>
      <c r="I39" s="6">
        <f>I33+I34+I36+I37+I38</f>
        <v>-2718</v>
      </c>
      <c r="J39" s="6">
        <v>1090748</v>
      </c>
      <c r="K39" s="5">
        <f>SUM(AD39:AG39)</f>
        <v>-1057886</v>
      </c>
      <c r="L39" s="153">
        <f t="shared" si="37"/>
        <v>-109281</v>
      </c>
      <c r="M39" s="153">
        <f t="shared" si="38"/>
        <v>11838</v>
      </c>
      <c r="N39" s="153"/>
      <c r="V39" s="8"/>
      <c r="W39" s="10" t="e">
        <f>W37+W38</f>
        <v>#REF!</v>
      </c>
      <c r="X39" s="10"/>
      <c r="Y39" s="10" t="e">
        <f t="shared" ref="Y39:AR39" si="42">Y37+Y38</f>
        <v>#REF!</v>
      </c>
      <c r="Z39" s="10" t="e">
        <f t="shared" si="42"/>
        <v>#REF!</v>
      </c>
      <c r="AA39" s="10" t="e">
        <f t="shared" si="42"/>
        <v>#REF!</v>
      </c>
      <c r="AB39" s="10" t="e">
        <f t="shared" si="42"/>
        <v>#REF!</v>
      </c>
      <c r="AC39" s="10"/>
      <c r="AD39" s="132">
        <f t="shared" si="42"/>
        <v>-76902</v>
      </c>
      <c r="AE39" s="132">
        <f t="shared" si="42"/>
        <v>-765778</v>
      </c>
      <c r="AF39" s="132">
        <f t="shared" si="42"/>
        <v>-119288</v>
      </c>
      <c r="AG39" s="132">
        <f t="shared" si="42"/>
        <v>-95918</v>
      </c>
      <c r="AH39" s="132"/>
      <c r="AI39" s="134">
        <f t="shared" si="42"/>
        <v>-144560</v>
      </c>
      <c r="AJ39" s="132">
        <f t="shared" si="42"/>
        <v>-21687</v>
      </c>
      <c r="AK39" s="134">
        <f t="shared" si="42"/>
        <v>105686</v>
      </c>
      <c r="AL39" s="134">
        <f t="shared" si="42"/>
        <v>-26860</v>
      </c>
      <c r="AM39" s="134">
        <f t="shared" si="42"/>
        <v>-21860</v>
      </c>
      <c r="AN39" s="132"/>
      <c r="AO39" s="134">
        <f t="shared" si="42"/>
        <v>-51839</v>
      </c>
      <c r="AP39" s="134">
        <f t="shared" si="42"/>
        <v>75360</v>
      </c>
      <c r="AQ39" s="134">
        <f t="shared" si="42"/>
        <v>-6841</v>
      </c>
      <c r="AR39" s="134">
        <f t="shared" si="42"/>
        <v>-4842</v>
      </c>
    </row>
    <row r="40" spans="1:44" ht="32">
      <c r="A40" s="38" t="s">
        <v>66</v>
      </c>
      <c r="B40" s="6">
        <v>-472</v>
      </c>
      <c r="C40" s="6">
        <v>29</v>
      </c>
      <c r="D40" s="6">
        <v>-2000</v>
      </c>
      <c r="E40" s="6">
        <v>-970</v>
      </c>
      <c r="F40" s="6">
        <v>1154</v>
      </c>
      <c r="G40" s="6">
        <v>14025</v>
      </c>
      <c r="H40" s="6">
        <v>13410</v>
      </c>
      <c r="I40" s="6">
        <v>13051</v>
      </c>
      <c r="J40" s="6">
        <v>5942</v>
      </c>
      <c r="K40" s="5">
        <f t="shared" si="18"/>
        <v>10985</v>
      </c>
      <c r="L40" s="153">
        <f t="shared" si="37"/>
        <v>20725</v>
      </c>
      <c r="M40" s="153">
        <f t="shared" si="38"/>
        <v>2800</v>
      </c>
      <c r="N40" s="153"/>
      <c r="V40" s="8"/>
      <c r="W40" s="4">
        <v>7525</v>
      </c>
      <c r="X40" s="4"/>
      <c r="Y40" s="6">
        <v>525</v>
      </c>
      <c r="Z40" s="6">
        <v>684</v>
      </c>
      <c r="AA40" s="6">
        <v>1803</v>
      </c>
      <c r="AB40" s="6">
        <v>2930</v>
      </c>
      <c r="AC40" s="6"/>
      <c r="AD40" s="22">
        <v>102</v>
      </c>
      <c r="AE40" s="22">
        <v>1475</v>
      </c>
      <c r="AF40" s="22">
        <v>5050</v>
      </c>
      <c r="AG40" s="22">
        <v>4358</v>
      </c>
      <c r="AH40" s="22"/>
      <c r="AI40" s="104">
        <v>3500</v>
      </c>
      <c r="AJ40" s="22">
        <v>11225</v>
      </c>
      <c r="AK40" s="104">
        <v>2500</v>
      </c>
      <c r="AL40" s="104">
        <v>2000</v>
      </c>
      <c r="AM40" s="104">
        <v>1500</v>
      </c>
      <c r="AN40" s="22"/>
      <c r="AO40" s="104">
        <v>1000</v>
      </c>
      <c r="AP40" s="104">
        <v>800</v>
      </c>
      <c r="AQ40" s="104">
        <v>600</v>
      </c>
      <c r="AR40" s="104">
        <v>400</v>
      </c>
    </row>
    <row r="41" spans="1:44">
      <c r="A41" s="72" t="s">
        <v>67</v>
      </c>
      <c r="B41" s="5">
        <f t="shared" ref="B41:K41" si="43">B39-B40</f>
        <v>40328</v>
      </c>
      <c r="C41" s="5">
        <f t="shared" si="43"/>
        <v>21710</v>
      </c>
      <c r="D41" s="5">
        <f t="shared" si="43"/>
        <v>23730</v>
      </c>
      <c r="E41" s="5">
        <f t="shared" si="43"/>
        <v>-67330</v>
      </c>
      <c r="F41" s="5">
        <f t="shared" si="43"/>
        <v>-67681</v>
      </c>
      <c r="G41" s="5">
        <f t="shared" si="43"/>
        <v>-150</v>
      </c>
      <c r="H41" s="5">
        <f t="shared" si="43"/>
        <v>3684</v>
      </c>
      <c r="I41" s="5">
        <f t="shared" si="43"/>
        <v>-15769</v>
      </c>
      <c r="J41" s="5">
        <f t="shared" si="43"/>
        <v>1084806</v>
      </c>
      <c r="K41" s="5">
        <f t="shared" si="43"/>
        <v>-1068871</v>
      </c>
      <c r="L41" s="153">
        <f t="shared" si="37"/>
        <v>-130006</v>
      </c>
      <c r="M41" s="153">
        <f t="shared" si="38"/>
        <v>9038</v>
      </c>
      <c r="N41" s="153"/>
      <c r="V41" s="8"/>
      <c r="W41" s="10" t="e">
        <f t="shared" ref="W41:AR41" si="44">W39-W40</f>
        <v>#REF!</v>
      </c>
      <c r="X41" s="10"/>
      <c r="Y41" s="10" t="e">
        <f t="shared" si="44"/>
        <v>#REF!</v>
      </c>
      <c r="Z41" s="10" t="e">
        <f t="shared" si="44"/>
        <v>#REF!</v>
      </c>
      <c r="AA41" s="10" t="e">
        <f t="shared" si="44"/>
        <v>#REF!</v>
      </c>
      <c r="AB41" s="10" t="e">
        <f t="shared" si="44"/>
        <v>#REF!</v>
      </c>
      <c r="AC41" s="10"/>
      <c r="AD41" s="132">
        <f t="shared" si="44"/>
        <v>-77004</v>
      </c>
      <c r="AE41" s="132">
        <f t="shared" si="44"/>
        <v>-767253</v>
      </c>
      <c r="AF41" s="132">
        <f t="shared" si="44"/>
        <v>-124338</v>
      </c>
      <c r="AG41" s="132">
        <f t="shared" si="44"/>
        <v>-100276</v>
      </c>
      <c r="AH41" s="132"/>
      <c r="AI41" s="134">
        <f t="shared" si="44"/>
        <v>-148060</v>
      </c>
      <c r="AJ41" s="132">
        <f t="shared" si="44"/>
        <v>-32912</v>
      </c>
      <c r="AK41" s="134">
        <f t="shared" si="44"/>
        <v>103186</v>
      </c>
      <c r="AL41" s="134">
        <f t="shared" si="44"/>
        <v>-28860</v>
      </c>
      <c r="AM41" s="134">
        <f t="shared" si="44"/>
        <v>-23360</v>
      </c>
      <c r="AN41" s="132"/>
      <c r="AO41" s="134">
        <f t="shared" si="44"/>
        <v>-52839</v>
      </c>
      <c r="AP41" s="134">
        <f t="shared" si="44"/>
        <v>74560</v>
      </c>
      <c r="AQ41" s="134">
        <f t="shared" si="44"/>
        <v>-7441</v>
      </c>
      <c r="AR41" s="134">
        <f t="shared" si="44"/>
        <v>-5242</v>
      </c>
    </row>
    <row r="42" spans="1:44" ht="32">
      <c r="A42" s="3" t="s">
        <v>68</v>
      </c>
      <c r="H42" s="7"/>
      <c r="I42" s="7"/>
      <c r="J42" s="7"/>
      <c r="K42" s="7"/>
      <c r="L42" s="153"/>
      <c r="M42" s="153"/>
      <c r="N42" s="153"/>
      <c r="V42" s="7"/>
      <c r="W42" s="3"/>
      <c r="X42" s="3"/>
      <c r="Y42" s="4" t="s">
        <v>3</v>
      </c>
      <c r="Z42" s="4" t="s">
        <v>3</v>
      </c>
      <c r="AA42" s="4" t="s">
        <v>3</v>
      </c>
      <c r="AB42" s="4"/>
      <c r="AC42" s="4"/>
      <c r="AD42" s="4" t="s">
        <v>3</v>
      </c>
      <c r="AE42" s="4" t="s">
        <v>3</v>
      </c>
      <c r="AF42" s="4" t="s">
        <v>3</v>
      </c>
      <c r="AI42" s="99"/>
      <c r="AK42" s="99"/>
      <c r="AL42" s="99"/>
      <c r="AM42" s="99"/>
      <c r="AO42" s="99"/>
      <c r="AP42" s="99"/>
      <c r="AQ42" s="99"/>
      <c r="AR42" s="99"/>
    </row>
    <row r="43" spans="1:44" ht="32">
      <c r="A43" s="38" t="s">
        <v>70</v>
      </c>
      <c r="B43" s="7">
        <v>0.84</v>
      </c>
      <c r="C43" s="7">
        <v>0.44</v>
      </c>
      <c r="D43" s="7">
        <v>0.45</v>
      </c>
      <c r="E43" s="7">
        <v>-1.1499999999999999</v>
      </c>
      <c r="F43" s="7">
        <v>-1.1299999999999999</v>
      </c>
      <c r="G43" s="5">
        <v>0</v>
      </c>
      <c r="H43" s="7">
        <f t="shared" ref="H43:M43" si="45">H$41/H44</f>
        <v>5.5445186924327254E-2</v>
      </c>
      <c r="I43" s="7">
        <f t="shared" si="45"/>
        <v>-0.21484529340436256</v>
      </c>
      <c r="J43" s="7">
        <f t="shared" si="45"/>
        <v>14.289745109662123</v>
      </c>
      <c r="K43" s="7">
        <f t="shared" si="45"/>
        <v>-9.1209157856112775</v>
      </c>
      <c r="L43" s="156">
        <f t="shared" si="45"/>
        <v>-1.0166774325231049</v>
      </c>
      <c r="M43" s="156">
        <f t="shared" si="45"/>
        <v>6.682439926062847E-2</v>
      </c>
      <c r="N43" s="156"/>
      <c r="V43" s="6"/>
      <c r="W43" s="14" t="e">
        <f>W41/W44</f>
        <v>#REF!</v>
      </c>
      <c r="X43" s="14"/>
      <c r="Y43" s="14" t="e">
        <f>Y41/Y44</f>
        <v>#REF!</v>
      </c>
      <c r="Z43" s="14" t="e">
        <f>Z41/Z44</f>
        <v>#REF!</v>
      </c>
      <c r="AA43" s="14" t="e">
        <f>AA41/AA44</f>
        <v>#REF!</v>
      </c>
      <c r="AB43" s="14" t="e">
        <f>AB41/AB44</f>
        <v>#REF!</v>
      </c>
      <c r="AC43" s="14"/>
      <c r="AD43" s="130">
        <f>AD41/AD44</f>
        <v>-0.82705733250273883</v>
      </c>
      <c r="AE43" s="130">
        <f>AE41/AE44</f>
        <v>-6.1612395506267612</v>
      </c>
      <c r="AF43" s="130">
        <f>AF41/AF44</f>
        <v>-0.9939327082184225</v>
      </c>
      <c r="AG43" s="130">
        <f>AG41/AG44</f>
        <v>-0.79668221217634483</v>
      </c>
      <c r="AH43" s="130"/>
      <c r="AI43" s="133">
        <v>7</v>
      </c>
      <c r="AJ43" s="130">
        <f>AJ41/AJ44</f>
        <v>-0.26148235836239841</v>
      </c>
      <c r="AK43" s="133">
        <f>AK41/AK44</f>
        <v>0.80614062500000006</v>
      </c>
      <c r="AL43" s="133">
        <f>AL41/AL44</f>
        <v>-0.22372093023255815</v>
      </c>
      <c r="AM43" s="133">
        <f>AM41/AM44</f>
        <v>-0.17969230769230768</v>
      </c>
      <c r="AN43" s="130"/>
      <c r="AO43" s="133">
        <f>AO41/AO44</f>
        <v>-0.3972857142857143</v>
      </c>
      <c r="AP43" s="133">
        <f>AP41/AP44</f>
        <v>0.55641791044776123</v>
      </c>
      <c r="AQ43" s="133">
        <f>AQ41/AQ44</f>
        <v>-5.4713235294117646E-2</v>
      </c>
      <c r="AR43" s="133">
        <f>AR41/AR44</f>
        <v>-3.798550724637681E-2</v>
      </c>
    </row>
    <row r="44" spans="1:44" ht="32">
      <c r="A44" s="38" t="s">
        <v>72</v>
      </c>
      <c r="B44" s="6">
        <v>48285</v>
      </c>
      <c r="C44" s="6">
        <v>49445</v>
      </c>
      <c r="D44" s="6">
        <v>53396</v>
      </c>
      <c r="E44" s="6">
        <v>58438</v>
      </c>
      <c r="F44" s="6">
        <v>59942</v>
      </c>
      <c r="G44" s="6">
        <v>61632</v>
      </c>
      <c r="H44" s="6">
        <v>66444</v>
      </c>
      <c r="I44" s="6">
        <v>73397</v>
      </c>
      <c r="J44" s="6">
        <v>75915</v>
      </c>
      <c r="K44" s="25">
        <v>117189</v>
      </c>
      <c r="L44" s="157">
        <f>AVERAGE(AI44:AM44)</f>
        <v>127873.4</v>
      </c>
      <c r="M44" s="157">
        <f>AVERAGE(AO44:AR44)</f>
        <v>135250</v>
      </c>
      <c r="N44" s="157"/>
      <c r="V44" s="5"/>
      <c r="W44" s="4">
        <v>74585</v>
      </c>
      <c r="X44" s="4"/>
      <c r="Y44" s="6">
        <v>74863</v>
      </c>
      <c r="Z44" s="6">
        <v>75758</v>
      </c>
      <c r="AA44" s="6">
        <v>76138</v>
      </c>
      <c r="AB44" s="6">
        <v>76921</v>
      </c>
      <c r="AC44" s="6"/>
      <c r="AD44" s="6">
        <v>93106</v>
      </c>
      <c r="AE44" s="6">
        <v>124529</v>
      </c>
      <c r="AF44" s="6">
        <v>125097</v>
      </c>
      <c r="AG44" s="6">
        <v>125867</v>
      </c>
      <c r="AH44" s="6"/>
      <c r="AI44" s="105">
        <v>126500</v>
      </c>
      <c r="AJ44" s="6">
        <v>125867</v>
      </c>
      <c r="AK44" s="105">
        <v>128000</v>
      </c>
      <c r="AL44" s="105">
        <v>129000</v>
      </c>
      <c r="AM44" s="105">
        <v>130000</v>
      </c>
      <c r="AN44" s="6"/>
      <c r="AO44" s="105">
        <v>133000</v>
      </c>
      <c r="AP44" s="105">
        <v>134000</v>
      </c>
      <c r="AQ44" s="105">
        <v>136000</v>
      </c>
      <c r="AR44" s="105">
        <v>138000</v>
      </c>
    </row>
    <row r="45" spans="1:44"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116"/>
      <c r="M45" s="116"/>
      <c r="N45" s="116"/>
      <c r="V45" s="32"/>
      <c r="W45" s="32"/>
      <c r="X45" s="32"/>
      <c r="Y45" s="32"/>
      <c r="Z45" s="32"/>
      <c r="AA45" s="32"/>
      <c r="AB45" s="32"/>
      <c r="AC45" s="32"/>
      <c r="AD45" s="32"/>
      <c r="AE45" s="32"/>
      <c r="AF45" s="32"/>
      <c r="AG45" s="32"/>
      <c r="AH45" s="32"/>
      <c r="AI45" s="116"/>
      <c r="AJ45" s="32"/>
      <c r="AK45" s="116"/>
      <c r="AL45" s="116"/>
      <c r="AM45" s="99"/>
      <c r="AO45" s="99"/>
      <c r="AP45" s="99"/>
      <c r="AQ45" s="99"/>
      <c r="AR45" s="99"/>
    </row>
    <row r="46" spans="1:44" outlineLevel="1">
      <c r="A46" s="81" t="s">
        <v>201</v>
      </c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116"/>
      <c r="M46" s="116"/>
      <c r="N46" s="116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32"/>
      <c r="AG46" s="32"/>
      <c r="AH46" s="32"/>
      <c r="AI46" s="116"/>
      <c r="AJ46" s="32"/>
      <c r="AK46" s="116"/>
      <c r="AL46" s="116"/>
      <c r="AM46" s="99"/>
      <c r="AO46" s="99"/>
      <c r="AP46" s="99"/>
      <c r="AQ46" s="99"/>
      <c r="AR46" s="99"/>
    </row>
    <row r="47" spans="1:44">
      <c r="A47" s="3" t="s">
        <v>219</v>
      </c>
      <c r="V47" s="4"/>
      <c r="W47" s="3"/>
      <c r="X47" s="3"/>
      <c r="Y47" s="6"/>
      <c r="Z47" s="6"/>
      <c r="AA47" s="6"/>
      <c r="AB47" s="6"/>
      <c r="AC47" s="6"/>
      <c r="AD47" s="6"/>
      <c r="AE47" s="6"/>
      <c r="AF47" s="6"/>
      <c r="AI47" s="99"/>
      <c r="AK47" s="99"/>
      <c r="AL47" s="99"/>
      <c r="AM47" s="99"/>
      <c r="AO47" s="99"/>
      <c r="AP47" s="99"/>
      <c r="AQ47" s="99"/>
      <c r="AR47" s="99"/>
    </row>
    <row r="48" spans="1:44">
      <c r="A48" s="2" t="s">
        <v>205</v>
      </c>
      <c r="C48" s="128" t="e">
        <f t="shared" ref="C48:N48" si="46">(C5-B5)/ABS(B5)</f>
        <v>#DIV/0!</v>
      </c>
      <c r="D48" s="128" t="e">
        <f t="shared" si="46"/>
        <v>#DIV/0!</v>
      </c>
      <c r="E48" s="128" t="e">
        <f t="shared" si="46"/>
        <v>#DIV/0!</v>
      </c>
      <c r="F48" s="128" t="e">
        <f t="shared" si="46"/>
        <v>#DIV/0!</v>
      </c>
      <c r="G48" s="128" t="e">
        <f t="shared" si="46"/>
        <v>#DIV/0!</v>
      </c>
      <c r="H48" s="128" t="e">
        <f t="shared" si="46"/>
        <v>#DIV/0!</v>
      </c>
      <c r="I48" s="128" t="e">
        <f t="shared" si="46"/>
        <v>#DIV/0!</v>
      </c>
      <c r="J48" s="128" t="e">
        <f t="shared" si="46"/>
        <v>#DIV/0!</v>
      </c>
      <c r="K48" s="128" t="e">
        <f t="shared" si="46"/>
        <v>#DIV/0!</v>
      </c>
      <c r="L48" s="129" t="e">
        <f t="shared" si="46"/>
        <v>#DIV/0!</v>
      </c>
      <c r="M48" s="129" t="e">
        <f t="shared" si="46"/>
        <v>#DIV/0!</v>
      </c>
      <c r="N48" s="129" t="e">
        <f t="shared" si="46"/>
        <v>#DIV/0!</v>
      </c>
      <c r="AB48" s="128" t="e">
        <f t="shared" ref="AB48:AB54" si="47">(AB5-W5)/ABS(W5)</f>
        <v>#DIV/0!</v>
      </c>
      <c r="AD48" s="128" t="e">
        <f t="shared" ref="AD48:AG54" si="48">(AD5-Y5)/ABS(Y5)</f>
        <v>#DIV/0!</v>
      </c>
      <c r="AE48" s="128" t="e">
        <f t="shared" si="48"/>
        <v>#DIV/0!</v>
      </c>
      <c r="AF48" s="128" t="e">
        <f t="shared" si="48"/>
        <v>#DIV/0!</v>
      </c>
      <c r="AG48" s="128" t="e">
        <f t="shared" si="48"/>
        <v>#DIV/0!</v>
      </c>
      <c r="AI48" s="129">
        <f t="shared" ref="AI48:AI54" si="49">(AI5-AD5)/ABS(AD5)</f>
        <v>-1</v>
      </c>
      <c r="AJ48" s="128">
        <f t="shared" ref="AJ48:AM54" si="50">(AJ5-AD5)/ABS(AD5)</f>
        <v>0.70175101911165227</v>
      </c>
      <c r="AK48" s="129" t="e">
        <f t="shared" si="50"/>
        <v>#DIV/0!</v>
      </c>
      <c r="AL48" s="129" t="e">
        <f t="shared" si="50"/>
        <v>#DIV/0!</v>
      </c>
      <c r="AM48" s="129" t="e">
        <f t="shared" si="50"/>
        <v>#DIV/0!</v>
      </c>
      <c r="AO48" s="129">
        <f t="shared" ref="AO48:AR54" si="51">(AO5-AJ5)/ABS(AJ5)</f>
        <v>-1</v>
      </c>
      <c r="AP48" s="129" t="e">
        <f t="shared" si="51"/>
        <v>#DIV/0!</v>
      </c>
      <c r="AQ48" s="129" t="e">
        <f t="shared" si="51"/>
        <v>#DIV/0!</v>
      </c>
      <c r="AR48" s="129" t="e">
        <f t="shared" si="51"/>
        <v>#DIV/0!</v>
      </c>
    </row>
    <row r="49" spans="1:45">
      <c r="A49" s="2" t="s">
        <v>206</v>
      </c>
      <c r="C49" s="128" t="e">
        <f t="shared" ref="C49:N49" si="52">(C6-B6)/ABS(B6)</f>
        <v>#DIV/0!</v>
      </c>
      <c r="D49" s="128" t="e">
        <f t="shared" si="52"/>
        <v>#DIV/0!</v>
      </c>
      <c r="E49" s="128" t="e">
        <f t="shared" si="52"/>
        <v>#DIV/0!</v>
      </c>
      <c r="F49" s="128" t="e">
        <f t="shared" si="52"/>
        <v>#DIV/0!</v>
      </c>
      <c r="G49" s="128" t="e">
        <f t="shared" si="52"/>
        <v>#DIV/0!</v>
      </c>
      <c r="H49" s="128" t="e">
        <f t="shared" si="52"/>
        <v>#DIV/0!</v>
      </c>
      <c r="I49" s="128" t="e">
        <f t="shared" si="52"/>
        <v>#DIV/0!</v>
      </c>
      <c r="J49" s="128" t="e">
        <f t="shared" si="52"/>
        <v>#DIV/0!</v>
      </c>
      <c r="K49" s="128" t="e">
        <f t="shared" si="52"/>
        <v>#DIV/0!</v>
      </c>
      <c r="L49" s="129" t="e">
        <f t="shared" si="52"/>
        <v>#DIV/0!</v>
      </c>
      <c r="M49" s="129" t="e">
        <f t="shared" si="52"/>
        <v>#DIV/0!</v>
      </c>
      <c r="N49" s="129" t="e">
        <f t="shared" si="52"/>
        <v>#DIV/0!</v>
      </c>
      <c r="AB49" s="128" t="e">
        <f t="shared" si="47"/>
        <v>#DIV/0!</v>
      </c>
      <c r="AD49" s="128" t="e">
        <f t="shared" si="48"/>
        <v>#DIV/0!</v>
      </c>
      <c r="AE49" s="128" t="e">
        <f t="shared" si="48"/>
        <v>#DIV/0!</v>
      </c>
      <c r="AF49" s="128" t="e">
        <f t="shared" si="48"/>
        <v>#DIV/0!</v>
      </c>
      <c r="AG49" s="128" t="e">
        <f t="shared" si="48"/>
        <v>#DIV/0!</v>
      </c>
      <c r="AI49" s="129">
        <f t="shared" si="49"/>
        <v>-1</v>
      </c>
      <c r="AJ49" s="128">
        <f t="shared" si="50"/>
        <v>1.2254187645236252</v>
      </c>
      <c r="AK49" s="129" t="e">
        <f t="shared" si="50"/>
        <v>#DIV/0!</v>
      </c>
      <c r="AL49" s="129" t="e">
        <f t="shared" si="50"/>
        <v>#DIV/0!</v>
      </c>
      <c r="AM49" s="129" t="e">
        <f t="shared" si="50"/>
        <v>#DIV/0!</v>
      </c>
      <c r="AO49" s="129">
        <f t="shared" si="51"/>
        <v>-1</v>
      </c>
      <c r="AP49" s="129" t="e">
        <f t="shared" si="51"/>
        <v>#DIV/0!</v>
      </c>
      <c r="AQ49" s="129" t="e">
        <f t="shared" si="51"/>
        <v>#DIV/0!</v>
      </c>
      <c r="AR49" s="129" t="e">
        <f t="shared" si="51"/>
        <v>#DIV/0!</v>
      </c>
    </row>
    <row r="50" spans="1:45">
      <c r="A50" s="2" t="s">
        <v>207</v>
      </c>
      <c r="C50" s="128" t="e">
        <f t="shared" ref="C50:N50" si="53">(C7-B7)/ABS(B7)</f>
        <v>#DIV/0!</v>
      </c>
      <c r="D50" s="128" t="e">
        <f t="shared" si="53"/>
        <v>#DIV/0!</v>
      </c>
      <c r="E50" s="128" t="e">
        <f t="shared" si="53"/>
        <v>#DIV/0!</v>
      </c>
      <c r="F50" s="128" t="e">
        <f t="shared" si="53"/>
        <v>#DIV/0!</v>
      </c>
      <c r="G50" s="128" t="e">
        <f t="shared" si="53"/>
        <v>#DIV/0!</v>
      </c>
      <c r="H50" s="128" t="e">
        <f t="shared" si="53"/>
        <v>#DIV/0!</v>
      </c>
      <c r="I50" s="128" t="e">
        <f t="shared" si="53"/>
        <v>#DIV/0!</v>
      </c>
      <c r="J50" s="128" t="e">
        <f t="shared" si="53"/>
        <v>#DIV/0!</v>
      </c>
      <c r="K50" s="128" t="e">
        <f t="shared" si="53"/>
        <v>#DIV/0!</v>
      </c>
      <c r="L50" s="129" t="e">
        <f t="shared" si="53"/>
        <v>#DIV/0!</v>
      </c>
      <c r="M50" s="129" t="e">
        <f t="shared" si="53"/>
        <v>#DIV/0!</v>
      </c>
      <c r="N50" s="129" t="e">
        <f t="shared" si="53"/>
        <v>#DIV/0!</v>
      </c>
      <c r="AB50" s="128" t="e">
        <f t="shared" si="47"/>
        <v>#DIV/0!</v>
      </c>
      <c r="AD50" s="128" t="e">
        <f t="shared" si="48"/>
        <v>#DIV/0!</v>
      </c>
      <c r="AE50" s="128" t="e">
        <f t="shared" si="48"/>
        <v>#DIV/0!</v>
      </c>
      <c r="AF50" s="128" t="e">
        <f t="shared" si="48"/>
        <v>#DIV/0!</v>
      </c>
      <c r="AG50" s="128" t="e">
        <f t="shared" si="48"/>
        <v>#DIV/0!</v>
      </c>
      <c r="AI50" s="129">
        <f t="shared" si="49"/>
        <v>-1</v>
      </c>
      <c r="AJ50" s="128">
        <f t="shared" si="50"/>
        <v>1.733421545925681</v>
      </c>
      <c r="AK50" s="129" t="e">
        <f t="shared" si="50"/>
        <v>#DIV/0!</v>
      </c>
      <c r="AL50" s="129" t="e">
        <f t="shared" si="50"/>
        <v>#DIV/0!</v>
      </c>
      <c r="AM50" s="129" t="e">
        <f t="shared" si="50"/>
        <v>#DIV/0!</v>
      </c>
      <c r="AO50" s="129">
        <f t="shared" si="51"/>
        <v>-1</v>
      </c>
      <c r="AP50" s="129" t="e">
        <f t="shared" si="51"/>
        <v>#DIV/0!</v>
      </c>
      <c r="AQ50" s="129" t="e">
        <f t="shared" si="51"/>
        <v>#DIV/0!</v>
      </c>
      <c r="AR50" s="129" t="e">
        <f t="shared" si="51"/>
        <v>#DIV/0!</v>
      </c>
    </row>
    <row r="51" spans="1:45">
      <c r="A51" s="2" t="s">
        <v>208</v>
      </c>
      <c r="C51" s="128" t="e">
        <f t="shared" ref="C51:N51" si="54">(C8-B8)/ABS(B8)</f>
        <v>#DIV/0!</v>
      </c>
      <c r="D51" s="128" t="e">
        <f t="shared" si="54"/>
        <v>#DIV/0!</v>
      </c>
      <c r="E51" s="128" t="e">
        <f t="shared" si="54"/>
        <v>#DIV/0!</v>
      </c>
      <c r="F51" s="128" t="e">
        <f t="shared" si="54"/>
        <v>#DIV/0!</v>
      </c>
      <c r="G51" s="128" t="e">
        <f t="shared" si="54"/>
        <v>#DIV/0!</v>
      </c>
      <c r="H51" s="128" t="e">
        <f t="shared" si="54"/>
        <v>#DIV/0!</v>
      </c>
      <c r="I51" s="128" t="e">
        <f t="shared" si="54"/>
        <v>#DIV/0!</v>
      </c>
      <c r="J51" s="128" t="e">
        <f t="shared" si="54"/>
        <v>#DIV/0!</v>
      </c>
      <c r="K51" s="128" t="e">
        <f t="shared" si="54"/>
        <v>#DIV/0!</v>
      </c>
      <c r="L51" s="129" t="e">
        <f t="shared" si="54"/>
        <v>#DIV/0!</v>
      </c>
      <c r="M51" s="129" t="e">
        <f t="shared" si="54"/>
        <v>#DIV/0!</v>
      </c>
      <c r="N51" s="129" t="e">
        <f t="shared" si="54"/>
        <v>#DIV/0!</v>
      </c>
      <c r="AB51" s="128" t="e">
        <f t="shared" si="47"/>
        <v>#DIV/0!</v>
      </c>
      <c r="AD51" s="128" t="e">
        <f t="shared" si="48"/>
        <v>#DIV/0!</v>
      </c>
      <c r="AE51" s="128" t="e">
        <f t="shared" si="48"/>
        <v>#DIV/0!</v>
      </c>
      <c r="AF51" s="128" t="e">
        <f t="shared" si="48"/>
        <v>#DIV/0!</v>
      </c>
      <c r="AG51" s="128" t="e">
        <f t="shared" si="48"/>
        <v>#DIV/0!</v>
      </c>
      <c r="AI51" s="129">
        <f t="shared" si="49"/>
        <v>-1</v>
      </c>
      <c r="AJ51" s="128">
        <f t="shared" si="50"/>
        <v>-6.0812699122463808E-2</v>
      </c>
      <c r="AK51" s="129" t="e">
        <f t="shared" si="50"/>
        <v>#DIV/0!</v>
      </c>
      <c r="AL51" s="129" t="e">
        <f t="shared" si="50"/>
        <v>#DIV/0!</v>
      </c>
      <c r="AM51" s="129" t="e">
        <f t="shared" si="50"/>
        <v>#DIV/0!</v>
      </c>
      <c r="AO51" s="129">
        <f t="shared" si="51"/>
        <v>-1</v>
      </c>
      <c r="AP51" s="129" t="e">
        <f t="shared" si="51"/>
        <v>#DIV/0!</v>
      </c>
      <c r="AQ51" s="129" t="e">
        <f t="shared" si="51"/>
        <v>#DIV/0!</v>
      </c>
      <c r="AR51" s="129" t="e">
        <f t="shared" si="51"/>
        <v>#DIV/0!</v>
      </c>
    </row>
    <row r="52" spans="1:45">
      <c r="A52" s="121" t="s">
        <v>210</v>
      </c>
      <c r="C52" s="128" t="e">
        <f t="shared" ref="C52:N52" si="55">(C9-B9)/ABS(B9)</f>
        <v>#DIV/0!</v>
      </c>
      <c r="D52" s="128" t="e">
        <f t="shared" si="55"/>
        <v>#DIV/0!</v>
      </c>
      <c r="E52" s="128" t="e">
        <f t="shared" si="55"/>
        <v>#DIV/0!</v>
      </c>
      <c r="F52" s="128" t="e">
        <f t="shared" si="55"/>
        <v>#DIV/0!</v>
      </c>
      <c r="G52" s="128" t="e">
        <f t="shared" si="55"/>
        <v>#DIV/0!</v>
      </c>
      <c r="H52" s="128" t="e">
        <f t="shared" si="55"/>
        <v>#DIV/0!</v>
      </c>
      <c r="I52" s="128" t="e">
        <f t="shared" si="55"/>
        <v>#DIV/0!</v>
      </c>
      <c r="J52" s="128" t="e">
        <f t="shared" si="55"/>
        <v>#DIV/0!</v>
      </c>
      <c r="K52" s="128" t="e">
        <f t="shared" si="55"/>
        <v>#DIV/0!</v>
      </c>
      <c r="L52" s="129" t="e">
        <f t="shared" si="55"/>
        <v>#DIV/0!</v>
      </c>
      <c r="M52" s="129" t="e">
        <f t="shared" si="55"/>
        <v>#DIV/0!</v>
      </c>
      <c r="N52" s="129" t="e">
        <f t="shared" si="55"/>
        <v>#DIV/0!</v>
      </c>
      <c r="AB52" s="128" t="e">
        <f t="shared" si="47"/>
        <v>#DIV/0!</v>
      </c>
      <c r="AD52" s="128" t="e">
        <f t="shared" si="48"/>
        <v>#DIV/0!</v>
      </c>
      <c r="AE52" s="128" t="e">
        <f t="shared" si="48"/>
        <v>#DIV/0!</v>
      </c>
      <c r="AF52" s="128" t="e">
        <f t="shared" si="48"/>
        <v>#DIV/0!</v>
      </c>
      <c r="AG52" s="128" t="e">
        <f t="shared" si="48"/>
        <v>#DIV/0!</v>
      </c>
      <c r="AI52" s="129">
        <f t="shared" si="49"/>
        <v>-1</v>
      </c>
      <c r="AJ52" s="128">
        <f t="shared" si="50"/>
        <v>0.55255755174948817</v>
      </c>
      <c r="AK52" s="129" t="e">
        <f t="shared" si="50"/>
        <v>#DIV/0!</v>
      </c>
      <c r="AL52" s="129" t="e">
        <f t="shared" si="50"/>
        <v>#DIV/0!</v>
      </c>
      <c r="AM52" s="129" t="e">
        <f t="shared" si="50"/>
        <v>#DIV/0!</v>
      </c>
      <c r="AO52" s="129">
        <f t="shared" si="51"/>
        <v>-1</v>
      </c>
      <c r="AP52" s="129" t="e">
        <f t="shared" si="51"/>
        <v>#DIV/0!</v>
      </c>
      <c r="AQ52" s="129" t="e">
        <f t="shared" si="51"/>
        <v>#DIV/0!</v>
      </c>
      <c r="AR52" s="129" t="e">
        <f t="shared" si="51"/>
        <v>#DIV/0!</v>
      </c>
    </row>
    <row r="53" spans="1:45">
      <c r="A53" s="121" t="s">
        <v>215</v>
      </c>
      <c r="C53" s="128" t="e">
        <f t="shared" ref="C53:N53" si="56">(C10-B10)/ABS(B10)</f>
        <v>#DIV/0!</v>
      </c>
      <c r="D53" s="128" t="e">
        <f t="shared" si="56"/>
        <v>#DIV/0!</v>
      </c>
      <c r="E53" s="128" t="e">
        <f t="shared" si="56"/>
        <v>#DIV/0!</v>
      </c>
      <c r="F53" s="128" t="e">
        <f t="shared" si="56"/>
        <v>#DIV/0!</v>
      </c>
      <c r="G53" s="128" t="e">
        <f t="shared" si="56"/>
        <v>#DIV/0!</v>
      </c>
      <c r="H53" s="128" t="e">
        <f t="shared" si="56"/>
        <v>#DIV/0!</v>
      </c>
      <c r="I53" s="128" t="e">
        <f t="shared" si="56"/>
        <v>#DIV/0!</v>
      </c>
      <c r="J53" s="128" t="e">
        <f t="shared" si="56"/>
        <v>#DIV/0!</v>
      </c>
      <c r="K53" s="128" t="e">
        <f t="shared" si="56"/>
        <v>#DIV/0!</v>
      </c>
      <c r="L53" s="129" t="e">
        <f t="shared" si="56"/>
        <v>#DIV/0!</v>
      </c>
      <c r="M53" s="129" t="e">
        <f t="shared" si="56"/>
        <v>#DIV/0!</v>
      </c>
      <c r="N53" s="129" t="e">
        <f t="shared" si="56"/>
        <v>#DIV/0!</v>
      </c>
      <c r="AB53" s="128" t="e">
        <f t="shared" si="47"/>
        <v>#DIV/0!</v>
      </c>
      <c r="AD53" s="128" t="e">
        <f t="shared" si="48"/>
        <v>#DIV/0!</v>
      </c>
      <c r="AE53" s="128" t="e">
        <f t="shared" si="48"/>
        <v>#DIV/0!</v>
      </c>
      <c r="AF53" s="128" t="e">
        <f t="shared" si="48"/>
        <v>#DIV/0!</v>
      </c>
      <c r="AG53" s="128" t="e">
        <f t="shared" si="48"/>
        <v>#DIV/0!</v>
      </c>
      <c r="AI53" s="129">
        <f t="shared" si="49"/>
        <v>-1</v>
      </c>
      <c r="AJ53" s="128">
        <f t="shared" si="50"/>
        <v>-9.492081158722758E-2</v>
      </c>
      <c r="AK53" s="129" t="e">
        <f t="shared" si="50"/>
        <v>#DIV/0!</v>
      </c>
      <c r="AL53" s="129" t="e">
        <f t="shared" si="50"/>
        <v>#DIV/0!</v>
      </c>
      <c r="AM53" s="129" t="e">
        <f t="shared" si="50"/>
        <v>#DIV/0!</v>
      </c>
      <c r="AO53" s="129">
        <f t="shared" si="51"/>
        <v>-1</v>
      </c>
      <c r="AP53" s="129" t="e">
        <f t="shared" si="51"/>
        <v>#DIV/0!</v>
      </c>
      <c r="AQ53" s="129" t="e">
        <f t="shared" si="51"/>
        <v>#DIV/0!</v>
      </c>
      <c r="AR53" s="129" t="e">
        <f t="shared" si="51"/>
        <v>#DIV/0!</v>
      </c>
    </row>
    <row r="54" spans="1:45">
      <c r="A54" s="123" t="s">
        <v>216</v>
      </c>
      <c r="B54" s="124"/>
      <c r="C54" s="128">
        <f t="shared" ref="C54:N54" si="57">(C11-B11)/ABS(B11)</f>
        <v>0.12681089434035156</v>
      </c>
      <c r="D54" s="128">
        <f t="shared" si="57"/>
        <v>0.12685351847090084</v>
      </c>
      <c r="E54" s="128">
        <f t="shared" si="57"/>
        <v>3.5521411728911538E-2</v>
      </c>
      <c r="F54" s="128">
        <f t="shared" si="57"/>
        <v>0.20449537241075363</v>
      </c>
      <c r="G54" s="128">
        <f t="shared" si="57"/>
        <v>0.19813391877058179</v>
      </c>
      <c r="H54" s="128">
        <f t="shared" si="57"/>
        <v>-1.5015015015015015E-2</v>
      </c>
      <c r="I54" s="128">
        <f t="shared" si="57"/>
        <v>0.1757441091360066</v>
      </c>
      <c r="J54" s="128">
        <f t="shared" si="57"/>
        <v>-0.14582692392212016</v>
      </c>
      <c r="K54" s="128">
        <f t="shared" si="57"/>
        <v>0.80391047080010292</v>
      </c>
      <c r="L54" s="129">
        <f t="shared" si="57"/>
        <v>6.5603696625688129E-2</v>
      </c>
      <c r="M54" s="129">
        <f t="shared" si="57"/>
        <v>6.4000000000000029E-2</v>
      </c>
      <c r="N54" s="129">
        <f t="shared" si="57"/>
        <v>6.4000000000000154E-2</v>
      </c>
      <c r="O54" s="126"/>
      <c r="W54" s="124"/>
      <c r="Y54" s="124"/>
      <c r="Z54" s="124"/>
      <c r="AA54" s="124"/>
      <c r="AB54" s="128">
        <f t="shared" si="47"/>
        <v>5.2901373795366004E-2</v>
      </c>
      <c r="AD54" s="128">
        <f t="shared" si="48"/>
        <v>0.2118970365563487</v>
      </c>
      <c r="AE54" s="128">
        <f t="shared" si="48"/>
        <v>0.965253360910031</v>
      </c>
      <c r="AF54" s="128">
        <f t="shared" si="48"/>
        <v>0.98719537381247413</v>
      </c>
      <c r="AG54" s="128">
        <f t="shared" si="48"/>
        <v>0.87400194741966897</v>
      </c>
      <c r="AI54" s="129">
        <f t="shared" si="49"/>
        <v>0.19587334451861635</v>
      </c>
      <c r="AJ54" s="128">
        <f t="shared" si="50"/>
        <v>0.47572020133509441</v>
      </c>
      <c r="AK54" s="129">
        <f t="shared" si="50"/>
        <v>8.2824668490844036E-2</v>
      </c>
      <c r="AL54" s="129">
        <f t="shared" si="50"/>
        <v>5.4874246518395342E-2</v>
      </c>
      <c r="AM54" s="129">
        <f t="shared" si="50"/>
        <v>6.2038865218746755E-2</v>
      </c>
      <c r="AO54" s="129">
        <f t="shared" si="51"/>
        <v>-0.14125403519890856</v>
      </c>
      <c r="AP54" s="129">
        <f t="shared" si="51"/>
        <v>5.9383807950238121E-2</v>
      </c>
      <c r="AQ54" s="129">
        <f t="shared" si="51"/>
        <v>6.6995073891625609E-2</v>
      </c>
      <c r="AR54" s="129">
        <f t="shared" si="51"/>
        <v>5.9686888454011738E-2</v>
      </c>
      <c r="AS54" s="124"/>
    </row>
    <row r="55" spans="1:45">
      <c r="A55" s="3" t="s">
        <v>218</v>
      </c>
      <c r="C55" s="128"/>
      <c r="D55" s="128"/>
      <c r="E55" s="128"/>
      <c r="F55" s="128"/>
      <c r="G55" s="128"/>
      <c r="H55" s="128"/>
      <c r="I55" s="128"/>
      <c r="J55" s="128"/>
      <c r="K55" s="128"/>
      <c r="L55" s="129"/>
      <c r="M55" s="129"/>
      <c r="N55" s="129"/>
      <c r="V55" s="4"/>
      <c r="W55" s="3"/>
      <c r="X55" s="3"/>
      <c r="Y55" s="6"/>
      <c r="Z55" s="6"/>
      <c r="AA55" s="6"/>
      <c r="AB55" s="128"/>
      <c r="AC55" s="6"/>
      <c r="AD55" s="128"/>
      <c r="AE55" s="128"/>
      <c r="AF55" s="128"/>
      <c r="AG55" s="128"/>
      <c r="AI55" s="129"/>
      <c r="AJ55" s="128"/>
      <c r="AK55" s="129"/>
      <c r="AL55" s="129"/>
      <c r="AM55" s="129"/>
      <c r="AO55" s="129"/>
      <c r="AP55" s="129"/>
      <c r="AQ55" s="129"/>
      <c r="AR55" s="129"/>
    </row>
    <row r="56" spans="1:45">
      <c r="A56" s="121" t="s">
        <v>210</v>
      </c>
      <c r="C56" s="128" t="e">
        <f t="shared" ref="C56:N56" si="58">(C13-B13)/ABS(B13)</f>
        <v>#DIV/0!</v>
      </c>
      <c r="D56" s="128" t="e">
        <f t="shared" si="58"/>
        <v>#DIV/0!</v>
      </c>
      <c r="E56" s="128" t="e">
        <f t="shared" si="58"/>
        <v>#DIV/0!</v>
      </c>
      <c r="F56" s="128" t="e">
        <f t="shared" si="58"/>
        <v>#DIV/0!</v>
      </c>
      <c r="G56" s="128" t="e">
        <f t="shared" si="58"/>
        <v>#DIV/0!</v>
      </c>
      <c r="H56" s="128" t="e">
        <f t="shared" si="58"/>
        <v>#DIV/0!</v>
      </c>
      <c r="I56" s="128" t="e">
        <f t="shared" si="58"/>
        <v>#DIV/0!</v>
      </c>
      <c r="J56" s="128" t="e">
        <f t="shared" si="58"/>
        <v>#DIV/0!</v>
      </c>
      <c r="K56" s="128" t="e">
        <f t="shared" si="58"/>
        <v>#DIV/0!</v>
      </c>
      <c r="L56" s="129" t="e">
        <f t="shared" si="58"/>
        <v>#DIV/0!</v>
      </c>
      <c r="M56" s="129">
        <f t="shared" si="58"/>
        <v>5.6000000000000043E-2</v>
      </c>
      <c r="N56" s="129">
        <f t="shared" si="58"/>
        <v>5.6000000000000119E-2</v>
      </c>
      <c r="AB56" s="128" t="e">
        <f t="shared" ref="AB56:AB63" si="59">(AB13-W13)/ABS(W13)</f>
        <v>#DIV/0!</v>
      </c>
      <c r="AD56" s="128" t="e">
        <f t="shared" ref="AD56:AG63" si="60">(AD13-Y13)/ABS(Y13)</f>
        <v>#DIV/0!</v>
      </c>
      <c r="AE56" s="128" t="e">
        <f t="shared" si="60"/>
        <v>#DIV/0!</v>
      </c>
      <c r="AF56" s="128" t="e">
        <f t="shared" si="60"/>
        <v>#DIV/0!</v>
      </c>
      <c r="AG56" s="128" t="e">
        <f t="shared" si="60"/>
        <v>#DIV/0!</v>
      </c>
      <c r="AI56" s="129">
        <f t="shared" ref="AI56:AI63" si="61">(AI13-AD13)/ABS(AD13)</f>
        <v>-1</v>
      </c>
      <c r="AJ56" s="128">
        <f t="shared" ref="AJ56:AM63" si="62">(AJ13-AD13)/ABS(AD13)</f>
        <v>8.9916609595939251E-2</v>
      </c>
      <c r="AK56" s="129" t="e">
        <f t="shared" si="62"/>
        <v>#DIV/0!</v>
      </c>
      <c r="AL56" s="129" t="e">
        <f t="shared" si="62"/>
        <v>#DIV/0!</v>
      </c>
      <c r="AM56" s="129" t="e">
        <f t="shared" si="62"/>
        <v>#DIV/0!</v>
      </c>
      <c r="AO56" s="129">
        <f t="shared" ref="AO56:AR63" si="63">(AO13-AJ13)/ABS(AJ13)</f>
        <v>-1</v>
      </c>
      <c r="AP56" s="129" t="e">
        <f t="shared" si="63"/>
        <v>#DIV/0!</v>
      </c>
      <c r="AQ56" s="129" t="e">
        <f t="shared" si="63"/>
        <v>#DIV/0!</v>
      </c>
      <c r="AR56" s="129" t="e">
        <f t="shared" si="63"/>
        <v>#DIV/0!</v>
      </c>
    </row>
    <row r="57" spans="1:45">
      <c r="A57" s="2" t="s">
        <v>211</v>
      </c>
      <c r="C57" s="128" t="e">
        <f t="shared" ref="C57:N57" si="64">(C14-B14)/ABS(B14)</f>
        <v>#DIV/0!</v>
      </c>
      <c r="D57" s="128" t="e">
        <f t="shared" si="64"/>
        <v>#DIV/0!</v>
      </c>
      <c r="E57" s="128" t="e">
        <f t="shared" si="64"/>
        <v>#DIV/0!</v>
      </c>
      <c r="F57" s="128" t="e">
        <f t="shared" si="64"/>
        <v>#DIV/0!</v>
      </c>
      <c r="G57" s="128" t="e">
        <f t="shared" si="64"/>
        <v>#DIV/0!</v>
      </c>
      <c r="H57" s="128" t="e">
        <f t="shared" si="64"/>
        <v>#DIV/0!</v>
      </c>
      <c r="I57" s="128" t="e">
        <f t="shared" si="64"/>
        <v>#DIV/0!</v>
      </c>
      <c r="J57" s="128" t="e">
        <f t="shared" si="64"/>
        <v>#DIV/0!</v>
      </c>
      <c r="K57" s="128" t="e">
        <f t="shared" si="64"/>
        <v>#DIV/0!</v>
      </c>
      <c r="L57" s="129" t="e">
        <f t="shared" si="64"/>
        <v>#DIV/0!</v>
      </c>
      <c r="M57" s="129">
        <f t="shared" si="64"/>
        <v>5.6000000000000036E-2</v>
      </c>
      <c r="N57" s="129">
        <f t="shared" si="64"/>
        <v>5.6000000000000098E-2</v>
      </c>
      <c r="AB57" s="128" t="e">
        <f t="shared" si="59"/>
        <v>#DIV/0!</v>
      </c>
      <c r="AD57" s="128" t="e">
        <f t="shared" si="60"/>
        <v>#DIV/0!</v>
      </c>
      <c r="AE57" s="128" t="e">
        <f t="shared" si="60"/>
        <v>#DIV/0!</v>
      </c>
      <c r="AF57" s="128" t="e">
        <f t="shared" si="60"/>
        <v>#DIV/0!</v>
      </c>
      <c r="AG57" s="128" t="e">
        <f t="shared" si="60"/>
        <v>#DIV/0!</v>
      </c>
      <c r="AI57" s="129">
        <f t="shared" si="61"/>
        <v>-1</v>
      </c>
      <c r="AJ57" s="128">
        <f t="shared" si="62"/>
        <v>-2.0626014538781847E-2</v>
      </c>
      <c r="AK57" s="129" t="e">
        <f t="shared" si="62"/>
        <v>#DIV/0!</v>
      </c>
      <c r="AL57" s="129" t="e">
        <f t="shared" si="62"/>
        <v>#DIV/0!</v>
      </c>
      <c r="AM57" s="129" t="e">
        <f t="shared" si="62"/>
        <v>#DIV/0!</v>
      </c>
      <c r="AO57" s="129">
        <f t="shared" si="63"/>
        <v>-1</v>
      </c>
      <c r="AP57" s="129" t="e">
        <f t="shared" si="63"/>
        <v>#DIV/0!</v>
      </c>
      <c r="AQ57" s="129" t="e">
        <f t="shared" si="63"/>
        <v>#DIV/0!</v>
      </c>
      <c r="AR57" s="129" t="e">
        <f t="shared" si="63"/>
        <v>#DIV/0!</v>
      </c>
    </row>
    <row r="58" spans="1:45">
      <c r="A58" s="2" t="s">
        <v>212</v>
      </c>
      <c r="C58" s="128" t="e">
        <f t="shared" ref="C58:N58" si="65">(C15-B15)/ABS(B15)</f>
        <v>#DIV/0!</v>
      </c>
      <c r="D58" s="128" t="e">
        <f t="shared" si="65"/>
        <v>#DIV/0!</v>
      </c>
      <c r="E58" s="128" t="e">
        <f t="shared" si="65"/>
        <v>#DIV/0!</v>
      </c>
      <c r="F58" s="128" t="e">
        <f t="shared" si="65"/>
        <v>#DIV/0!</v>
      </c>
      <c r="G58" s="128" t="e">
        <f t="shared" si="65"/>
        <v>#DIV/0!</v>
      </c>
      <c r="H58" s="128" t="e">
        <f t="shared" si="65"/>
        <v>#DIV/0!</v>
      </c>
      <c r="I58" s="128" t="e">
        <f t="shared" si="65"/>
        <v>#DIV/0!</v>
      </c>
      <c r="J58" s="128" t="e">
        <f t="shared" si="65"/>
        <v>#DIV/0!</v>
      </c>
      <c r="K58" s="128" t="e">
        <f t="shared" si="65"/>
        <v>#DIV/0!</v>
      </c>
      <c r="L58" s="129" t="e">
        <f t="shared" si="65"/>
        <v>#DIV/0!</v>
      </c>
      <c r="M58" s="129">
        <f t="shared" si="65"/>
        <v>8.000000000000014E-2</v>
      </c>
      <c r="N58" s="129">
        <f t="shared" si="65"/>
        <v>8.0000000000000043E-2</v>
      </c>
      <c r="AB58" s="128" t="e">
        <f t="shared" si="59"/>
        <v>#DIV/0!</v>
      </c>
      <c r="AD58" s="128" t="e">
        <f t="shared" si="60"/>
        <v>#DIV/0!</v>
      </c>
      <c r="AE58" s="128" t="e">
        <f t="shared" si="60"/>
        <v>#DIV/0!</v>
      </c>
      <c r="AF58" s="128" t="e">
        <f t="shared" si="60"/>
        <v>#DIV/0!</v>
      </c>
      <c r="AG58" s="128" t="e">
        <f t="shared" si="60"/>
        <v>#DIV/0!</v>
      </c>
      <c r="AI58" s="129">
        <f t="shared" si="61"/>
        <v>-1</v>
      </c>
      <c r="AJ58" s="128">
        <f t="shared" si="62"/>
        <v>1.2695649771367787E-2</v>
      </c>
      <c r="AK58" s="129" t="e">
        <f t="shared" si="62"/>
        <v>#DIV/0!</v>
      </c>
      <c r="AL58" s="129" t="e">
        <f t="shared" si="62"/>
        <v>#DIV/0!</v>
      </c>
      <c r="AM58" s="129" t="e">
        <f t="shared" si="62"/>
        <v>#DIV/0!</v>
      </c>
      <c r="AO58" s="129">
        <f t="shared" si="63"/>
        <v>-1</v>
      </c>
      <c r="AP58" s="129" t="e">
        <f t="shared" si="63"/>
        <v>#DIV/0!</v>
      </c>
      <c r="AQ58" s="129" t="e">
        <f t="shared" si="63"/>
        <v>#DIV/0!</v>
      </c>
      <c r="AR58" s="129" t="e">
        <f t="shared" si="63"/>
        <v>#DIV/0!</v>
      </c>
    </row>
    <row r="59" spans="1:45">
      <c r="A59" s="2" t="s">
        <v>213</v>
      </c>
      <c r="C59" s="128" t="e">
        <f t="shared" ref="C59:N59" si="66">(C16-B16)/ABS(B16)</f>
        <v>#DIV/0!</v>
      </c>
      <c r="D59" s="128" t="e">
        <f t="shared" si="66"/>
        <v>#DIV/0!</v>
      </c>
      <c r="E59" s="128" t="e">
        <f t="shared" si="66"/>
        <v>#DIV/0!</v>
      </c>
      <c r="F59" s="128" t="e">
        <f t="shared" si="66"/>
        <v>#DIV/0!</v>
      </c>
      <c r="G59" s="128" t="e">
        <f t="shared" si="66"/>
        <v>#DIV/0!</v>
      </c>
      <c r="H59" s="128" t="e">
        <f t="shared" si="66"/>
        <v>#DIV/0!</v>
      </c>
      <c r="I59" s="128" t="e">
        <f t="shared" si="66"/>
        <v>#DIV/0!</v>
      </c>
      <c r="J59" s="128" t="e">
        <f t="shared" si="66"/>
        <v>#DIV/0!</v>
      </c>
      <c r="K59" s="128" t="e">
        <f t="shared" si="66"/>
        <v>#DIV/0!</v>
      </c>
      <c r="L59" s="129" t="e">
        <f t="shared" si="66"/>
        <v>#DIV/0!</v>
      </c>
      <c r="M59" s="129">
        <f t="shared" si="66"/>
        <v>8.0000000000000168E-2</v>
      </c>
      <c r="N59" s="129">
        <f t="shared" si="66"/>
        <v>7.999999999999996E-2</v>
      </c>
      <c r="AB59" s="128" t="e">
        <f t="shared" si="59"/>
        <v>#DIV/0!</v>
      </c>
      <c r="AD59" s="128" t="e">
        <f t="shared" si="60"/>
        <v>#DIV/0!</v>
      </c>
      <c r="AE59" s="128" t="e">
        <f t="shared" si="60"/>
        <v>#DIV/0!</v>
      </c>
      <c r="AF59" s="128" t="e">
        <f t="shared" si="60"/>
        <v>#DIV/0!</v>
      </c>
      <c r="AG59" s="128" t="e">
        <f t="shared" si="60"/>
        <v>#DIV/0!</v>
      </c>
      <c r="AI59" s="129">
        <f t="shared" si="61"/>
        <v>-1</v>
      </c>
      <c r="AJ59" s="128">
        <f t="shared" si="62"/>
        <v>0.91017547613952487</v>
      </c>
      <c r="AK59" s="129" t="e">
        <f t="shared" si="62"/>
        <v>#DIV/0!</v>
      </c>
      <c r="AL59" s="129" t="e">
        <f t="shared" si="62"/>
        <v>#DIV/0!</v>
      </c>
      <c r="AM59" s="129" t="e">
        <f t="shared" si="62"/>
        <v>#DIV/0!</v>
      </c>
      <c r="AO59" s="129">
        <f t="shared" si="63"/>
        <v>-1</v>
      </c>
      <c r="AP59" s="129" t="e">
        <f t="shared" si="63"/>
        <v>#DIV/0!</v>
      </c>
      <c r="AQ59" s="129" t="e">
        <f t="shared" si="63"/>
        <v>#DIV/0!</v>
      </c>
      <c r="AR59" s="129" t="e">
        <f t="shared" si="63"/>
        <v>#DIV/0!</v>
      </c>
    </row>
    <row r="60" spans="1:45">
      <c r="A60" s="2" t="s">
        <v>214</v>
      </c>
      <c r="C60" s="128" t="e">
        <f t="shared" ref="C60:N60" si="67">(C17-B17)/ABS(B17)</f>
        <v>#DIV/0!</v>
      </c>
      <c r="D60" s="128" t="e">
        <f t="shared" si="67"/>
        <v>#DIV/0!</v>
      </c>
      <c r="E60" s="128" t="e">
        <f t="shared" si="67"/>
        <v>#DIV/0!</v>
      </c>
      <c r="F60" s="128" t="e">
        <f t="shared" si="67"/>
        <v>#DIV/0!</v>
      </c>
      <c r="G60" s="128" t="e">
        <f t="shared" si="67"/>
        <v>#DIV/0!</v>
      </c>
      <c r="H60" s="128" t="e">
        <f t="shared" si="67"/>
        <v>#DIV/0!</v>
      </c>
      <c r="I60" s="128" t="e">
        <f t="shared" si="67"/>
        <v>#DIV/0!</v>
      </c>
      <c r="J60" s="128" t="e">
        <f t="shared" si="67"/>
        <v>#DIV/0!</v>
      </c>
      <c r="K60" s="128" t="e">
        <f t="shared" si="67"/>
        <v>#DIV/0!</v>
      </c>
      <c r="L60" s="129" t="e">
        <f t="shared" si="67"/>
        <v>#DIV/0!</v>
      </c>
      <c r="M60" s="129">
        <f t="shared" si="67"/>
        <v>7.9999999999999974E-2</v>
      </c>
      <c r="N60" s="129">
        <f t="shared" si="67"/>
        <v>7.9999999999999863E-2</v>
      </c>
      <c r="AB60" s="128" t="e">
        <f t="shared" si="59"/>
        <v>#DIV/0!</v>
      </c>
      <c r="AD60" s="128" t="e">
        <f t="shared" si="60"/>
        <v>#DIV/0!</v>
      </c>
      <c r="AE60" s="128" t="e">
        <f t="shared" si="60"/>
        <v>#DIV/0!</v>
      </c>
      <c r="AF60" s="128" t="e">
        <f t="shared" si="60"/>
        <v>#DIV/0!</v>
      </c>
      <c r="AG60" s="128" t="e">
        <f t="shared" si="60"/>
        <v>#DIV/0!</v>
      </c>
      <c r="AI60" s="129">
        <f t="shared" si="61"/>
        <v>-1</v>
      </c>
      <c r="AJ60" s="128">
        <f t="shared" si="62"/>
        <v>12.187899941826643</v>
      </c>
      <c r="AK60" s="129" t="e">
        <f t="shared" si="62"/>
        <v>#DIV/0!</v>
      </c>
      <c r="AL60" s="129" t="e">
        <f t="shared" si="62"/>
        <v>#DIV/0!</v>
      </c>
      <c r="AM60" s="129" t="e">
        <f t="shared" si="62"/>
        <v>#DIV/0!</v>
      </c>
      <c r="AO60" s="129">
        <f t="shared" si="63"/>
        <v>-1</v>
      </c>
      <c r="AP60" s="129" t="e">
        <f t="shared" si="63"/>
        <v>#DIV/0!</v>
      </c>
      <c r="AQ60" s="129" t="e">
        <f t="shared" si="63"/>
        <v>#DIV/0!</v>
      </c>
      <c r="AR60" s="129" t="e">
        <f t="shared" si="63"/>
        <v>#DIV/0!</v>
      </c>
    </row>
    <row r="61" spans="1:45">
      <c r="A61" s="121" t="s">
        <v>215</v>
      </c>
      <c r="C61" s="128" t="e">
        <f t="shared" ref="C61:N61" si="68">(C18-B18)/ABS(B18)</f>
        <v>#DIV/0!</v>
      </c>
      <c r="D61" s="128" t="e">
        <f t="shared" si="68"/>
        <v>#DIV/0!</v>
      </c>
      <c r="E61" s="128" t="e">
        <f t="shared" si="68"/>
        <v>#DIV/0!</v>
      </c>
      <c r="F61" s="128" t="e">
        <f t="shared" si="68"/>
        <v>#DIV/0!</v>
      </c>
      <c r="G61" s="128" t="e">
        <f t="shared" si="68"/>
        <v>#DIV/0!</v>
      </c>
      <c r="H61" s="128" t="e">
        <f t="shared" si="68"/>
        <v>#DIV/0!</v>
      </c>
      <c r="I61" s="128" t="e">
        <f t="shared" si="68"/>
        <v>#DIV/0!</v>
      </c>
      <c r="J61" s="128" t="e">
        <f t="shared" si="68"/>
        <v>#DIV/0!</v>
      </c>
      <c r="K61" s="128" t="e">
        <f t="shared" si="68"/>
        <v>#DIV/0!</v>
      </c>
      <c r="L61" s="129" t="e">
        <f t="shared" si="68"/>
        <v>#DIV/0!</v>
      </c>
      <c r="M61" s="129">
        <f t="shared" si="68"/>
        <v>7.4575045914897567E-2</v>
      </c>
      <c r="N61" s="129">
        <f t="shared" si="68"/>
        <v>7.4668821376742037E-2</v>
      </c>
      <c r="AB61" s="128" t="e">
        <f t="shared" si="59"/>
        <v>#DIV/0!</v>
      </c>
      <c r="AD61" s="128" t="e">
        <f t="shared" si="60"/>
        <v>#DIV/0!</v>
      </c>
      <c r="AE61" s="128" t="e">
        <f t="shared" si="60"/>
        <v>#DIV/0!</v>
      </c>
      <c r="AF61" s="128" t="e">
        <f t="shared" si="60"/>
        <v>#DIV/0!</v>
      </c>
      <c r="AG61" s="128" t="e">
        <f t="shared" si="60"/>
        <v>#DIV/0!</v>
      </c>
      <c r="AI61" s="129">
        <f t="shared" si="61"/>
        <v>-1</v>
      </c>
      <c r="AJ61" s="128">
        <f t="shared" si="62"/>
        <v>0.44546605056361654</v>
      </c>
      <c r="AK61" s="129" t="e">
        <f t="shared" si="62"/>
        <v>#DIV/0!</v>
      </c>
      <c r="AL61" s="129" t="e">
        <f t="shared" si="62"/>
        <v>#DIV/0!</v>
      </c>
      <c r="AM61" s="129" t="e">
        <f t="shared" si="62"/>
        <v>#DIV/0!</v>
      </c>
      <c r="AO61" s="129">
        <f t="shared" si="63"/>
        <v>-1</v>
      </c>
      <c r="AP61" s="129" t="e">
        <f t="shared" si="63"/>
        <v>#DIV/0!</v>
      </c>
      <c r="AQ61" s="129" t="e">
        <f t="shared" si="63"/>
        <v>#DIV/0!</v>
      </c>
      <c r="AR61" s="129" t="e">
        <f t="shared" si="63"/>
        <v>#DIV/0!</v>
      </c>
    </row>
    <row r="62" spans="1:45">
      <c r="A62" s="123" t="s">
        <v>217</v>
      </c>
      <c r="B62" s="124"/>
      <c r="C62" s="128">
        <f t="shared" ref="C62:N62" si="69">(C19-B19)/ABS(B19)</f>
        <v>-0.27772976087582829</v>
      </c>
      <c r="D62" s="128">
        <f t="shared" si="69"/>
        <v>-2.4331870761866773E-2</v>
      </c>
      <c r="E62" s="128">
        <f t="shared" si="69"/>
        <v>-4.6606704824202781E-2</v>
      </c>
      <c r="F62" s="128">
        <f t="shared" si="69"/>
        <v>0.83704974271012011</v>
      </c>
      <c r="G62" s="128">
        <f t="shared" si="69"/>
        <v>-0.19561157796451914</v>
      </c>
      <c r="H62" s="128">
        <f t="shared" si="69"/>
        <v>-6.877539175856065E-2</v>
      </c>
      <c r="I62" s="128">
        <f t="shared" si="69"/>
        <v>0.59582424431287007</v>
      </c>
      <c r="J62" s="128">
        <f t="shared" si="69"/>
        <v>0.19625073227885179</v>
      </c>
      <c r="K62" s="128">
        <f t="shared" si="69"/>
        <v>0.26983349657198824</v>
      </c>
      <c r="L62" s="129">
        <f t="shared" si="69"/>
        <v>4.7692505463427175E-2</v>
      </c>
      <c r="M62" s="129">
        <f t="shared" si="69"/>
        <v>2.9693251533742332E-2</v>
      </c>
      <c r="N62" s="129">
        <f t="shared" si="69"/>
        <v>0</v>
      </c>
      <c r="Y62" s="124"/>
      <c r="Z62" s="124"/>
      <c r="AA62" s="124"/>
      <c r="AB62" s="128" t="e">
        <f t="shared" si="59"/>
        <v>#DIV/0!</v>
      </c>
      <c r="AD62" s="128">
        <f t="shared" si="60"/>
        <v>0.94619680851063825</v>
      </c>
      <c r="AE62" s="128">
        <f t="shared" si="60"/>
        <v>0.52888888888888885</v>
      </c>
      <c r="AF62" s="128">
        <f t="shared" si="60"/>
        <v>-4.7846889952153108E-3</v>
      </c>
      <c r="AG62" s="128">
        <f t="shared" si="60"/>
        <v>0.23001310615989515</v>
      </c>
      <c r="AI62" s="129">
        <f t="shared" si="61"/>
        <v>-0.29394937389252546</v>
      </c>
      <c r="AJ62" s="128">
        <f t="shared" si="62"/>
        <v>0.36506005985487244</v>
      </c>
      <c r="AK62" s="129">
        <f t="shared" si="62"/>
        <v>5.3779069767441859E-2</v>
      </c>
      <c r="AL62" s="129">
        <f t="shared" si="62"/>
        <v>5.1682692307692304E-2</v>
      </c>
      <c r="AM62" s="129">
        <f t="shared" si="62"/>
        <v>3.8891848694725624E-2</v>
      </c>
      <c r="AO62" s="129">
        <f t="shared" si="63"/>
        <v>-0.46608469898856419</v>
      </c>
      <c r="AP62" s="129">
        <f t="shared" si="63"/>
        <v>4.1379310344827587E-3</v>
      </c>
      <c r="AQ62" s="129">
        <f t="shared" si="63"/>
        <v>7.4285714285714288E-2</v>
      </c>
      <c r="AR62" s="129">
        <f t="shared" si="63"/>
        <v>2.564102564102564E-2</v>
      </c>
    </row>
    <row r="63" spans="1:45" ht="17">
      <c r="A63" s="77" t="s">
        <v>35</v>
      </c>
      <c r="B63" s="80"/>
      <c r="C63" s="128">
        <f t="shared" ref="C63:N63" si="70">(C20-B20)/ABS(B20)</f>
        <v>2.5244122965641953E-2</v>
      </c>
      <c r="D63" s="128">
        <f t="shared" si="70"/>
        <v>0.10011288274305066</v>
      </c>
      <c r="E63" s="128">
        <f t="shared" si="70"/>
        <v>2.2638363368178028E-2</v>
      </c>
      <c r="F63" s="128">
        <f t="shared" si="70"/>
        <v>0.29700238304276932</v>
      </c>
      <c r="G63" s="128">
        <f t="shared" si="70"/>
        <v>0.11657479934242336</v>
      </c>
      <c r="H63" s="128">
        <f t="shared" si="70"/>
        <v>-2.3037284025462262E-2</v>
      </c>
      <c r="I63" s="128">
        <f t="shared" si="70"/>
        <v>0.23549488054607509</v>
      </c>
      <c r="J63" s="128">
        <f t="shared" si="70"/>
        <v>-8.2980555356245961E-2</v>
      </c>
      <c r="K63" s="128">
        <f t="shared" si="70"/>
        <v>0.67591252298423377</v>
      </c>
      <c r="L63" s="129">
        <f>(L20-K20)/ABS(K20)</f>
        <v>6.2351183528642794E-2</v>
      </c>
      <c r="M63" s="129">
        <f t="shared" si="70"/>
        <v>5.7856160319936636E-2</v>
      </c>
      <c r="N63" s="129">
        <f t="shared" si="70"/>
        <v>5.284366524548164E-2</v>
      </c>
      <c r="W63" s="80"/>
      <c r="X63" s="80"/>
      <c r="Y63" s="80"/>
      <c r="Z63" s="80"/>
      <c r="AA63" s="80"/>
      <c r="AB63" s="128">
        <f t="shared" si="59"/>
        <v>0.36579864670904244</v>
      </c>
      <c r="AC63" s="80"/>
      <c r="AD63" s="128">
        <f t="shared" si="60"/>
        <v>0.35592244826986613</v>
      </c>
      <c r="AE63" s="128">
        <f t="shared" si="60"/>
        <v>0.84687264506405424</v>
      </c>
      <c r="AF63" s="128">
        <f t="shared" si="60"/>
        <v>0.73257599017500763</v>
      </c>
      <c r="AG63" s="128">
        <f t="shared" si="60"/>
        <v>0.72646749737276684</v>
      </c>
      <c r="AI63" s="129">
        <f t="shared" si="61"/>
        <v>5.7975790949113287E-2</v>
      </c>
      <c r="AJ63" s="128">
        <f t="shared" si="62"/>
        <v>0.4445665569364099</v>
      </c>
      <c r="AK63" s="129">
        <f t="shared" si="62"/>
        <v>7.6301615798922806E-2</v>
      </c>
      <c r="AL63" s="129">
        <f t="shared" si="62"/>
        <v>5.440368598263335E-2</v>
      </c>
      <c r="AM63" s="129">
        <f t="shared" si="62"/>
        <v>5.8260869565217394E-2</v>
      </c>
      <c r="AN63" s="18"/>
      <c r="AO63" s="129">
        <f t="shared" si="63"/>
        <v>-0.22766898070060188</v>
      </c>
      <c r="AP63" s="129">
        <f t="shared" si="63"/>
        <v>4.723633330805975E-2</v>
      </c>
      <c r="AQ63" s="129">
        <f t="shared" si="63"/>
        <v>6.8067226890756297E-2</v>
      </c>
      <c r="AR63" s="129">
        <f t="shared" si="63"/>
        <v>5.4231717337715694E-2</v>
      </c>
    </row>
    <row r="64" spans="1:45">
      <c r="A64" s="3" t="s">
        <v>36</v>
      </c>
      <c r="B64" s="6"/>
      <c r="C64" s="128" t="e">
        <f t="shared" ref="C64:N64" si="71">(C21-B21)/ABS(B21)</f>
        <v>#DIV/0!</v>
      </c>
      <c r="D64" s="128" t="e">
        <f t="shared" si="71"/>
        <v>#DIV/0!</v>
      </c>
      <c r="E64" s="128" t="e">
        <f t="shared" si="71"/>
        <v>#DIV/0!</v>
      </c>
      <c r="F64" s="128" t="e">
        <f t="shared" si="71"/>
        <v>#DIV/0!</v>
      </c>
      <c r="G64" s="128" t="e">
        <f t="shared" si="71"/>
        <v>#DIV/0!</v>
      </c>
      <c r="H64" s="128" t="e">
        <f t="shared" si="71"/>
        <v>#DIV/0!</v>
      </c>
      <c r="I64" s="128" t="e">
        <f t="shared" si="71"/>
        <v>#DIV/0!</v>
      </c>
      <c r="J64" s="128" t="e">
        <f t="shared" si="71"/>
        <v>#DIV/0!</v>
      </c>
      <c r="K64" s="128" t="e">
        <f t="shared" si="71"/>
        <v>#DIV/0!</v>
      </c>
      <c r="L64" s="129" t="e">
        <f t="shared" si="71"/>
        <v>#DIV/0!</v>
      </c>
      <c r="M64" s="129" t="e">
        <f t="shared" si="71"/>
        <v>#DIV/0!</v>
      </c>
      <c r="N64" s="129" t="e">
        <f t="shared" si="71"/>
        <v>#DIV/0!</v>
      </c>
      <c r="V64" s="6"/>
      <c r="W64" s="3"/>
      <c r="X64" s="3"/>
      <c r="Y64" s="4"/>
      <c r="Z64" s="4"/>
      <c r="AA64" s="4"/>
      <c r="AB64" s="128"/>
      <c r="AC64" s="4"/>
      <c r="AD64" s="128"/>
      <c r="AE64" s="128"/>
      <c r="AF64" s="128"/>
      <c r="AG64" s="128"/>
      <c r="AI64" s="129"/>
      <c r="AJ64" s="128"/>
      <c r="AK64" s="129"/>
      <c r="AL64" s="129"/>
      <c r="AM64" s="129"/>
      <c r="AO64" s="129"/>
      <c r="AP64" s="129"/>
      <c r="AQ64" s="129"/>
      <c r="AR64" s="129"/>
    </row>
    <row r="65" spans="1:44">
      <c r="A65" s="38" t="s">
        <v>103</v>
      </c>
      <c r="B65" s="6"/>
      <c r="C65" s="128">
        <f t="shared" ref="C65:N65" si="72">(C22-B22)/ABS(B22)</f>
        <v>-5.8205947066602759E-2</v>
      </c>
      <c r="D65" s="128">
        <f t="shared" si="72"/>
        <v>7.1088981821006203E-2</v>
      </c>
      <c r="E65" s="128">
        <f t="shared" si="72"/>
        <v>5.6583070305671855E-2</v>
      </c>
      <c r="F65" s="128">
        <f t="shared" si="72"/>
        <v>0.50714586302122</v>
      </c>
      <c r="G65" s="128">
        <f t="shared" si="72"/>
        <v>1.3523521460276678E-2</v>
      </c>
      <c r="H65" s="128">
        <f t="shared" si="72"/>
        <v>-8.3787660048926585E-2</v>
      </c>
      <c r="I65" s="128">
        <f t="shared" si="72"/>
        <v>0.17993451999179241</v>
      </c>
      <c r="J65" s="128">
        <f t="shared" si="72"/>
        <v>-0.19454503496029302</v>
      </c>
      <c r="K65" s="128">
        <f t="shared" si="72"/>
        <v>0.32171944718282131</v>
      </c>
      <c r="L65" s="129">
        <f t="shared" si="72"/>
        <v>4.4851162193399255E-2</v>
      </c>
      <c r="M65" s="129">
        <f t="shared" si="72"/>
        <v>4.2248424828323985E-2</v>
      </c>
      <c r="N65" s="129">
        <f t="shared" si="72"/>
        <v>-1</v>
      </c>
      <c r="V65" s="6"/>
      <c r="W65" s="4"/>
      <c r="X65" s="4"/>
      <c r="Y65" s="6"/>
      <c r="Z65" s="6"/>
      <c r="AA65" s="6"/>
      <c r="AB65" s="128">
        <f t="shared" ref="AB65:AB72" si="73">(AB22-W22)/ABS(W22)</f>
        <v>-6.6461974916282876E-2</v>
      </c>
      <c r="AC65" s="6"/>
      <c r="AD65" s="128">
        <f t="shared" ref="AD65:AG72" si="74">(AD22-Y22)/ABS(Y22)</f>
        <v>0.3216422114327101</v>
      </c>
      <c r="AE65" s="128">
        <f t="shared" si="74"/>
        <v>0.4583345293796825</v>
      </c>
      <c r="AF65" s="128">
        <f t="shared" si="74"/>
        <v>0.23073736334969319</v>
      </c>
      <c r="AG65" s="128">
        <f t="shared" si="74"/>
        <v>0.29711301738729035</v>
      </c>
      <c r="AH65" s="6"/>
      <c r="AI65" s="129">
        <f t="shared" ref="AI65:AI72" si="75">(AI22-AD22)/ABS(AD22)</f>
        <v>1.8672809750454135E-2</v>
      </c>
      <c r="AJ65" s="128">
        <f t="shared" ref="AJ65:AM72" si="76">(AJ22-AD22)/ABS(AD22)</f>
        <v>-1.4816468606338607E-2</v>
      </c>
      <c r="AK65" s="129">
        <f t="shared" si="76"/>
        <v>0.10525942839146524</v>
      </c>
      <c r="AL65" s="129">
        <f t="shared" si="76"/>
        <v>6.9456159734515022E-2</v>
      </c>
      <c r="AM65" s="129">
        <f t="shared" si="76"/>
        <v>8.526160484582478E-3</v>
      </c>
      <c r="AN65" s="6"/>
      <c r="AO65" s="129">
        <f t="shared" ref="AO65:AR72" si="77">(AO22-AJ22)/ABS(AJ22)</f>
        <v>5.5841119088577341E-2</v>
      </c>
      <c r="AP65" s="129">
        <f t="shared" si="77"/>
        <v>1.5109097514585515E-2</v>
      </c>
      <c r="AQ65" s="129">
        <f t="shared" si="77"/>
        <v>5.5328855282939224E-2</v>
      </c>
      <c r="AR65" s="129">
        <f t="shared" si="77"/>
        <v>4.7570738592506011E-2</v>
      </c>
    </row>
    <row r="66" spans="1:44">
      <c r="A66" s="38" t="s">
        <v>104</v>
      </c>
      <c r="B66" s="6"/>
      <c r="C66" s="128">
        <f t="shared" ref="C66:N66" si="78">(C23-B23)/ABS(B23)</f>
        <v>0.11400644869507302</v>
      </c>
      <c r="D66" s="128">
        <f t="shared" si="78"/>
        <v>6.0290972108608579E-2</v>
      </c>
      <c r="E66" s="128">
        <f t="shared" si="78"/>
        <v>8.0365902211452928E-2</v>
      </c>
      <c r="F66" s="128">
        <f t="shared" si="78"/>
        <v>0.23999844834669576</v>
      </c>
      <c r="G66" s="128">
        <f t="shared" si="78"/>
        <v>8.6286649536650606E-2</v>
      </c>
      <c r="H66" s="128">
        <f t="shared" si="78"/>
        <v>3.3328969931800033E-2</v>
      </c>
      <c r="I66" s="128">
        <f t="shared" si="78"/>
        <v>0.29948149902899829</v>
      </c>
      <c r="J66" s="128">
        <f t="shared" si="78"/>
        <v>7.0685387683162099E-2</v>
      </c>
      <c r="K66" s="128">
        <f t="shared" si="78"/>
        <v>0.75608390360445343</v>
      </c>
      <c r="L66" s="129">
        <f t="shared" si="78"/>
        <v>0.1485590710113075</v>
      </c>
      <c r="M66" s="129">
        <f t="shared" si="78"/>
        <v>-2.3699356731745852E-3</v>
      </c>
      <c r="N66" s="129">
        <f t="shared" si="78"/>
        <v>-1</v>
      </c>
      <c r="V66" s="6"/>
      <c r="W66" s="4"/>
      <c r="X66" s="4"/>
      <c r="Y66" s="5"/>
      <c r="Z66" s="5"/>
      <c r="AA66" s="5"/>
      <c r="AB66" s="128">
        <f t="shared" si="73"/>
        <v>3.3754475852231375E-2</v>
      </c>
      <c r="AC66" s="5"/>
      <c r="AD66" s="128">
        <f t="shared" si="74"/>
        <v>0.29467180317495767</v>
      </c>
      <c r="AE66" s="128">
        <f t="shared" si="74"/>
        <v>0.91357586579156758</v>
      </c>
      <c r="AF66" s="128">
        <f t="shared" si="74"/>
        <v>0.85260350685247033</v>
      </c>
      <c r="AG66" s="128">
        <f t="shared" si="74"/>
        <v>0.94963813519944806</v>
      </c>
      <c r="AH66" s="5"/>
      <c r="AI66" s="129">
        <f t="shared" si="75"/>
        <v>7.4829012773371131E-2</v>
      </c>
      <c r="AJ66" s="128">
        <f t="shared" si="76"/>
        <v>0.48538810291145462</v>
      </c>
      <c r="AK66" s="129">
        <f t="shared" si="76"/>
        <v>0.10071056278915416</v>
      </c>
      <c r="AL66" s="129">
        <f t="shared" si="76"/>
        <v>7.5965941211095719E-2</v>
      </c>
      <c r="AM66" s="129">
        <f t="shared" si="76"/>
        <v>4.8748693264194447E-2</v>
      </c>
      <c r="AN66" s="5"/>
      <c r="AO66" s="129">
        <f t="shared" si="77"/>
        <v>-0.18709729864690411</v>
      </c>
      <c r="AP66" s="129">
        <f t="shared" si="77"/>
        <v>6.4092036867242103E-2</v>
      </c>
      <c r="AQ66" s="129">
        <f t="shared" si="77"/>
        <v>6.5249223180545296E-2</v>
      </c>
      <c r="AR66" s="129">
        <f t="shared" si="77"/>
        <v>3.2949363100638535E-2</v>
      </c>
    </row>
    <row r="67" spans="1:44" ht="17">
      <c r="A67" s="117" t="s">
        <v>187</v>
      </c>
      <c r="B67" s="127"/>
      <c r="C67" s="128">
        <f t="shared" ref="C67:N67" si="79">(C24-B24)/ABS(B24)</f>
        <v>2.1195874320738158E-2</v>
      </c>
      <c r="D67" s="128">
        <f t="shared" si="79"/>
        <v>6.5657874017747836E-2</v>
      </c>
      <c r="E67" s="128">
        <f t="shared" si="79"/>
        <v>6.8484949593650951E-2</v>
      </c>
      <c r="F67" s="128">
        <f t="shared" si="79"/>
        <v>0.37196805179093051</v>
      </c>
      <c r="G67" s="128">
        <f t="shared" si="79"/>
        <v>4.680042738572212E-2</v>
      </c>
      <c r="H67" s="128">
        <f t="shared" si="79"/>
        <v>-2.8206104665068427E-2</v>
      </c>
      <c r="I67" s="128">
        <f t="shared" si="79"/>
        <v>0.24026199846063759</v>
      </c>
      <c r="J67" s="128">
        <f t="shared" si="79"/>
        <v>-5.4309986691558572E-2</v>
      </c>
      <c r="K67" s="128">
        <f t="shared" si="79"/>
        <v>0.58173575313093739</v>
      </c>
      <c r="L67" s="129">
        <f t="shared" si="79"/>
        <v>0.11377500951036768</v>
      </c>
      <c r="M67" s="129">
        <f t="shared" si="79"/>
        <v>1.1669155104659804E-2</v>
      </c>
      <c r="N67" s="129">
        <f t="shared" si="79"/>
        <v>3.0769817081345702E-2</v>
      </c>
      <c r="V67" s="74"/>
      <c r="W67" s="127"/>
      <c r="X67" s="127"/>
      <c r="Y67" s="127"/>
      <c r="Z67" s="127"/>
      <c r="AA67" s="127"/>
      <c r="AB67" s="128">
        <f t="shared" si="73"/>
        <v>-1.111374607602365E-2</v>
      </c>
      <c r="AC67" s="5"/>
      <c r="AD67" s="128">
        <f t="shared" si="74"/>
        <v>0.30429818493421196</v>
      </c>
      <c r="AE67" s="128">
        <f t="shared" si="74"/>
        <v>0.73412719965240059</v>
      </c>
      <c r="AF67" s="128">
        <f t="shared" si="74"/>
        <v>0.58845461904259133</v>
      </c>
      <c r="AG67" s="128">
        <f t="shared" si="74"/>
        <v>0.67384544722915463</v>
      </c>
      <c r="AI67" s="129">
        <f t="shared" si="75"/>
        <v>5.4518994845029742E-2</v>
      </c>
      <c r="AJ67" s="128">
        <f t="shared" si="76"/>
        <v>0.30447908006995639</v>
      </c>
      <c r="AK67" s="129">
        <f t="shared" si="76"/>
        <v>0.1022184812538334</v>
      </c>
      <c r="AL67" s="129">
        <f t="shared" si="76"/>
        <v>7.3823500278908757E-2</v>
      </c>
      <c r="AM67" s="129">
        <f t="shared" si="76"/>
        <v>3.557470140926812E-2</v>
      </c>
      <c r="AO67" s="129">
        <f t="shared" si="77"/>
        <v>-0.12073998522843175</v>
      </c>
      <c r="AP67" s="129">
        <f t="shared" si="77"/>
        <v>4.7809722490258923E-2</v>
      </c>
      <c r="AQ67" s="129">
        <f t="shared" si="77"/>
        <v>6.1997599278569862E-2</v>
      </c>
      <c r="AR67" s="129">
        <f t="shared" si="77"/>
        <v>3.761318483935755E-2</v>
      </c>
    </row>
    <row r="68" spans="1:44">
      <c r="A68" s="38" t="s">
        <v>60</v>
      </c>
      <c r="B68" s="6"/>
      <c r="C68" s="128">
        <f t="shared" ref="C68:N68" si="80">(C25-B25)/ABS(B25)</f>
        <v>0.10155035611299619</v>
      </c>
      <c r="D68" s="128">
        <f t="shared" si="80"/>
        <v>0.11772612244213913</v>
      </c>
      <c r="E68" s="128">
        <f t="shared" si="80"/>
        <v>0.15579305960392001</v>
      </c>
      <c r="F68" s="128">
        <f t="shared" si="80"/>
        <v>0.1895023610606611</v>
      </c>
      <c r="G68" s="128">
        <f t="shared" si="80"/>
        <v>0.14096602087868462</v>
      </c>
      <c r="H68" s="128">
        <f t="shared" si="80"/>
        <v>-2.0587476222793617E-2</v>
      </c>
      <c r="I68" s="128">
        <f t="shared" si="80"/>
        <v>0.28290156856315241</v>
      </c>
      <c r="J68" s="128">
        <f t="shared" si="80"/>
        <v>9.338137180468345E-2</v>
      </c>
      <c r="K68" s="128">
        <f t="shared" si="80"/>
        <v>1.6350980899661298</v>
      </c>
      <c r="L68" s="129">
        <f t="shared" si="80"/>
        <v>-0.40072663903044387</v>
      </c>
      <c r="M68" s="129">
        <f t="shared" si="80"/>
        <v>0.10800888956251861</v>
      </c>
      <c r="N68" s="129">
        <f t="shared" si="80"/>
        <v>-1</v>
      </c>
      <c r="V68" s="6"/>
      <c r="W68" s="4"/>
      <c r="X68" s="4"/>
      <c r="Y68" s="6"/>
      <c r="Z68" s="6"/>
      <c r="AA68" s="6"/>
      <c r="AB68" s="128">
        <f t="shared" si="73"/>
        <v>0.17496948536716908</v>
      </c>
      <c r="AC68" s="6"/>
      <c r="AD68" s="128">
        <f t="shared" si="74"/>
        <v>0.27942316096139841</v>
      </c>
      <c r="AE68" s="128">
        <f t="shared" si="74"/>
        <v>5.4844659153117261</v>
      </c>
      <c r="AF68" s="128">
        <f t="shared" si="74"/>
        <v>0.66866652338112931</v>
      </c>
      <c r="AG68" s="128">
        <f t="shared" si="74"/>
        <v>0.22410069335394875</v>
      </c>
      <c r="AH68" s="6"/>
      <c r="AI68" s="129">
        <f t="shared" si="75"/>
        <v>0.15377013493881528</v>
      </c>
      <c r="AJ68" s="128">
        <f t="shared" si="76"/>
        <v>0.14364175406797491</v>
      </c>
      <c r="AK68" s="129">
        <f t="shared" si="76"/>
        <v>-0.76501080515131126</v>
      </c>
      <c r="AL68" s="129">
        <f t="shared" si="76"/>
        <v>0.11633435639264869</v>
      </c>
      <c r="AM68" s="129">
        <f t="shared" si="76"/>
        <v>0.22498875056247189</v>
      </c>
      <c r="AN68" s="6"/>
      <c r="AO68" s="129">
        <f t="shared" si="77"/>
        <v>0.15619499685411872</v>
      </c>
      <c r="AP68" s="129">
        <f t="shared" si="77"/>
        <v>0.1235037037037037</v>
      </c>
      <c r="AQ68" s="129">
        <f t="shared" si="77"/>
        <v>8.2414140947960415E-2</v>
      </c>
      <c r="AR68" s="129">
        <f t="shared" si="77"/>
        <v>8.0555251235717551E-2</v>
      </c>
    </row>
    <row r="69" spans="1:44">
      <c r="A69" s="38" t="s">
        <v>37</v>
      </c>
      <c r="B69" s="6"/>
      <c r="C69" s="128">
        <f t="shared" ref="C69:N69" si="81">(C26-B26)/ABS(B26)</f>
        <v>0.65382472680522818</v>
      </c>
      <c r="D69" s="128">
        <f t="shared" si="81"/>
        <v>0.67971341210613601</v>
      </c>
      <c r="E69" s="128">
        <f t="shared" si="81"/>
        <v>0.29850285775991731</v>
      </c>
      <c r="F69" s="128">
        <f t="shared" si="81"/>
        <v>-0.26910488455392728</v>
      </c>
      <c r="G69" s="128">
        <f t="shared" si="81"/>
        <v>6.0059816000780211E-2</v>
      </c>
      <c r="H69" s="128">
        <f t="shared" si="81"/>
        <v>-0.11225600686937455</v>
      </c>
      <c r="I69" s="128">
        <f t="shared" si="81"/>
        <v>0.32308795080834601</v>
      </c>
      <c r="J69" s="128">
        <f t="shared" si="81"/>
        <v>-0.15848253624276287</v>
      </c>
      <c r="K69" s="128">
        <f t="shared" si="81"/>
        <v>0.16855021989869923</v>
      </c>
      <c r="L69" s="129">
        <f t="shared" si="81"/>
        <v>0.19505751627913151</v>
      </c>
      <c r="M69" s="129">
        <f t="shared" si="81"/>
        <v>0.11069268325196208</v>
      </c>
      <c r="N69" s="129">
        <f t="shared" si="81"/>
        <v>-1</v>
      </c>
      <c r="V69" s="4"/>
      <c r="W69" s="4"/>
      <c r="X69" s="4"/>
      <c r="Y69" s="6"/>
      <c r="Z69" s="6"/>
      <c r="AA69" s="6"/>
      <c r="AB69" s="128">
        <f t="shared" si="73"/>
        <v>-0.21020198562136255</v>
      </c>
      <c r="AC69" s="6"/>
      <c r="AD69" s="128">
        <f t="shared" si="74"/>
        <v>-0.16571264202502517</v>
      </c>
      <c r="AE69" s="128">
        <f t="shared" si="74"/>
        <v>3.125E-2</v>
      </c>
      <c r="AF69" s="128">
        <f t="shared" si="74"/>
        <v>0.41719875016981389</v>
      </c>
      <c r="AG69" s="128">
        <f t="shared" si="74"/>
        <v>0.43946993621896091</v>
      </c>
      <c r="AH69" s="6"/>
      <c r="AI69" s="129">
        <f t="shared" si="75"/>
        <v>0.36160529582126605</v>
      </c>
      <c r="AJ69" s="128">
        <f t="shared" si="76"/>
        <v>0.32957523100262032</v>
      </c>
      <c r="AK69" s="129">
        <f t="shared" si="76"/>
        <v>0.27111190882168179</v>
      </c>
      <c r="AL69" s="129">
        <f t="shared" si="76"/>
        <v>0.1620973926380368</v>
      </c>
      <c r="AM69" s="129">
        <f t="shared" si="76"/>
        <v>8.6036307321689751E-2</v>
      </c>
      <c r="AN69" s="6"/>
      <c r="AO69" s="129">
        <f t="shared" si="77"/>
        <v>0.15374841168996187</v>
      </c>
      <c r="AP69" s="129">
        <f t="shared" si="77"/>
        <v>0.14120304998587971</v>
      </c>
      <c r="AQ69" s="129">
        <f t="shared" si="77"/>
        <v>8.2487833044625924E-2</v>
      </c>
      <c r="AR69" s="129">
        <f t="shared" si="77"/>
        <v>7.9220470569595178E-2</v>
      </c>
    </row>
    <row r="70" spans="1:44">
      <c r="A70" s="38" t="s">
        <v>38</v>
      </c>
      <c r="B70" s="6"/>
      <c r="C70" s="128">
        <f t="shared" ref="C70:N70" si="82">(C27-B27)/ABS(B27)</f>
        <v>-8.5049538016252924E-2</v>
      </c>
      <c r="D70" s="128">
        <f t="shared" si="82"/>
        <v>-0.34371578050857771</v>
      </c>
      <c r="E70" s="128">
        <f t="shared" si="82"/>
        <v>0.13375973303670746</v>
      </c>
      <c r="F70" s="128">
        <f t="shared" si="82"/>
        <v>-0.21061237838279781</v>
      </c>
      <c r="G70" s="128">
        <f t="shared" si="82"/>
        <v>-0.21170378042465043</v>
      </c>
      <c r="H70" s="128">
        <f t="shared" si="82"/>
        <v>-0.27972671133885169</v>
      </c>
      <c r="I70" s="128">
        <f t="shared" si="82"/>
        <v>4.2406056183874501</v>
      </c>
      <c r="J70" s="128">
        <f t="shared" si="82"/>
        <v>3.7662292457099102E-2</v>
      </c>
      <c r="K70" s="128">
        <f t="shared" si="82"/>
        <v>6.6201737613632554</v>
      </c>
      <c r="L70" s="129">
        <f t="shared" si="82"/>
        <v>-0.5632469790680783</v>
      </c>
      <c r="M70" s="129">
        <f t="shared" si="82"/>
        <v>-0.86887063448067325</v>
      </c>
      <c r="N70" s="129">
        <f t="shared" si="82"/>
        <v>-1</v>
      </c>
      <c r="V70" s="6"/>
      <c r="W70" s="4"/>
      <c r="X70" s="4"/>
      <c r="Y70" s="6"/>
      <c r="Z70" s="6"/>
      <c r="AA70" s="6"/>
      <c r="AB70" s="128">
        <f t="shared" si="73"/>
        <v>-5.006353240152478E-2</v>
      </c>
      <c r="AC70" s="6"/>
      <c r="AD70" s="128">
        <f t="shared" si="74"/>
        <v>2.6967964907616642</v>
      </c>
      <c r="AE70" s="128">
        <f t="shared" si="74"/>
        <v>10.027781542214392</v>
      </c>
      <c r="AF70" s="128">
        <f t="shared" si="74"/>
        <v>11.339432261536391</v>
      </c>
      <c r="AG70" s="128">
        <f t="shared" si="74"/>
        <v>2.5127073301230602</v>
      </c>
      <c r="AH70" s="6"/>
      <c r="AI70" s="129">
        <f t="shared" si="75"/>
        <v>-0.28086009133076839</v>
      </c>
      <c r="AJ70" s="128">
        <f t="shared" si="76"/>
        <v>1.3808924526266586</v>
      </c>
      <c r="AK70" s="129">
        <f t="shared" si="76"/>
        <v>-0.81566593752304173</v>
      </c>
      <c r="AL70" s="129">
        <f t="shared" si="76"/>
        <v>-0.89097133636433024</v>
      </c>
      <c r="AM70" s="129">
        <f t="shared" si="76"/>
        <v>-0.69536575149461177</v>
      </c>
      <c r="AN70" s="6"/>
      <c r="AO70" s="129">
        <f t="shared" si="77"/>
        <v>-0.90937098844672659</v>
      </c>
      <c r="AP70" s="129">
        <f t="shared" si="77"/>
        <v>-0.73319999999999996</v>
      </c>
      <c r="AQ70" s="129">
        <f t="shared" si="77"/>
        <v>-0.79969999999999997</v>
      </c>
      <c r="AR70" s="129">
        <f t="shared" si="77"/>
        <v>-0.87450000000000006</v>
      </c>
    </row>
    <row r="71" spans="1:44">
      <c r="A71" s="72" t="s">
        <v>112</v>
      </c>
      <c r="B71" s="6"/>
      <c r="C71" s="128">
        <f t="shared" ref="C71:N71" si="83">(C28-B28)/ABS(B28)</f>
        <v>5.9197731860540823E-2</v>
      </c>
      <c r="D71" s="128">
        <f t="shared" si="83"/>
        <v>0.10649184196606583</v>
      </c>
      <c r="E71" s="128">
        <f t="shared" si="83"/>
        <v>0.10764749375852826</v>
      </c>
      <c r="F71" s="128">
        <f t="shared" si="83"/>
        <v>0.26207188471507198</v>
      </c>
      <c r="G71" s="128">
        <f t="shared" si="83"/>
        <v>6.6673148954519701E-2</v>
      </c>
      <c r="H71" s="128">
        <f t="shared" si="83"/>
        <v>-3.2121919115454922E-2</v>
      </c>
      <c r="I71" s="128">
        <f t="shared" si="83"/>
        <v>0.26454246239775348</v>
      </c>
      <c r="J71" s="128">
        <f t="shared" si="83"/>
        <v>-2.4175468327513532E-2</v>
      </c>
      <c r="K71" s="128">
        <f t="shared" si="83"/>
        <v>0.90757615645949985</v>
      </c>
      <c r="L71" s="129">
        <f t="shared" si="83"/>
        <v>-0.10190537896119581</v>
      </c>
      <c r="M71" s="129">
        <f t="shared" si="83"/>
        <v>2.0233516631334273E-2</v>
      </c>
      <c r="N71" s="129">
        <f t="shared" si="83"/>
        <v>-1</v>
      </c>
      <c r="V71" s="6"/>
      <c r="W71" s="6"/>
      <c r="X71" s="6"/>
      <c r="Y71" s="6"/>
      <c r="Z71" s="6"/>
      <c r="AA71" s="6"/>
      <c r="AB71" s="128">
        <f t="shared" si="73"/>
        <v>2.2560834667836694E-2</v>
      </c>
      <c r="AC71" s="6"/>
      <c r="AD71" s="128">
        <f t="shared" si="74"/>
        <v>0.30016590311131658</v>
      </c>
      <c r="AE71" s="128">
        <f t="shared" si="74"/>
        <v>2.0811384270740687</v>
      </c>
      <c r="AF71" s="128">
        <f t="shared" si="74"/>
        <v>0.71724410659753501</v>
      </c>
      <c r="AG71" s="128">
        <f t="shared" si="74"/>
        <v>0.55621549260887049</v>
      </c>
      <c r="AH71" s="6"/>
      <c r="AI71" s="129">
        <f t="shared" si="75"/>
        <v>8.054235505115627E-2</v>
      </c>
      <c r="AJ71" s="128">
        <f t="shared" si="76"/>
        <v>0.29881396359704715</v>
      </c>
      <c r="AK71" s="129">
        <f t="shared" si="76"/>
        <v>-0.42262874110503912</v>
      </c>
      <c r="AL71" s="129">
        <f t="shared" si="76"/>
        <v>1.1343699598364801E-2</v>
      </c>
      <c r="AM71" s="129">
        <f t="shared" si="76"/>
        <v>6.2657973520463275E-2</v>
      </c>
      <c r="AN71" s="6"/>
      <c r="AO71" s="129">
        <f t="shared" si="77"/>
        <v>-9.4575452904919269E-2</v>
      </c>
      <c r="AP71" s="129">
        <f t="shared" si="77"/>
        <v>5.863693796918551E-2</v>
      </c>
      <c r="AQ71" s="129">
        <f t="shared" si="77"/>
        <v>6.0791544979283275E-2</v>
      </c>
      <c r="AR71" s="129">
        <f t="shared" si="77"/>
        <v>4.426821372826184E-2</v>
      </c>
    </row>
    <row r="72" spans="1:44" ht="17">
      <c r="A72" s="77" t="s">
        <v>61</v>
      </c>
      <c r="B72" s="74"/>
      <c r="C72" s="128">
        <f t="shared" ref="C72:N72" si="84">(C29-B29)/ABS(B29)</f>
        <v>-0.50561311049344837</v>
      </c>
      <c r="D72" s="128">
        <f t="shared" si="84"/>
        <v>-0.11356113707165109</v>
      </c>
      <c r="E72" s="128">
        <f t="shared" si="84"/>
        <v>-3.5317665147438362</v>
      </c>
      <c r="F72" s="128">
        <f t="shared" si="84"/>
        <v>0.34197284518283955</v>
      </c>
      <c r="G72" s="128">
        <f t="shared" si="84"/>
        <v>1.6342166847951483</v>
      </c>
      <c r="H72" s="128">
        <f t="shared" si="84"/>
        <v>0.51303172829561106</v>
      </c>
      <c r="I72" s="128">
        <f t="shared" si="84"/>
        <v>-0.86097276130938072</v>
      </c>
      <c r="J72" s="128">
        <f t="shared" si="84"/>
        <v>-20.272884496602842</v>
      </c>
      <c r="K72" s="128">
        <f t="shared" si="84"/>
        <v>-4.7031035676285464</v>
      </c>
      <c r="L72" s="129">
        <f t="shared" si="84"/>
        <v>0.89272436286475965</v>
      </c>
      <c r="M72" s="129">
        <f t="shared" si="84"/>
        <v>1.7735526453640611</v>
      </c>
      <c r="N72" s="129">
        <f t="shared" si="84"/>
        <v>0.10548584850775575</v>
      </c>
      <c r="V72" s="74"/>
      <c r="W72" s="74"/>
      <c r="X72" s="74"/>
      <c r="Y72" s="74"/>
      <c r="Z72" s="74"/>
      <c r="AA72" s="74"/>
      <c r="AB72" s="128">
        <f t="shared" si="73"/>
        <v>0.69040125047382561</v>
      </c>
      <c r="AC72" s="74"/>
      <c r="AD72" s="128">
        <f t="shared" si="74"/>
        <v>0.26642400254443932</v>
      </c>
      <c r="AE72" s="128">
        <f t="shared" si="74"/>
        <v>-174.94768698659749</v>
      </c>
      <c r="AF72" s="128">
        <f t="shared" si="74"/>
        <v>-0.39872428639770374</v>
      </c>
      <c r="AG72" s="128">
        <f t="shared" si="74"/>
        <v>1.0038794348681406</v>
      </c>
      <c r="AH72" s="74"/>
      <c r="AI72" s="129">
        <f t="shared" si="75"/>
        <v>-0.5044079391078139</v>
      </c>
      <c r="AJ72" s="128">
        <f t="shared" si="76"/>
        <v>2.4388428557664517</v>
      </c>
      <c r="AK72" s="129">
        <f t="shared" si="76"/>
        <v>1.1824186448808349</v>
      </c>
      <c r="AL72" s="129">
        <f t="shared" si="76"/>
        <v>1.0967462434731057</v>
      </c>
      <c r="AM72" s="129">
        <f t="shared" si="76"/>
        <v>-17.868794326241133</v>
      </c>
      <c r="AN72" s="6"/>
      <c r="AO72" s="129">
        <f t="shared" si="77"/>
        <v>-2.6044027789403197</v>
      </c>
      <c r="AP72" s="129">
        <f t="shared" si="77"/>
        <v>-4.3797559762652517E-2</v>
      </c>
      <c r="AQ72" s="129">
        <f t="shared" si="77"/>
        <v>2.1013433891114777</v>
      </c>
      <c r="AR72" s="129">
        <f t="shared" si="77"/>
        <v>2.5047298717679212</v>
      </c>
    </row>
    <row r="73" spans="1:44">
      <c r="A73" s="3" t="s">
        <v>39</v>
      </c>
      <c r="C73" s="128"/>
      <c r="D73" s="128"/>
      <c r="E73" s="128"/>
      <c r="F73" s="128"/>
      <c r="G73" s="128"/>
      <c r="H73" s="128"/>
      <c r="I73" s="128"/>
      <c r="J73" s="128"/>
      <c r="K73" s="128"/>
      <c r="L73" s="129"/>
      <c r="M73" s="129"/>
      <c r="N73" s="129"/>
      <c r="V73" s="6"/>
      <c r="W73" s="3"/>
      <c r="X73" s="3"/>
      <c r="Y73" s="4"/>
      <c r="Z73" s="4"/>
      <c r="AA73" s="4"/>
      <c r="AB73" s="128"/>
      <c r="AC73" s="4"/>
      <c r="AD73" s="128"/>
      <c r="AE73" s="128"/>
      <c r="AF73" s="128"/>
      <c r="AG73" s="128"/>
      <c r="AI73" s="129"/>
      <c r="AJ73" s="128"/>
      <c r="AK73" s="129"/>
      <c r="AL73" s="129"/>
      <c r="AM73" s="129"/>
      <c r="AO73" s="129"/>
      <c r="AP73" s="129"/>
      <c r="AQ73" s="129"/>
      <c r="AR73" s="129"/>
    </row>
    <row r="74" spans="1:44">
      <c r="A74" s="38" t="s">
        <v>110</v>
      </c>
      <c r="B74" s="6"/>
      <c r="C74" s="128">
        <f t="shared" ref="C74:N74" si="85">(C31-B31)/ABS(B31)</f>
        <v>0.200638890776864</v>
      </c>
      <c r="D74" s="128">
        <f t="shared" si="85"/>
        <v>0.52916418671881638</v>
      </c>
      <c r="E74" s="128">
        <f t="shared" si="85"/>
        <v>0.72316027088036117</v>
      </c>
      <c r="F74" s="128">
        <f t="shared" si="85"/>
        <v>-15.262557077625571</v>
      </c>
      <c r="G74" s="128">
        <f t="shared" si="85"/>
        <v>0.25807745532580573</v>
      </c>
      <c r="H74" s="128">
        <f t="shared" si="85"/>
        <v>0.12829454221068851</v>
      </c>
      <c r="I74" s="128">
        <f t="shared" si="85"/>
        <v>0.10419573913852452</v>
      </c>
      <c r="J74" s="128">
        <f t="shared" si="85"/>
        <v>0.74739502198220653</v>
      </c>
      <c r="K74" s="128">
        <f t="shared" si="85"/>
        <v>-40.680142524325063</v>
      </c>
      <c r="L74" s="129">
        <f t="shared" si="85"/>
        <v>2.5800618136384561E-2</v>
      </c>
      <c r="M74" s="129">
        <f t="shared" si="85"/>
        <v>0.52749474337902014</v>
      </c>
      <c r="N74" s="129">
        <f t="shared" si="85"/>
        <v>1</v>
      </c>
      <c r="V74" s="6"/>
      <c r="W74" s="4"/>
      <c r="X74" s="4"/>
      <c r="Y74" s="6"/>
      <c r="Z74" s="6"/>
      <c r="AA74" s="6"/>
      <c r="AB74" s="128"/>
      <c r="AC74" s="6"/>
      <c r="AD74" s="128">
        <f t="shared" ref="AD74:AD84" si="86">(AD31-Y31)/ABS(Y31)</f>
        <v>-5.3913043478260869</v>
      </c>
      <c r="AE74" s="128">
        <f t="shared" ref="AE74:AE84" si="87">(AE31-Z31)/ABS(Z31)</f>
        <v>-25.721787194841088</v>
      </c>
      <c r="AF74" s="128">
        <f t="shared" ref="AF74:AF84" si="88">(AF31-AA31)/ABS(AA31)</f>
        <v>-12.696910727316954</v>
      </c>
      <c r="AG74" s="128">
        <f t="shared" ref="AG74:AG84" si="89">(AG31-AB31)/ABS(AB31)</f>
        <v>-23.447380106571938</v>
      </c>
      <c r="AH74" s="4"/>
      <c r="AI74" s="129">
        <f t="shared" ref="AI74:AI84" si="90">(AI31-AD31)/ABS(AD31)</f>
        <v>-1.4789931972789117</v>
      </c>
      <c r="AJ74" s="128">
        <f t="shared" ref="AJ74:AJ87" si="91">(AJ31-AD31)/ABS(AD31)</f>
        <v>-1.2580680272108844</v>
      </c>
      <c r="AK74" s="129">
        <f t="shared" ref="AK74:AK87" si="92">(AK31-AE31)/ABS(AE31)</f>
        <v>-0.51111400942781016</v>
      </c>
      <c r="AL74" s="129">
        <f t="shared" ref="AL74:AL87" si="93">(AL31-AF31)/ABS(AF31)</f>
        <v>0.36862435177949848</v>
      </c>
      <c r="AM74" s="129">
        <f t="shared" ref="AM74:AM87" si="94">(AM31-AG31)/ABS(AG31)</f>
        <v>0.39563613344806781</v>
      </c>
      <c r="AN74" s="4"/>
      <c r="AO74" s="129">
        <f t="shared" ref="AO74:AO84" si="95">(AO31-AJ31)/ABS(AJ31)</f>
        <v>0.39747421189626914</v>
      </c>
      <c r="AP74" s="129">
        <f t="shared" ref="AP74:AP84" si="96">(AP31-AK31)/ABS(AK31)</f>
        <v>0.506799995068</v>
      </c>
      <c r="AQ74" s="129">
        <f t="shared" ref="AQ74:AQ84" si="97">(AQ31-AL31)/ABS(AL31)</f>
        <v>0.57807687439348554</v>
      </c>
      <c r="AR74" s="129">
        <f t="shared" ref="AR74:AR84" si="98">(AR31-AM31)/ABS(AM31)</f>
        <v>0.67268382894456902</v>
      </c>
    </row>
    <row r="75" spans="1:44">
      <c r="A75" s="38" t="s">
        <v>42</v>
      </c>
      <c r="B75" s="6"/>
      <c r="C75" s="128" t="e">
        <f t="shared" ref="C75:N75" si="99">(C32-B32)/ABS(B32)</f>
        <v>#DIV/0!</v>
      </c>
      <c r="D75" s="128" t="e">
        <f t="shared" si="99"/>
        <v>#DIV/0!</v>
      </c>
      <c r="E75" s="128" t="e">
        <f t="shared" si="99"/>
        <v>#DIV/0!</v>
      </c>
      <c r="F75" s="128">
        <f t="shared" si="99"/>
        <v>1</v>
      </c>
      <c r="G75" s="128" t="e">
        <f t="shared" si="99"/>
        <v>#DIV/0!</v>
      </c>
      <c r="H75" s="128" t="e">
        <f t="shared" si="99"/>
        <v>#DIV/0!</v>
      </c>
      <c r="I75" s="128" t="e">
        <f t="shared" si="99"/>
        <v>#DIV/0!</v>
      </c>
      <c r="J75" s="128">
        <f t="shared" si="99"/>
        <v>-0.73336571151044194</v>
      </c>
      <c r="K75" s="128">
        <f t="shared" si="99"/>
        <v>-1</v>
      </c>
      <c r="L75" s="129" t="e">
        <f t="shared" si="99"/>
        <v>#DIV/0!</v>
      </c>
      <c r="M75" s="129" t="e">
        <f t="shared" si="99"/>
        <v>#DIV/0!</v>
      </c>
      <c r="N75" s="129" t="e">
        <f t="shared" si="99"/>
        <v>#DIV/0!</v>
      </c>
      <c r="V75" s="6"/>
      <c r="W75" s="4"/>
      <c r="X75" s="4"/>
      <c r="Y75" s="6"/>
      <c r="Z75" s="6"/>
      <c r="AA75" s="4"/>
      <c r="AB75" s="128" t="e">
        <f t="shared" ref="AB75:AB84" si="100">(AB32-W32)/ABS(W32)</f>
        <v>#DIV/0!</v>
      </c>
      <c r="AC75" s="4"/>
      <c r="AD75" s="128">
        <f t="shared" si="86"/>
        <v>-1</v>
      </c>
      <c r="AE75" s="128">
        <f t="shared" si="87"/>
        <v>-1</v>
      </c>
      <c r="AF75" s="128" t="e">
        <f t="shared" si="88"/>
        <v>#DIV/0!</v>
      </c>
      <c r="AG75" s="128" t="e">
        <f t="shared" si="89"/>
        <v>#DIV/0!</v>
      </c>
      <c r="AH75" s="4"/>
      <c r="AI75" s="129" t="e">
        <f t="shared" si="90"/>
        <v>#DIV/0!</v>
      </c>
      <c r="AJ75" s="128" t="e">
        <f t="shared" si="91"/>
        <v>#DIV/0!</v>
      </c>
      <c r="AK75" s="129" t="e">
        <f t="shared" si="92"/>
        <v>#DIV/0!</v>
      </c>
      <c r="AL75" s="129" t="e">
        <f t="shared" si="93"/>
        <v>#DIV/0!</v>
      </c>
      <c r="AM75" s="129" t="e">
        <f t="shared" si="94"/>
        <v>#DIV/0!</v>
      </c>
      <c r="AN75" s="4"/>
      <c r="AO75" s="129" t="e">
        <f t="shared" si="95"/>
        <v>#DIV/0!</v>
      </c>
      <c r="AP75" s="129" t="e">
        <f t="shared" si="96"/>
        <v>#DIV/0!</v>
      </c>
      <c r="AQ75" s="129" t="e">
        <f t="shared" si="97"/>
        <v>#DIV/0!</v>
      </c>
      <c r="AR75" s="129" t="e">
        <f t="shared" si="98"/>
        <v>#DIV/0!</v>
      </c>
    </row>
    <row r="76" spans="1:44">
      <c r="A76" s="72" t="s">
        <v>62</v>
      </c>
      <c r="B76" s="6"/>
      <c r="C76" s="128">
        <f t="shared" ref="C76:N76" si="101">(C33-B33)/ABS(B33)</f>
        <v>-0.67278281765177061</v>
      </c>
      <c r="D76" s="128">
        <f t="shared" si="101"/>
        <v>0.44295798702038031</v>
      </c>
      <c r="E76" s="128">
        <f t="shared" si="101"/>
        <v>-5.1620310095869337</v>
      </c>
      <c r="F76" s="128">
        <f t="shared" si="101"/>
        <v>-4.7812692544670361E-2</v>
      </c>
      <c r="G76" s="128">
        <f t="shared" si="101"/>
        <v>1.0134794054587069</v>
      </c>
      <c r="H76" s="128">
        <f t="shared" si="101"/>
        <v>16.435570469798659</v>
      </c>
      <c r="I76" s="128">
        <f t="shared" si="101"/>
        <v>-1.6418260903037067</v>
      </c>
      <c r="J76" s="128">
        <f t="shared" si="101"/>
        <v>-8.7284994602374955</v>
      </c>
      <c r="K76" s="128">
        <f t="shared" si="101"/>
        <v>-6.3601006084592484</v>
      </c>
      <c r="L76" s="129">
        <f t="shared" si="101"/>
        <v>0.67188065372090222</v>
      </c>
      <c r="M76" s="129">
        <f t="shared" si="101"/>
        <v>0.83110253405931855</v>
      </c>
      <c r="N76" s="129">
        <f t="shared" si="101"/>
        <v>2.2336575396448599</v>
      </c>
      <c r="V76" s="6"/>
      <c r="W76" s="10"/>
      <c r="X76" s="10"/>
      <c r="Y76" s="10"/>
      <c r="Z76" s="10"/>
      <c r="AA76" s="10"/>
      <c r="AB76" s="128" t="e">
        <f t="shared" si="100"/>
        <v>#REF!</v>
      </c>
      <c r="AC76" s="10"/>
      <c r="AD76" s="128" t="e">
        <f t="shared" si="86"/>
        <v>#REF!</v>
      </c>
      <c r="AE76" s="128" t="e">
        <f t="shared" si="87"/>
        <v>#REF!</v>
      </c>
      <c r="AF76" s="128" t="e">
        <f t="shared" si="88"/>
        <v>#REF!</v>
      </c>
      <c r="AG76" s="128" t="e">
        <f t="shared" si="89"/>
        <v>#REF!</v>
      </c>
      <c r="AH76" s="10"/>
      <c r="AI76" s="129">
        <f t="shared" si="90"/>
        <v>-0.96202693378989601</v>
      </c>
      <c r="AJ76" s="128">
        <f t="shared" si="91"/>
        <v>0.70294891779316693</v>
      </c>
      <c r="AK76" s="129">
        <f t="shared" si="92"/>
        <v>1.0765256252381012</v>
      </c>
      <c r="AL76" s="129">
        <f t="shared" si="93"/>
        <v>0.57270583423338217</v>
      </c>
      <c r="AM76" s="129">
        <f t="shared" si="94"/>
        <v>0.34676307515299393</v>
      </c>
      <c r="AN76" s="10"/>
      <c r="AO76" s="129">
        <f t="shared" si="95"/>
        <v>-5.2729149640844764</v>
      </c>
      <c r="AP76" s="129">
        <f t="shared" si="96"/>
        <v>0.52787504186584655</v>
      </c>
      <c r="AQ76" s="129">
        <f t="shared" si="97"/>
        <v>0.74811546515106198</v>
      </c>
      <c r="AR76" s="129">
        <f t="shared" si="98"/>
        <v>0.80501062860613426</v>
      </c>
    </row>
    <row r="77" spans="1:44">
      <c r="A77" s="38" t="s">
        <v>63</v>
      </c>
      <c r="B77" s="6"/>
      <c r="C77" s="128">
        <f t="shared" ref="C77:N77" si="102">(C34-B34)/ABS(B34)</f>
        <v>-1.3018008244738555</v>
      </c>
      <c r="D77" s="128">
        <f t="shared" si="102"/>
        <v>1.8667625209681284</v>
      </c>
      <c r="E77" s="128">
        <f t="shared" si="102"/>
        <v>8.736521979541056</v>
      </c>
      <c r="F77" s="128">
        <f t="shared" si="102"/>
        <v>0.16460800181730414</v>
      </c>
      <c r="G77" s="128">
        <f t="shared" si="102"/>
        <v>-0.80701711610669524</v>
      </c>
      <c r="H77" s="128">
        <f t="shared" si="102"/>
        <v>-2.1927984838913455</v>
      </c>
      <c r="I77" s="128">
        <f t="shared" si="102"/>
        <v>2.5079970342124773</v>
      </c>
      <c r="J77" s="128">
        <f t="shared" si="102"/>
        <v>-4.4710964388565007</v>
      </c>
      <c r="K77" s="128">
        <f t="shared" si="102"/>
        <v>3.8223319438261361</v>
      </c>
      <c r="L77" s="129">
        <f t="shared" si="102"/>
        <v>-0.11943444656351722</v>
      </c>
      <c r="M77" s="129">
        <f t="shared" si="102"/>
        <v>-0.29162324127149558</v>
      </c>
      <c r="N77" s="129">
        <f t="shared" si="102"/>
        <v>-1</v>
      </c>
      <c r="V77" s="5"/>
      <c r="W77" s="4"/>
      <c r="X77" s="4"/>
      <c r="Y77" s="6"/>
      <c r="Z77" s="6"/>
      <c r="AA77" s="6"/>
      <c r="AB77" s="128">
        <f t="shared" si="100"/>
        <v>-0.10596210995542348</v>
      </c>
      <c r="AC77" s="6"/>
      <c r="AD77" s="128">
        <f t="shared" si="86"/>
        <v>-0.97663612852321047</v>
      </c>
      <c r="AE77" s="128">
        <f t="shared" si="87"/>
        <v>2.214375179396185</v>
      </c>
      <c r="AF77" s="128">
        <f t="shared" si="88"/>
        <v>7.6185725249424401</v>
      </c>
      <c r="AG77" s="128">
        <f t="shared" si="89"/>
        <v>0.18084553858938401</v>
      </c>
      <c r="AI77" s="129">
        <f t="shared" si="90"/>
        <v>15.885553470919325</v>
      </c>
      <c r="AJ77" s="128">
        <f t="shared" si="91"/>
        <v>-3.2213883677298312</v>
      </c>
      <c r="AK77" s="129">
        <f t="shared" si="92"/>
        <v>-0.57024828905100078</v>
      </c>
      <c r="AL77" s="129">
        <f t="shared" si="93"/>
        <v>0.15955473098330242</v>
      </c>
      <c r="AM77" s="129">
        <f t="shared" si="94"/>
        <v>2.8705137227304713</v>
      </c>
      <c r="AO77" s="129">
        <f t="shared" si="95"/>
        <v>80.391891891891888</v>
      </c>
      <c r="AP77" s="129">
        <f t="shared" si="96"/>
        <v>-1.625</v>
      </c>
      <c r="AQ77" s="129">
        <f t="shared" si="97"/>
        <v>-0.75</v>
      </c>
      <c r="AR77" s="129">
        <f t="shared" si="98"/>
        <v>-0.81818181818181823</v>
      </c>
    </row>
    <row r="78" spans="1:44">
      <c r="A78" s="76" t="s">
        <v>120</v>
      </c>
      <c r="B78" s="24"/>
      <c r="C78" s="128">
        <f t="shared" ref="C78:N78" si="103">(C35-B35)/ABS(B35)</f>
        <v>-1.9223257235699638</v>
      </c>
      <c r="D78" s="128">
        <f t="shared" si="103"/>
        <v>1.6006845166420542</v>
      </c>
      <c r="E78" s="128">
        <f t="shared" si="103"/>
        <v>1.3393679569214383</v>
      </c>
      <c r="F78" s="128">
        <f t="shared" si="103"/>
        <v>0.11146582791337452</v>
      </c>
      <c r="G78" s="128">
        <f t="shared" si="103"/>
        <v>-15.316869129316784</v>
      </c>
      <c r="H78" s="128">
        <f t="shared" si="103"/>
        <v>1.0684117841717582</v>
      </c>
      <c r="I78" s="128">
        <f t="shared" si="103"/>
        <v>1.3495414988488634</v>
      </c>
      <c r="J78" s="128">
        <f t="shared" si="103"/>
        <v>-0.64320330663082925</v>
      </c>
      <c r="K78" s="128">
        <f t="shared" si="103"/>
        <v>-0.61653622770015926</v>
      </c>
      <c r="L78" s="129">
        <f t="shared" si="103"/>
        <v>1.6836745940834441</v>
      </c>
      <c r="M78" s="129">
        <f t="shared" si="103"/>
        <v>3.1941230721442184</v>
      </c>
      <c r="N78" s="129">
        <f t="shared" si="103"/>
        <v>-1</v>
      </c>
      <c r="V78" s="24"/>
      <c r="W78" s="24"/>
      <c r="X78" s="24"/>
      <c r="Y78" s="24"/>
      <c r="Z78" s="24"/>
      <c r="AA78" s="24"/>
      <c r="AB78" s="128" t="e">
        <f t="shared" si="100"/>
        <v>#REF!</v>
      </c>
      <c r="AC78" s="24"/>
      <c r="AD78" s="128" t="e">
        <f t="shared" si="86"/>
        <v>#REF!</v>
      </c>
      <c r="AE78" s="128" t="e">
        <f t="shared" si="87"/>
        <v>#REF!</v>
      </c>
      <c r="AF78" s="128" t="e">
        <f t="shared" si="88"/>
        <v>#REF!</v>
      </c>
      <c r="AG78" s="128" t="e">
        <f t="shared" si="89"/>
        <v>#REF!</v>
      </c>
      <c r="AH78" s="11"/>
      <c r="AI78" s="129">
        <f t="shared" si="90"/>
        <v>7.6061782232024742</v>
      </c>
      <c r="AJ78" s="128">
        <f t="shared" si="91"/>
        <v>-8.4781359193403141</v>
      </c>
      <c r="AK78" s="129">
        <f t="shared" si="92"/>
        <v>4.6157883011327581</v>
      </c>
      <c r="AL78" s="129">
        <f t="shared" si="93"/>
        <v>-3.713715336840417</v>
      </c>
      <c r="AM78" s="129">
        <f t="shared" si="94"/>
        <v>-6.9251300340025637</v>
      </c>
      <c r="AN78" s="6"/>
      <c r="AO78" s="129">
        <f t="shared" si="95"/>
        <v>-11.656299718145316</v>
      </c>
      <c r="AP78" s="129">
        <f t="shared" si="96"/>
        <v>-0.59093513351933047</v>
      </c>
      <c r="AQ78" s="129">
        <f t="shared" si="97"/>
        <v>7.4817409892525685E-3</v>
      </c>
      <c r="AR78" s="129">
        <f t="shared" si="98"/>
        <v>6.754824368903177E-2</v>
      </c>
    </row>
    <row r="79" spans="1:44" ht="32">
      <c r="A79" s="38" t="s">
        <v>64</v>
      </c>
      <c r="B79" s="6"/>
      <c r="C79" s="128" t="e">
        <f t="shared" ref="C79:N79" si="104">(C36-B36)/ABS(B36)</f>
        <v>#DIV/0!</v>
      </c>
      <c r="D79" s="128" t="e">
        <f t="shared" si="104"/>
        <v>#DIV/0!</v>
      </c>
      <c r="E79" s="128" t="e">
        <f t="shared" si="104"/>
        <v>#DIV/0!</v>
      </c>
      <c r="F79" s="128">
        <f t="shared" si="104"/>
        <v>0.51567239635995954</v>
      </c>
      <c r="G79" s="128">
        <f t="shared" si="104"/>
        <v>0.49099399599733157</v>
      </c>
      <c r="H79" s="128">
        <f t="shared" si="104"/>
        <v>-0.87561521252796426</v>
      </c>
      <c r="I79" s="128">
        <f t="shared" si="104"/>
        <v>-1.5053956834532374</v>
      </c>
      <c r="J79" s="128">
        <f t="shared" si="104"/>
        <v>0.76512455516014233</v>
      </c>
      <c r="K79" s="128">
        <f t="shared" si="104"/>
        <v>106.68181818181819</v>
      </c>
      <c r="L79" s="129">
        <f t="shared" si="104"/>
        <v>-0.60630824372759862</v>
      </c>
      <c r="M79" s="129">
        <f t="shared" si="104"/>
        <v>-1</v>
      </c>
      <c r="N79" s="129" t="e">
        <f t="shared" si="104"/>
        <v>#DIV/0!</v>
      </c>
      <c r="V79" s="4"/>
      <c r="W79" s="4"/>
      <c r="X79" s="4"/>
      <c r="Y79" s="4"/>
      <c r="Z79" s="6"/>
      <c r="AA79" s="6"/>
      <c r="AB79" s="128">
        <f t="shared" si="100"/>
        <v>0.48</v>
      </c>
      <c r="AC79" s="6"/>
      <c r="AD79" s="128" t="e">
        <f t="shared" si="86"/>
        <v>#DIV/0!</v>
      </c>
      <c r="AE79" s="128">
        <f t="shared" si="87"/>
        <v>-11.55</v>
      </c>
      <c r="AF79" s="128">
        <f t="shared" si="88"/>
        <v>207.84615384615384</v>
      </c>
      <c r="AG79" s="128">
        <f t="shared" si="89"/>
        <v>305.38461538461536</v>
      </c>
      <c r="AH79" s="6"/>
      <c r="AI79" s="129">
        <f t="shared" si="90"/>
        <v>-1</v>
      </c>
      <c r="AJ79" s="128">
        <f t="shared" si="91"/>
        <v>2.3044524669073407</v>
      </c>
      <c r="AK79" s="129">
        <f t="shared" si="92"/>
        <v>1</v>
      </c>
      <c r="AL79" s="129">
        <f t="shared" si="93"/>
        <v>-1</v>
      </c>
      <c r="AM79" s="129">
        <f t="shared" si="94"/>
        <v>-1</v>
      </c>
      <c r="AN79" s="6"/>
      <c r="AO79" s="129">
        <f t="shared" si="95"/>
        <v>-1</v>
      </c>
      <c r="AP79" s="129" t="e">
        <f t="shared" si="96"/>
        <v>#DIV/0!</v>
      </c>
      <c r="AQ79" s="129" t="e">
        <f t="shared" si="97"/>
        <v>#DIV/0!</v>
      </c>
      <c r="AR79" s="129" t="e">
        <f t="shared" si="98"/>
        <v>#DIV/0!</v>
      </c>
    </row>
    <row r="80" spans="1:44">
      <c r="A80" s="38" t="s">
        <v>43</v>
      </c>
      <c r="B80" s="6"/>
      <c r="C80" s="128" t="e">
        <f t="shared" ref="C80:N80" si="105">(C37-B37)/ABS(B37)</f>
        <v>#DIV/0!</v>
      </c>
      <c r="D80" s="128" t="e">
        <f t="shared" si="105"/>
        <v>#DIV/0!</v>
      </c>
      <c r="E80" s="128" t="e">
        <f t="shared" si="105"/>
        <v>#DIV/0!</v>
      </c>
      <c r="F80" s="128" t="e">
        <f t="shared" si="105"/>
        <v>#DIV/0!</v>
      </c>
      <c r="G80" s="128" t="e">
        <f t="shared" si="105"/>
        <v>#DIV/0!</v>
      </c>
      <c r="H80" s="128" t="e">
        <f t="shared" si="105"/>
        <v>#DIV/0!</v>
      </c>
      <c r="I80" s="128" t="e">
        <f t="shared" si="105"/>
        <v>#DIV/0!</v>
      </c>
      <c r="J80" s="128" t="e">
        <f t="shared" si="105"/>
        <v>#DIV/0!</v>
      </c>
      <c r="K80" s="128">
        <f t="shared" si="105"/>
        <v>-3.9492957347180813</v>
      </c>
      <c r="L80" s="129">
        <f t="shared" si="105"/>
        <v>0.89567087747168395</v>
      </c>
      <c r="M80" s="129">
        <f t="shared" si="105"/>
        <v>1.1083262415241442</v>
      </c>
      <c r="N80" s="129">
        <f t="shared" si="105"/>
        <v>-1</v>
      </c>
      <c r="V80" s="7"/>
      <c r="W80" s="10"/>
      <c r="X80" s="10"/>
      <c r="Y80" s="10"/>
      <c r="Z80" s="10"/>
      <c r="AA80" s="10"/>
      <c r="AB80" s="128" t="e">
        <f t="shared" si="100"/>
        <v>#REF!</v>
      </c>
      <c r="AC80" s="10"/>
      <c r="AD80" s="128" t="e">
        <f t="shared" si="86"/>
        <v>#REF!</v>
      </c>
      <c r="AE80" s="128" t="e">
        <f t="shared" si="87"/>
        <v>#REF!</v>
      </c>
      <c r="AF80" s="128" t="e">
        <f t="shared" si="88"/>
        <v>#REF!</v>
      </c>
      <c r="AG80" s="128" t="e">
        <f t="shared" si="89"/>
        <v>#REF!</v>
      </c>
      <c r="AH80" s="10"/>
      <c r="AI80" s="129">
        <f t="shared" si="90"/>
        <v>-0.87979506384749417</v>
      </c>
      <c r="AJ80" s="128">
        <f t="shared" si="91"/>
        <v>0.71799172973394709</v>
      </c>
      <c r="AK80" s="129">
        <f t="shared" si="92"/>
        <v>1.1380112774198266</v>
      </c>
      <c r="AL80" s="129">
        <f t="shared" si="93"/>
        <v>0.7748306619274361</v>
      </c>
      <c r="AM80" s="129">
        <f t="shared" si="94"/>
        <v>0.74431552353326469</v>
      </c>
      <c r="AN80" s="10"/>
      <c r="AO80" s="129">
        <f t="shared" si="95"/>
        <v>-1.3903260017522019</v>
      </c>
      <c r="AP80" s="129">
        <f t="shared" si="96"/>
        <v>-0.28694434456787088</v>
      </c>
      <c r="AQ80" s="129">
        <f t="shared" si="97"/>
        <v>0.74530900967982128</v>
      </c>
      <c r="AR80" s="129">
        <f t="shared" si="98"/>
        <v>0.77849954254345832</v>
      </c>
    </row>
    <row r="81" spans="1:44" ht="32">
      <c r="A81" s="38" t="s">
        <v>44</v>
      </c>
      <c r="B81" s="6"/>
      <c r="C81" s="128" t="e">
        <f t="shared" ref="C81:N81" si="106">(C38-B38)/ABS(B38)</f>
        <v>#DIV/0!</v>
      </c>
      <c r="D81" s="128" t="e">
        <f t="shared" si="106"/>
        <v>#DIV/0!</v>
      </c>
      <c r="E81" s="128" t="e">
        <f t="shared" si="106"/>
        <v>#DIV/0!</v>
      </c>
      <c r="F81" s="128" t="e">
        <f t="shared" si="106"/>
        <v>#DIV/0!</v>
      </c>
      <c r="G81" s="128" t="e">
        <f t="shared" si="106"/>
        <v>#DIV/0!</v>
      </c>
      <c r="H81" s="128" t="e">
        <f t="shared" si="106"/>
        <v>#DIV/0!</v>
      </c>
      <c r="I81" s="128" t="e">
        <f t="shared" si="106"/>
        <v>#DIV/0!</v>
      </c>
      <c r="J81" s="128" t="e">
        <f t="shared" si="106"/>
        <v>#DIV/0!</v>
      </c>
      <c r="K81" s="128">
        <f t="shared" si="106"/>
        <v>-1.0080022297519862</v>
      </c>
      <c r="L81" s="129">
        <f t="shared" si="106"/>
        <v>1</v>
      </c>
      <c r="M81" s="129" t="e">
        <f t="shared" si="106"/>
        <v>#DIV/0!</v>
      </c>
      <c r="N81" s="129" t="e">
        <f t="shared" si="106"/>
        <v>#DIV/0!</v>
      </c>
      <c r="V81" s="8"/>
      <c r="W81" s="4"/>
      <c r="X81" s="4"/>
      <c r="Y81" s="6"/>
      <c r="Z81" s="6"/>
      <c r="AA81" s="6"/>
      <c r="AB81" s="128" t="e">
        <f t="shared" si="100"/>
        <v>#DIV/0!</v>
      </c>
      <c r="AC81" s="6"/>
      <c r="AD81" s="128">
        <f t="shared" si="86"/>
        <v>-1</v>
      </c>
      <c r="AE81" s="128">
        <f t="shared" si="87"/>
        <v>-1</v>
      </c>
      <c r="AF81" s="128">
        <f t="shared" si="88"/>
        <v>-1</v>
      </c>
      <c r="AG81" s="128">
        <f t="shared" si="89"/>
        <v>-1.0082823270621182</v>
      </c>
      <c r="AH81" s="4"/>
      <c r="AI81" s="129" t="e">
        <f t="shared" si="90"/>
        <v>#DIV/0!</v>
      </c>
      <c r="AJ81" s="128" t="e">
        <f t="shared" si="91"/>
        <v>#DIV/0!</v>
      </c>
      <c r="AK81" s="129" t="e">
        <f t="shared" si="92"/>
        <v>#DIV/0!</v>
      </c>
      <c r="AL81" s="129" t="e">
        <f t="shared" si="93"/>
        <v>#DIV/0!</v>
      </c>
      <c r="AM81" s="129">
        <f t="shared" si="94"/>
        <v>1</v>
      </c>
      <c r="AN81" s="4"/>
      <c r="AO81" s="129" t="e">
        <f t="shared" si="95"/>
        <v>#DIV/0!</v>
      </c>
      <c r="AP81" s="129" t="e">
        <f t="shared" si="96"/>
        <v>#DIV/0!</v>
      </c>
      <c r="AQ81" s="129" t="e">
        <f t="shared" si="97"/>
        <v>#DIV/0!</v>
      </c>
      <c r="AR81" s="129" t="e">
        <f t="shared" si="98"/>
        <v>#DIV/0!</v>
      </c>
    </row>
    <row r="82" spans="1:44">
      <c r="A82" s="72" t="s">
        <v>65</v>
      </c>
      <c r="B82" s="6"/>
      <c r="C82" s="128">
        <f t="shared" ref="C82:N82" si="107">(C39-B39)/ABS(B39)</f>
        <v>-0.45456142111601766</v>
      </c>
      <c r="D82" s="128">
        <f t="shared" si="107"/>
        <v>-4.1400248401490407E-4</v>
      </c>
      <c r="E82" s="128">
        <f t="shared" si="107"/>
        <v>-4.1431201104463877</v>
      </c>
      <c r="F82" s="128">
        <f t="shared" si="107"/>
        <v>2.595900439238653E-2</v>
      </c>
      <c r="G82" s="128">
        <f t="shared" si="107"/>
        <v>1.2085619372585568</v>
      </c>
      <c r="H82" s="128">
        <f t="shared" si="107"/>
        <v>0.23200000000000001</v>
      </c>
      <c r="I82" s="128">
        <f t="shared" si="107"/>
        <v>-1.1590031590031591</v>
      </c>
      <c r="J82" s="128">
        <f t="shared" si="107"/>
        <v>402.30537159676231</v>
      </c>
      <c r="K82" s="128">
        <f t="shared" si="107"/>
        <v>-1.9698720511062133</v>
      </c>
      <c r="L82" s="129">
        <f t="shared" si="107"/>
        <v>0.89669869910368416</v>
      </c>
      <c r="M82" s="129">
        <f t="shared" si="107"/>
        <v>1.1083262415241442</v>
      </c>
      <c r="N82" s="129">
        <f t="shared" si="107"/>
        <v>-1</v>
      </c>
      <c r="V82" s="8"/>
      <c r="W82" s="10"/>
      <c r="X82" s="10"/>
      <c r="Y82" s="10"/>
      <c r="Z82" s="10"/>
      <c r="AA82" s="10"/>
      <c r="AB82" s="128" t="e">
        <f t="shared" si="100"/>
        <v>#REF!</v>
      </c>
      <c r="AC82" s="10"/>
      <c r="AD82" s="128" t="e">
        <f t="shared" si="86"/>
        <v>#REF!</v>
      </c>
      <c r="AE82" s="128" t="e">
        <f t="shared" si="87"/>
        <v>#REF!</v>
      </c>
      <c r="AF82" s="128" t="e">
        <f t="shared" si="88"/>
        <v>#REF!</v>
      </c>
      <c r="AG82" s="128" t="e">
        <f t="shared" si="89"/>
        <v>#REF!</v>
      </c>
      <c r="AH82" s="10"/>
      <c r="AI82" s="129">
        <f t="shared" si="90"/>
        <v>-0.87979506384749417</v>
      </c>
      <c r="AJ82" s="128">
        <f t="shared" si="91"/>
        <v>0.71799172973394709</v>
      </c>
      <c r="AK82" s="129">
        <f t="shared" si="92"/>
        <v>1.1380112774198266</v>
      </c>
      <c r="AL82" s="129">
        <f t="shared" si="93"/>
        <v>0.7748306619274361</v>
      </c>
      <c r="AM82" s="129">
        <f t="shared" si="94"/>
        <v>0.77209699952042365</v>
      </c>
      <c r="AN82" s="10"/>
      <c r="AO82" s="129">
        <f t="shared" si="95"/>
        <v>-1.3903260017522019</v>
      </c>
      <c r="AP82" s="129">
        <f t="shared" si="96"/>
        <v>-0.28694434456787088</v>
      </c>
      <c r="AQ82" s="129">
        <f t="shared" si="97"/>
        <v>0.74530900967982128</v>
      </c>
      <c r="AR82" s="129">
        <f t="shared" si="98"/>
        <v>0.77849954254345832</v>
      </c>
    </row>
    <row r="83" spans="1:44" ht="32">
      <c r="A83" s="38" t="s">
        <v>66</v>
      </c>
      <c r="B83" s="6"/>
      <c r="C83" s="128">
        <f t="shared" ref="C83:N83" si="108">(C40-B40)/ABS(B40)</f>
        <v>1.0614406779661016</v>
      </c>
      <c r="D83" s="128">
        <f t="shared" si="108"/>
        <v>-69.965517241379317</v>
      </c>
      <c r="E83" s="128">
        <f t="shared" si="108"/>
        <v>0.51500000000000001</v>
      </c>
      <c r="F83" s="128">
        <f t="shared" si="108"/>
        <v>2.1896907216494848</v>
      </c>
      <c r="G83" s="128">
        <f t="shared" si="108"/>
        <v>11.153379549393414</v>
      </c>
      <c r="H83" s="128">
        <f t="shared" si="108"/>
        <v>-4.3850267379679148E-2</v>
      </c>
      <c r="I83" s="128">
        <f t="shared" si="108"/>
        <v>-2.6771066368381804E-2</v>
      </c>
      <c r="J83" s="128">
        <f t="shared" si="108"/>
        <v>-0.54470921768446867</v>
      </c>
      <c r="K83" s="128">
        <f t="shared" si="108"/>
        <v>0.84870414002019523</v>
      </c>
      <c r="L83" s="129">
        <f t="shared" si="108"/>
        <v>0.88666363222576239</v>
      </c>
      <c r="M83" s="129">
        <f t="shared" si="108"/>
        <v>-0.86489746682750301</v>
      </c>
      <c r="N83" s="129">
        <f t="shared" si="108"/>
        <v>-1</v>
      </c>
      <c r="V83" s="8"/>
      <c r="W83" s="4"/>
      <c r="X83" s="4"/>
      <c r="Y83" s="6"/>
      <c r="Z83" s="6"/>
      <c r="AA83" s="6"/>
      <c r="AB83" s="128">
        <f t="shared" si="100"/>
        <v>-0.61063122923588042</v>
      </c>
      <c r="AC83" s="6"/>
      <c r="AD83" s="128">
        <f t="shared" si="86"/>
        <v>-0.80571428571428572</v>
      </c>
      <c r="AE83" s="128">
        <f t="shared" si="87"/>
        <v>1.1564327485380117</v>
      </c>
      <c r="AF83" s="128">
        <f t="shared" si="88"/>
        <v>1.8008874098724348</v>
      </c>
      <c r="AG83" s="128">
        <f t="shared" si="89"/>
        <v>0.48737201365187716</v>
      </c>
      <c r="AH83" s="6"/>
      <c r="AI83" s="129">
        <f t="shared" si="90"/>
        <v>33.313725490196077</v>
      </c>
      <c r="AJ83" s="128">
        <f t="shared" si="91"/>
        <v>109.04901960784314</v>
      </c>
      <c r="AK83" s="129">
        <f t="shared" si="92"/>
        <v>0.69491525423728817</v>
      </c>
      <c r="AL83" s="129">
        <f t="shared" si="93"/>
        <v>-0.60396039603960394</v>
      </c>
      <c r="AM83" s="129">
        <f t="shared" si="94"/>
        <v>-0.65580541532813219</v>
      </c>
      <c r="AN83" s="6"/>
      <c r="AO83" s="129">
        <f t="shared" si="95"/>
        <v>-0.91091314031180404</v>
      </c>
      <c r="AP83" s="129">
        <f t="shared" si="96"/>
        <v>-0.68</v>
      </c>
      <c r="AQ83" s="129">
        <f t="shared" si="97"/>
        <v>-0.7</v>
      </c>
      <c r="AR83" s="129">
        <f t="shared" si="98"/>
        <v>-0.73333333333333328</v>
      </c>
    </row>
    <row r="84" spans="1:44">
      <c r="A84" s="72" t="s">
        <v>67</v>
      </c>
      <c r="B84" s="5"/>
      <c r="C84" s="128">
        <f t="shared" ref="C84:N84" si="109">(C41-B41)/ABS(B41)</f>
        <v>-0.46166435231104941</v>
      </c>
      <c r="D84" s="128">
        <f t="shared" si="109"/>
        <v>9.3044679871027172E-2</v>
      </c>
      <c r="E84" s="128">
        <f t="shared" si="109"/>
        <v>-3.837336704593342</v>
      </c>
      <c r="F84" s="128">
        <f t="shared" si="109"/>
        <v>-5.2131293628397447E-3</v>
      </c>
      <c r="G84" s="128">
        <f t="shared" si="109"/>
        <v>0.99778372068970611</v>
      </c>
      <c r="H84" s="128">
        <f t="shared" si="109"/>
        <v>25.56</v>
      </c>
      <c r="I84" s="128">
        <f t="shared" si="109"/>
        <v>-5.2804017372421281</v>
      </c>
      <c r="J84" s="128">
        <f t="shared" si="109"/>
        <v>69.793582345107495</v>
      </c>
      <c r="K84" s="128">
        <f t="shared" si="109"/>
        <v>-1.9853107375881034</v>
      </c>
      <c r="L84" s="129">
        <f t="shared" si="109"/>
        <v>0.8783707294893397</v>
      </c>
      <c r="M84" s="129">
        <f t="shared" si="109"/>
        <v>1.0695198683137701</v>
      </c>
      <c r="N84" s="129">
        <f t="shared" si="109"/>
        <v>-1</v>
      </c>
      <c r="V84" s="8"/>
      <c r="W84" s="10"/>
      <c r="X84" s="10"/>
      <c r="Y84" s="10"/>
      <c r="Z84" s="10"/>
      <c r="AA84" s="10"/>
      <c r="AB84" s="128" t="e">
        <f t="shared" si="100"/>
        <v>#REF!</v>
      </c>
      <c r="AC84" s="10"/>
      <c r="AD84" s="128" t="e">
        <f t="shared" si="86"/>
        <v>#REF!</v>
      </c>
      <c r="AE84" s="128" t="e">
        <f t="shared" si="87"/>
        <v>#REF!</v>
      </c>
      <c r="AF84" s="128" t="e">
        <f t="shared" si="88"/>
        <v>#REF!</v>
      </c>
      <c r="AG84" s="128" t="e">
        <f t="shared" si="89"/>
        <v>#REF!</v>
      </c>
      <c r="AH84" s="10"/>
      <c r="AI84" s="129">
        <f t="shared" si="90"/>
        <v>-0.92275725936315001</v>
      </c>
      <c r="AJ84" s="128">
        <f t="shared" si="91"/>
        <v>0.57259363149966236</v>
      </c>
      <c r="AK84" s="129">
        <f t="shared" si="92"/>
        <v>1.1344875810195594</v>
      </c>
      <c r="AL84" s="129">
        <f t="shared" si="93"/>
        <v>0.76789074940886937</v>
      </c>
      <c r="AM84" s="129">
        <f t="shared" si="94"/>
        <v>0.767042961426463</v>
      </c>
      <c r="AN84" s="10"/>
      <c r="AO84" s="129">
        <f t="shared" si="95"/>
        <v>-0.60546305298979097</v>
      </c>
      <c r="AP84" s="129">
        <f t="shared" si="96"/>
        <v>-0.27742135561025721</v>
      </c>
      <c r="AQ84" s="129">
        <f t="shared" si="97"/>
        <v>0.74216909216909221</v>
      </c>
      <c r="AR84" s="129">
        <f t="shared" si="98"/>
        <v>0.77559931506849311</v>
      </c>
    </row>
    <row r="85" spans="1:44" ht="32">
      <c r="A85" s="3" t="s">
        <v>68</v>
      </c>
      <c r="C85" s="128"/>
      <c r="D85" s="128"/>
      <c r="E85" s="128"/>
      <c r="F85" s="128"/>
      <c r="G85" s="128"/>
      <c r="H85" s="128"/>
      <c r="I85" s="128"/>
      <c r="J85" s="128"/>
      <c r="K85" s="128"/>
      <c r="L85" s="129"/>
      <c r="M85" s="129"/>
      <c r="N85" s="129"/>
      <c r="V85" s="7"/>
      <c r="W85" s="3"/>
      <c r="X85" s="3"/>
      <c r="Y85" s="4"/>
      <c r="Z85" s="4"/>
      <c r="AA85" s="4"/>
      <c r="AB85" s="128"/>
      <c r="AC85" s="4"/>
      <c r="AD85" s="128"/>
      <c r="AE85" s="128"/>
      <c r="AF85" s="128"/>
      <c r="AG85" s="128"/>
      <c r="AI85" s="129"/>
      <c r="AJ85" s="128" t="e">
        <f t="shared" si="91"/>
        <v>#VALUE!</v>
      </c>
      <c r="AK85" s="129" t="e">
        <f t="shared" si="92"/>
        <v>#VALUE!</v>
      </c>
      <c r="AL85" s="129" t="e">
        <f t="shared" si="93"/>
        <v>#VALUE!</v>
      </c>
      <c r="AM85" s="129" t="e">
        <f t="shared" si="94"/>
        <v>#DIV/0!</v>
      </c>
      <c r="AO85" s="129"/>
      <c r="AP85" s="129"/>
      <c r="AQ85" s="129"/>
      <c r="AR85" s="129"/>
    </row>
    <row r="86" spans="1:44" ht="32">
      <c r="A86" s="38" t="s">
        <v>70</v>
      </c>
      <c r="B86" s="7"/>
      <c r="C86" s="128">
        <f t="shared" ref="C86:N86" si="110">(C43-B43)/ABS(B43)</f>
        <v>-0.47619047619047616</v>
      </c>
      <c r="D86" s="128">
        <f t="shared" si="110"/>
        <v>2.2727272727272749E-2</v>
      </c>
      <c r="E86" s="128">
        <f t="shared" si="110"/>
        <v>-3.5555555555555554</v>
      </c>
      <c r="F86" s="128">
        <f t="shared" si="110"/>
        <v>1.7391304347826105E-2</v>
      </c>
      <c r="G86" s="128">
        <f t="shared" si="110"/>
        <v>1</v>
      </c>
      <c r="H86" s="128" t="e">
        <f t="shared" si="110"/>
        <v>#DIV/0!</v>
      </c>
      <c r="I86" s="128">
        <f t="shared" si="110"/>
        <v>-4.8749133211073463</v>
      </c>
      <c r="J86" s="128">
        <f t="shared" si="110"/>
        <v>67.511790336347957</v>
      </c>
      <c r="K86" s="128">
        <f t="shared" si="110"/>
        <v>-1.6382840082601684</v>
      </c>
      <c r="L86" s="129">
        <f t="shared" si="110"/>
        <v>0.88853340427427618</v>
      </c>
      <c r="M86" s="129">
        <f t="shared" si="110"/>
        <v>1.0657282212852797</v>
      </c>
      <c r="N86" s="129">
        <f t="shared" si="110"/>
        <v>-1</v>
      </c>
      <c r="V86" s="6"/>
      <c r="W86" s="14"/>
      <c r="X86" s="14"/>
      <c r="Y86" s="14"/>
      <c r="Z86" s="14"/>
      <c r="AA86" s="14"/>
      <c r="AB86" s="128" t="e">
        <f>(AB43-W43)/ABS(W43)</f>
        <v>#REF!</v>
      </c>
      <c r="AC86" s="14"/>
      <c r="AD86" s="128" t="e">
        <f t="shared" ref="AD86:AG87" si="111">(AD43-Y43)/ABS(Y43)</f>
        <v>#REF!</v>
      </c>
      <c r="AE86" s="128" t="e">
        <f t="shared" si="111"/>
        <v>#REF!</v>
      </c>
      <c r="AF86" s="128" t="e">
        <f t="shared" si="111"/>
        <v>#REF!</v>
      </c>
      <c r="AG86" s="128" t="e">
        <f t="shared" si="111"/>
        <v>#REF!</v>
      </c>
      <c r="AH86" s="14"/>
      <c r="AI86" s="129">
        <f>(AI43-AD43)/ABS(AD43)</f>
        <v>9.4637421432652857</v>
      </c>
      <c r="AJ86" s="128">
        <f t="shared" si="91"/>
        <v>0.6838401062582532</v>
      </c>
      <c r="AK86" s="129">
        <f t="shared" si="92"/>
        <v>1.1308406560686306</v>
      </c>
      <c r="AL86" s="129">
        <f t="shared" si="93"/>
        <v>0.77491340371163819</v>
      </c>
      <c r="AM86" s="129">
        <f t="shared" si="94"/>
        <v>0.77444920327588163</v>
      </c>
      <c r="AN86" s="14"/>
      <c r="AO86" s="129">
        <f t="shared" ref="AO86:AR87" si="112">(AO43-AJ43)/ABS(AJ43)</f>
        <v>-0.5193595345162858</v>
      </c>
      <c r="AP86" s="129">
        <f t="shared" si="112"/>
        <v>-0.30977562326949942</v>
      </c>
      <c r="AQ86" s="129">
        <f t="shared" si="112"/>
        <v>0.75543980066038896</v>
      </c>
      <c r="AR86" s="129">
        <f t="shared" si="112"/>
        <v>0.78860805042684134</v>
      </c>
    </row>
    <row r="87" spans="1:44" ht="32">
      <c r="A87" s="38" t="s">
        <v>72</v>
      </c>
      <c r="B87" s="6"/>
      <c r="C87" s="128">
        <f t="shared" ref="C87:N87" si="113">(C44-B44)/ABS(B44)</f>
        <v>2.4024024024024024E-2</v>
      </c>
      <c r="D87" s="128">
        <f t="shared" si="113"/>
        <v>7.990696733744565E-2</v>
      </c>
      <c r="E87" s="128">
        <f t="shared" si="113"/>
        <v>9.4426548805153943E-2</v>
      </c>
      <c r="F87" s="128">
        <f t="shared" si="113"/>
        <v>2.573667818884972E-2</v>
      </c>
      <c r="G87" s="128">
        <f t="shared" si="113"/>
        <v>2.8193920790097093E-2</v>
      </c>
      <c r="H87" s="128">
        <f t="shared" si="113"/>
        <v>7.8076323987538943E-2</v>
      </c>
      <c r="I87" s="128">
        <f t="shared" si="113"/>
        <v>0.10464451267232557</v>
      </c>
      <c r="J87" s="128">
        <f t="shared" si="113"/>
        <v>3.4306579287981795E-2</v>
      </c>
      <c r="K87" s="128">
        <f t="shared" si="113"/>
        <v>0.54368701837581501</v>
      </c>
      <c r="L87" s="129">
        <f t="shared" si="113"/>
        <v>9.117237966020697E-2</v>
      </c>
      <c r="M87" s="129">
        <f t="shared" si="113"/>
        <v>5.7686743294539801E-2</v>
      </c>
      <c r="N87" s="129">
        <f t="shared" si="113"/>
        <v>-1</v>
      </c>
      <c r="V87" s="5"/>
      <c r="W87" s="4"/>
      <c r="X87" s="4"/>
      <c r="Y87" s="6"/>
      <c r="Z87" s="6"/>
      <c r="AA87" s="6"/>
      <c r="AB87" s="128">
        <f>(AB44-W44)/ABS(W44)</f>
        <v>3.1319970503452435E-2</v>
      </c>
      <c r="AC87" s="6"/>
      <c r="AD87" s="128">
        <f t="shared" si="111"/>
        <v>0.24368513150688592</v>
      </c>
      <c r="AE87" s="128">
        <f t="shared" si="111"/>
        <v>0.64377359486786878</v>
      </c>
      <c r="AF87" s="128">
        <f t="shared" si="111"/>
        <v>0.6430297617484042</v>
      </c>
      <c r="AG87" s="128">
        <f t="shared" si="111"/>
        <v>0.63631518050987379</v>
      </c>
      <c r="AH87" s="6"/>
      <c r="AI87" s="129">
        <f>(AI44-AD44)/ABS(AD44)</f>
        <v>0.35866646617833436</v>
      </c>
      <c r="AJ87" s="128">
        <f t="shared" si="91"/>
        <v>0.3518677636242562</v>
      </c>
      <c r="AK87" s="129">
        <f t="shared" si="92"/>
        <v>2.7873025560311251E-2</v>
      </c>
      <c r="AL87" s="129">
        <f t="shared" si="93"/>
        <v>3.119978896376412E-2</v>
      </c>
      <c r="AM87" s="129">
        <f t="shared" si="94"/>
        <v>3.2836247785360741E-2</v>
      </c>
      <c r="AN87" s="6"/>
      <c r="AO87" s="129">
        <f t="shared" si="112"/>
        <v>5.6670930426561371E-2</v>
      </c>
      <c r="AP87" s="129">
        <f t="shared" si="112"/>
        <v>4.6875E-2</v>
      </c>
      <c r="AQ87" s="129">
        <f t="shared" si="112"/>
        <v>5.4263565891472867E-2</v>
      </c>
      <c r="AR87" s="129">
        <f t="shared" si="112"/>
        <v>6.1538461538461542E-2</v>
      </c>
    </row>
    <row r="88" spans="1:44">
      <c r="B88" s="32"/>
      <c r="C88" s="32"/>
      <c r="D88" s="32"/>
      <c r="E88" s="32"/>
      <c r="F88" s="32"/>
      <c r="G88" s="32"/>
      <c r="H88" s="32"/>
      <c r="I88" s="32"/>
      <c r="J88" s="32"/>
      <c r="K88" s="32"/>
      <c r="L88" s="116"/>
      <c r="M88" s="116"/>
      <c r="N88" s="116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  <c r="AG88" s="32"/>
      <c r="AH88" s="32"/>
      <c r="AI88" s="32"/>
      <c r="AJ88" s="32"/>
      <c r="AK88" s="32"/>
      <c r="AL88" s="32"/>
    </row>
    <row r="89" spans="1:44">
      <c r="A89" s="75" t="s">
        <v>228</v>
      </c>
    </row>
    <row r="90" spans="1:44">
      <c r="A90" s="135" t="s">
        <v>232</v>
      </c>
    </row>
    <row r="91" spans="1:44">
      <c r="A91" s="136" t="s">
        <v>229</v>
      </c>
      <c r="B91" s="137">
        <f>(B20-B24)/B20</f>
        <v>0.30277468354430381</v>
      </c>
      <c r="C91" s="137">
        <f t="shared" ref="C91:E91" si="114">(C20-C24)/C20</f>
        <v>0.30552772682376184</v>
      </c>
      <c r="D91" s="137">
        <f t="shared" si="114"/>
        <v>0.32727826588853975</v>
      </c>
      <c r="E91" s="137">
        <f t="shared" si="114"/>
        <v>0.29711902671516366</v>
      </c>
      <c r="F91" s="137">
        <f>(F20-F24)/F20</f>
        <v>0.25649308577507013</v>
      </c>
      <c r="G91" s="137">
        <f t="shared" ref="G91:N91" si="115">(G20-G24)/G20</f>
        <v>0.30295457497943101</v>
      </c>
      <c r="H91" s="137">
        <f t="shared" si="115"/>
        <v>0.30664243606223129</v>
      </c>
      <c r="I91" s="187">
        <f t="shared" si="115"/>
        <v>0.30396713783454116</v>
      </c>
      <c r="J91" s="187">
        <f t="shared" si="115"/>
        <v>0.28220570400219086</v>
      </c>
      <c r="K91" s="187">
        <f t="shared" si="115"/>
        <v>0.32254166861198003</v>
      </c>
      <c r="L91" s="188">
        <f>(L20-L24)/L20</f>
        <v>0.28974884088861541</v>
      </c>
      <c r="M91" s="188">
        <f t="shared" si="115"/>
        <v>0.32075908143030935</v>
      </c>
      <c r="N91" s="158">
        <f t="shared" si="115"/>
        <v>0.33500000000000002</v>
      </c>
      <c r="O91" s="158">
        <f t="shared" ref="O91:S91" si="116">(O20-O24)/O20</f>
        <v>0.33999999999999997</v>
      </c>
      <c r="P91" s="158">
        <f t="shared" si="116"/>
        <v>0.34499999999999997</v>
      </c>
      <c r="Q91" s="158">
        <f t="shared" si="116"/>
        <v>0.35</v>
      </c>
      <c r="R91" s="158">
        <f t="shared" si="116"/>
        <v>0.35</v>
      </c>
      <c r="S91" s="158">
        <f t="shared" si="116"/>
        <v>0.35</v>
      </c>
      <c r="T91" s="158"/>
      <c r="U91" s="158"/>
    </row>
    <row r="92" spans="1:44">
      <c r="A92" s="136" t="s">
        <v>230</v>
      </c>
      <c r="B92" s="187">
        <f>B29/B20</f>
        <v>6.0115009041591318E-2</v>
      </c>
      <c r="C92" s="187">
        <f t="shared" ref="C92:E92" si="117">C29/C20</f>
        <v>2.8988288415408493E-2</v>
      </c>
      <c r="D92" s="187">
        <f t="shared" si="117"/>
        <v>2.3357917014044764E-2</v>
      </c>
      <c r="E92" s="187">
        <f t="shared" si="117"/>
        <v>-5.7827668380785152E-2</v>
      </c>
      <c r="F92" s="187">
        <f>F29/F20</f>
        <v>-2.9338555265448214E-2</v>
      </c>
      <c r="G92" s="187">
        <f t="shared" ref="G92:M92" si="118">G29/G20</f>
        <v>1.6664357164508727E-2</v>
      </c>
      <c r="H92" s="187">
        <f t="shared" si="118"/>
        <v>2.5808253180266832E-2</v>
      </c>
      <c r="I92" s="187">
        <f t="shared" si="118"/>
        <v>2.9041400588361915E-3</v>
      </c>
      <c r="J92" s="187">
        <f t="shared" si="118"/>
        <v>-6.1035953209968311E-2</v>
      </c>
      <c r="K92" s="187">
        <f t="shared" si="118"/>
        <v>-0.20770437462066391</v>
      </c>
      <c r="L92" s="188">
        <f t="shared" si="118"/>
        <v>-2.0973873299786856E-2</v>
      </c>
      <c r="M92" s="188">
        <f t="shared" si="118"/>
        <v>1.5337052222368195E-2</v>
      </c>
      <c r="N92" s="188">
        <f>M92*(1+$T92)</f>
        <v>1.6103904833486605E-2</v>
      </c>
      <c r="O92" s="188">
        <f t="shared" ref="O92:S92" si="119">N92*(1+$T92)</f>
        <v>1.6909100075160936E-2</v>
      </c>
      <c r="P92" s="188">
        <f t="shared" si="119"/>
        <v>1.7754555078918984E-2</v>
      </c>
      <c r="Q92" s="188">
        <f t="shared" si="119"/>
        <v>1.8642282832864933E-2</v>
      </c>
      <c r="R92" s="188">
        <f t="shared" si="119"/>
        <v>1.957439697450818E-2</v>
      </c>
      <c r="S92" s="188">
        <f t="shared" si="119"/>
        <v>2.0553116823233589E-2</v>
      </c>
      <c r="T92" s="158">
        <v>0.05</v>
      </c>
      <c r="U92" s="158"/>
    </row>
    <row r="93" spans="1:44">
      <c r="A93" s="136" t="s">
        <v>231</v>
      </c>
      <c r="B93" s="137">
        <f>B41/B20</f>
        <v>2.9170343580470163E-2</v>
      </c>
      <c r="C93" s="137">
        <f t="shared" ref="C93:E93" si="120">C41/C20</f>
        <v>1.5316777197685904E-2</v>
      </c>
      <c r="D93" s="137">
        <f t="shared" si="120"/>
        <v>1.5218367216058487E-2</v>
      </c>
      <c r="E93" s="137">
        <f t="shared" si="120"/>
        <v>-4.2223755173711276E-2</v>
      </c>
      <c r="F93" s="137">
        <f>F41/F20</f>
        <v>-3.2724591432163233E-2</v>
      </c>
      <c r="G93" s="137">
        <f t="shared" ref="G93:N93" si="121">G41/G20</f>
        <v>-6.4954748192092837E-5</v>
      </c>
      <c r="H93" s="137">
        <f t="shared" si="121"/>
        <v>1.6329063428039538E-3</v>
      </c>
      <c r="I93" s="137">
        <f t="shared" si="121"/>
        <v>-5.6572433091770105E-3</v>
      </c>
      <c r="J93" s="137">
        <f t="shared" si="121"/>
        <v>0.42439888893235789</v>
      </c>
      <c r="K93" s="137">
        <f t="shared" si="121"/>
        <v>-0.24951468322517392</v>
      </c>
      <c r="L93" s="158">
        <f t="shared" si="121"/>
        <v>-2.8567096618251336E-2</v>
      </c>
      <c r="M93" s="158">
        <f>M41/M20</f>
        <v>1.877363737624729E-3</v>
      </c>
      <c r="N93" s="158">
        <f t="shared" si="121"/>
        <v>0</v>
      </c>
      <c r="O93" s="158">
        <f t="shared" ref="O93:S93" si="122">O41/O20</f>
        <v>0</v>
      </c>
      <c r="P93" s="158">
        <f t="shared" si="122"/>
        <v>0</v>
      </c>
      <c r="Q93" s="158">
        <f t="shared" si="122"/>
        <v>0</v>
      </c>
      <c r="R93" s="158">
        <f t="shared" si="122"/>
        <v>0</v>
      </c>
      <c r="S93" s="158">
        <f t="shared" si="122"/>
        <v>0</v>
      </c>
      <c r="T93" s="158"/>
      <c r="U93" s="158"/>
    </row>
    <row r="97" spans="1:38">
      <c r="A97" s="75" t="s">
        <v>200</v>
      </c>
      <c r="B97" s="32"/>
      <c r="C97" s="32"/>
      <c r="D97" s="32"/>
      <c r="E97" s="32"/>
      <c r="F97" s="32"/>
      <c r="G97" s="32"/>
      <c r="H97" s="32"/>
      <c r="I97" s="32"/>
      <c r="J97" s="32"/>
      <c r="K97" s="32"/>
      <c r="L97" s="116"/>
      <c r="M97" s="116"/>
      <c r="N97" s="116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  <c r="AG97" s="32"/>
      <c r="AH97" s="32"/>
      <c r="AI97" s="32"/>
      <c r="AJ97" s="32"/>
      <c r="AK97" s="32"/>
      <c r="AL97" s="32"/>
    </row>
    <row r="98" spans="1:38">
      <c r="A98" s="44" t="s">
        <v>122</v>
      </c>
      <c r="B98" s="45">
        <v>39856</v>
      </c>
      <c r="C98" s="45">
        <v>21739</v>
      </c>
      <c r="D98" s="45">
        <v>21730</v>
      </c>
      <c r="E98" s="45">
        <v>-68300</v>
      </c>
      <c r="F98" s="45">
        <f>F39</f>
        <v>-66527</v>
      </c>
      <c r="G98" s="45">
        <f>G39</f>
        <v>13875</v>
      </c>
      <c r="H98" s="45">
        <f>H39</f>
        <v>17094</v>
      </c>
      <c r="I98" s="45">
        <f>I39</f>
        <v>-2718</v>
      </c>
      <c r="J98" s="45">
        <f>J39</f>
        <v>1090748</v>
      </c>
      <c r="K98" s="45">
        <v>-1057877</v>
      </c>
      <c r="L98" s="159">
        <v>-537494</v>
      </c>
      <c r="M98" s="159">
        <f>M39</f>
        <v>11838</v>
      </c>
      <c r="N98" s="159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  <c r="AG98" s="32"/>
      <c r="AH98" s="32"/>
      <c r="AI98" s="32"/>
      <c r="AJ98" s="32"/>
      <c r="AK98" s="32"/>
      <c r="AL98" s="32"/>
    </row>
    <row r="99" spans="1:38">
      <c r="A99" s="44" t="s">
        <v>123</v>
      </c>
      <c r="B99" s="45">
        <v>221433</v>
      </c>
      <c r="C99" s="45">
        <v>242076</v>
      </c>
      <c r="D99" s="45">
        <v>245922</v>
      </c>
      <c r="E99" s="45">
        <v>255652</v>
      </c>
      <c r="F99" s="45">
        <v>318613</v>
      </c>
      <c r="G99" s="45">
        <v>342178</v>
      </c>
      <c r="H99" s="45">
        <v>397102</v>
      </c>
      <c r="I99" s="45">
        <v>495447</v>
      </c>
      <c r="J99" s="45">
        <v>500377</v>
      </c>
      <c r="K99" s="45">
        <v>1157524</v>
      </c>
      <c r="L99" s="159">
        <v>1109000</v>
      </c>
      <c r="M99" s="159">
        <v>1149313</v>
      </c>
      <c r="N99" s="159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2"/>
      <c r="AG99" s="32"/>
      <c r="AH99" s="32"/>
      <c r="AI99" s="32"/>
      <c r="AJ99" s="32"/>
      <c r="AK99" s="32"/>
      <c r="AL99" s="32"/>
    </row>
    <row r="100" spans="1:38">
      <c r="A100" s="44" t="s">
        <v>124</v>
      </c>
      <c r="B100" s="45">
        <v>12420</v>
      </c>
      <c r="C100" s="45">
        <v>-5003</v>
      </c>
      <c r="D100" s="45">
        <v>-218</v>
      </c>
      <c r="E100" s="45">
        <v>68545</v>
      </c>
      <c r="F100" s="45">
        <v>79599</v>
      </c>
      <c r="G100" s="45">
        <v>86553</v>
      </c>
      <c r="H100" s="45">
        <v>84879</v>
      </c>
      <c r="I100" s="45">
        <v>86808</v>
      </c>
      <c r="J100" s="45">
        <v>84459</v>
      </c>
      <c r="K100" s="45">
        <v>83631</v>
      </c>
      <c r="L100" s="159">
        <v>85000</v>
      </c>
      <c r="M100" s="159">
        <v>85500</v>
      </c>
      <c r="N100" s="159"/>
      <c r="V100" s="32"/>
      <c r="W100" s="32"/>
      <c r="X100" s="32"/>
      <c r="Y100" s="32"/>
      <c r="Z100" s="32"/>
      <c r="AA100" s="32"/>
      <c r="AB100" s="32"/>
      <c r="AC100" s="32"/>
      <c r="AD100" s="32"/>
      <c r="AE100" s="32"/>
      <c r="AF100" s="32"/>
      <c r="AG100" s="32"/>
      <c r="AH100" s="32"/>
      <c r="AI100" s="32"/>
      <c r="AJ100" s="32"/>
      <c r="AK100" s="32"/>
      <c r="AL100" s="32"/>
    </row>
    <row r="101" spans="1:38">
      <c r="A101" s="44" t="s">
        <v>125</v>
      </c>
      <c r="B101" s="45">
        <v>4778</v>
      </c>
      <c r="C101" s="45">
        <v>8957</v>
      </c>
      <c r="D101" s="45">
        <v>10018</v>
      </c>
      <c r="E101" s="45">
        <v>-29675</v>
      </c>
      <c r="F101" s="45">
        <v>-25330</v>
      </c>
      <c r="G101" s="45">
        <v>-3154</v>
      </c>
      <c r="H101" s="45">
        <v>7773</v>
      </c>
      <c r="I101" s="45">
        <v>-11772</v>
      </c>
      <c r="J101" s="45">
        <v>380672</v>
      </c>
      <c r="K101" s="45">
        <v>-111077</v>
      </c>
      <c r="L101" s="159">
        <v>-50000</v>
      </c>
      <c r="M101" s="159">
        <v>0</v>
      </c>
      <c r="N101" s="159"/>
      <c r="V101" s="32"/>
      <c r="W101" s="32"/>
      <c r="X101" s="32"/>
      <c r="Y101" s="32"/>
      <c r="Z101" s="32"/>
      <c r="AA101" s="32"/>
      <c r="AB101" s="32"/>
      <c r="AC101" s="32"/>
      <c r="AD101" s="32"/>
      <c r="AE101" s="32"/>
      <c r="AF101" s="32"/>
      <c r="AG101" s="32"/>
      <c r="AH101" s="32"/>
      <c r="AI101" s="32"/>
      <c r="AJ101" s="32"/>
      <c r="AK101" s="32"/>
      <c r="AL101" s="32"/>
    </row>
    <row r="102" spans="1:38">
      <c r="A102" s="44" t="s">
        <v>126</v>
      </c>
      <c r="B102" s="45">
        <v>71350</v>
      </c>
      <c r="C102" s="45">
        <v>81470</v>
      </c>
      <c r="D102" s="45">
        <v>91206</v>
      </c>
      <c r="E102" s="45">
        <v>43195</v>
      </c>
      <c r="F102" s="45">
        <v>41957</v>
      </c>
      <c r="G102" s="45">
        <v>45622</v>
      </c>
      <c r="H102" s="45">
        <v>39442</v>
      </c>
      <c r="I102" s="45">
        <v>46793</v>
      </c>
      <c r="J102" s="45">
        <v>-1656794</v>
      </c>
      <c r="K102" s="45">
        <v>975383</v>
      </c>
      <c r="L102" s="159">
        <v>46000</v>
      </c>
      <c r="M102" s="159">
        <v>0</v>
      </c>
      <c r="N102" s="159"/>
      <c r="V102" s="32"/>
      <c r="W102" s="32"/>
      <c r="X102" s="32"/>
      <c r="Y102" s="32"/>
      <c r="Z102" s="32"/>
      <c r="AA102" s="32"/>
      <c r="AB102" s="32"/>
      <c r="AC102" s="32"/>
      <c r="AD102" s="32"/>
      <c r="AE102" s="32"/>
      <c r="AF102" s="32"/>
      <c r="AG102" s="32"/>
      <c r="AH102" s="32"/>
      <c r="AI102" s="32"/>
      <c r="AJ102" s="32"/>
      <c r="AK102" s="32"/>
      <c r="AL102" s="32"/>
    </row>
    <row r="103" spans="1:38">
      <c r="A103" s="44" t="s">
        <v>127</v>
      </c>
      <c r="B103" s="45">
        <v>-356</v>
      </c>
      <c r="C103" s="45">
        <v>-52333</v>
      </c>
      <c r="D103" s="45">
        <v>42603</v>
      </c>
      <c r="E103" s="45">
        <v>89191</v>
      </c>
      <c r="F103" s="45">
        <v>-20819</v>
      </c>
      <c r="G103" s="45">
        <v>-48076</v>
      </c>
      <c r="H103" s="45">
        <v>180918</v>
      </c>
      <c r="I103" s="45">
        <v>-109152</v>
      </c>
      <c r="J103" s="45">
        <v>-31601</v>
      </c>
      <c r="K103" s="45">
        <v>-359346</v>
      </c>
      <c r="L103" s="159">
        <v>-310000</v>
      </c>
      <c r="M103" s="159">
        <v>-280000</v>
      </c>
      <c r="N103" s="159"/>
      <c r="V103" s="32"/>
      <c r="W103" s="32"/>
      <c r="X103" s="32"/>
      <c r="Y103" s="32"/>
      <c r="Z103" s="32"/>
      <c r="AA103" s="32"/>
      <c r="AB103" s="32"/>
      <c r="AC103" s="32"/>
      <c r="AD103" s="32"/>
      <c r="AE103" s="32"/>
      <c r="AF103" s="32"/>
      <c r="AG103" s="32"/>
      <c r="AH103" s="32"/>
      <c r="AI103" s="32"/>
      <c r="AJ103" s="32"/>
      <c r="AK103" s="32"/>
      <c r="AL103" s="32"/>
    </row>
    <row r="104" spans="1:38">
      <c r="A104" s="83" t="s">
        <v>128</v>
      </c>
      <c r="B104" s="45">
        <v>349481</v>
      </c>
      <c r="C104" s="45">
        <v>296906</v>
      </c>
      <c r="D104" s="45">
        <v>411261</v>
      </c>
      <c r="E104" s="45">
        <v>358608</v>
      </c>
      <c r="F104" s="45">
        <f>F98+F99+F100+F101+F102+F103</f>
        <v>327493</v>
      </c>
      <c r="G104" s="45">
        <f t="shared" ref="G104:M104" si="123">G98+G99+G100+G101+G102+G103</f>
        <v>436998</v>
      </c>
      <c r="H104" s="45">
        <f t="shared" si="123"/>
        <v>727208</v>
      </c>
      <c r="I104" s="45">
        <f t="shared" si="123"/>
        <v>505406</v>
      </c>
      <c r="J104" s="45">
        <f t="shared" si="123"/>
        <v>367861</v>
      </c>
      <c r="K104" s="45">
        <v>688238</v>
      </c>
      <c r="L104" s="159">
        <v>412506</v>
      </c>
      <c r="M104" s="159">
        <f t="shared" si="123"/>
        <v>966651</v>
      </c>
      <c r="N104" s="159"/>
      <c r="V104" s="32"/>
      <c r="W104" s="32"/>
      <c r="X104" s="32"/>
      <c r="Y104" s="32"/>
      <c r="Z104" s="32"/>
      <c r="AA104" s="32"/>
      <c r="AB104" s="32"/>
      <c r="AC104" s="32"/>
      <c r="AD104" s="32"/>
      <c r="AE104" s="32"/>
      <c r="AF104" s="32"/>
      <c r="AG104" s="32"/>
      <c r="AH104" s="32"/>
      <c r="AI104" s="32"/>
      <c r="AJ104" s="32"/>
      <c r="AK104" s="32"/>
      <c r="AL104" s="32"/>
    </row>
    <row r="105" spans="1:38">
      <c r="A105" s="44" t="s">
        <v>129</v>
      </c>
      <c r="B105" s="45">
        <v>-366492</v>
      </c>
      <c r="C105" s="45">
        <v>-377894</v>
      </c>
      <c r="D105" s="45">
        <v>-487133</v>
      </c>
      <c r="E105" s="45">
        <v>-511634</v>
      </c>
      <c r="F105" s="45">
        <v>-639194</v>
      </c>
      <c r="G105" s="45">
        <v>-693966</v>
      </c>
      <c r="H105" s="45">
        <v>-827241</v>
      </c>
      <c r="I105" s="45">
        <v>-938280</v>
      </c>
      <c r="J105" s="45">
        <v>-1076968</v>
      </c>
      <c r="K105" s="45">
        <v>-1621385</v>
      </c>
      <c r="L105" s="159">
        <v>-1450000</v>
      </c>
      <c r="M105" s="159">
        <v>-1150000</v>
      </c>
      <c r="N105" s="159"/>
      <c r="V105" s="32"/>
      <c r="W105" s="32"/>
      <c r="X105" s="32"/>
      <c r="Y105" s="32"/>
      <c r="Z105" s="32"/>
      <c r="AA105" s="32"/>
      <c r="AB105" s="32"/>
      <c r="AC105" s="32"/>
      <c r="AD105" s="32"/>
      <c r="AE105" s="32"/>
      <c r="AF105" s="32"/>
      <c r="AG105" s="32"/>
      <c r="AH105" s="32"/>
      <c r="AI105" s="32"/>
      <c r="AJ105" s="32"/>
      <c r="AK105" s="32"/>
      <c r="AL105" s="32"/>
    </row>
    <row r="106" spans="1:38">
      <c r="A106" s="44" t="s">
        <v>130</v>
      </c>
      <c r="B106" s="45">
        <v>-17011</v>
      </c>
      <c r="C106" s="45">
        <v>-80988</v>
      </c>
      <c r="D106" s="45">
        <v>-75872</v>
      </c>
      <c r="E106" s="45">
        <v>-153026</v>
      </c>
      <c r="F106" s="45">
        <f>F104+F105</f>
        <v>-311701</v>
      </c>
      <c r="G106" s="45">
        <f>G104+G105</f>
        <v>-256968</v>
      </c>
      <c r="H106" s="45">
        <f>H104+H105</f>
        <v>-100033</v>
      </c>
      <c r="I106" s="45">
        <f>I104+I105</f>
        <v>-432874</v>
      </c>
      <c r="J106" s="45">
        <f>J104+J105</f>
        <v>-709107</v>
      </c>
      <c r="K106" s="45">
        <v>-933147</v>
      </c>
      <c r="L106" s="160">
        <v>-787494</v>
      </c>
      <c r="M106" s="159">
        <f>M104+M105</f>
        <v>-183349</v>
      </c>
      <c r="N106" s="159"/>
      <c r="V106" s="32"/>
      <c r="W106" s="32"/>
      <c r="X106" s="32"/>
      <c r="Y106" s="32"/>
      <c r="Z106" s="32"/>
      <c r="AA106" s="32"/>
      <c r="AB106" s="32"/>
      <c r="AC106" s="32"/>
      <c r="AD106" s="32"/>
      <c r="AE106" s="32"/>
      <c r="AF106" s="32"/>
      <c r="AG106" s="32"/>
      <c r="AH106" s="32"/>
      <c r="AI106" s="32"/>
      <c r="AJ106" s="32"/>
      <c r="AK106" s="32"/>
      <c r="AL106" s="32"/>
    </row>
    <row r="107" spans="1:38">
      <c r="A107" s="44" t="s">
        <v>131</v>
      </c>
      <c r="B107" s="47">
        <v>-0.35230402816609713</v>
      </c>
      <c r="C107" s="47">
        <v>-1.6379411467286884</v>
      </c>
      <c r="D107" s="47">
        <v>-1.4209304067720427</v>
      </c>
      <c r="E107" s="47">
        <v>-2.6186043327971524</v>
      </c>
      <c r="F107" s="47">
        <f>F106/F44</f>
        <v>-5.2000433752627542</v>
      </c>
      <c r="G107" s="47">
        <f>G106/G44</f>
        <v>-4.1693925233644862</v>
      </c>
      <c r="H107" s="47">
        <f>H106/H44</f>
        <v>-1.5055234483173801</v>
      </c>
      <c r="I107" s="47">
        <f>I106/I44</f>
        <v>-5.897706990748941</v>
      </c>
      <c r="J107" s="47">
        <f>J106/J44</f>
        <v>-9.3408022130013837</v>
      </c>
      <c r="K107" s="47">
        <v>-7.9627524767682978</v>
      </c>
      <c r="L107" s="159">
        <v>-6.1343252190847126</v>
      </c>
      <c r="M107" s="161">
        <f>M106/M44</f>
        <v>-1.355630314232902</v>
      </c>
      <c r="N107" s="161"/>
      <c r="V107" s="32"/>
      <c r="W107" s="32"/>
      <c r="X107" s="32"/>
      <c r="Y107" s="32"/>
      <c r="Z107" s="32"/>
      <c r="AA107" s="32"/>
      <c r="AB107" s="32"/>
      <c r="AC107" s="32"/>
      <c r="AD107" s="32"/>
      <c r="AE107" s="32"/>
      <c r="AF107" s="32"/>
      <c r="AG107" s="32"/>
      <c r="AH107" s="32"/>
      <c r="AI107" s="32"/>
      <c r="AJ107" s="32"/>
      <c r="AK107" s="32"/>
      <c r="AL107" s="32"/>
    </row>
    <row r="108" spans="1:38">
      <c r="A108" s="44" t="s">
        <v>132</v>
      </c>
      <c r="B108" s="45">
        <v>-110062</v>
      </c>
      <c r="C108" s="45">
        <v>-78391</v>
      </c>
      <c r="D108" s="45">
        <v>-227872</v>
      </c>
      <c r="E108" s="45">
        <v>-72853</v>
      </c>
      <c r="F108" s="45">
        <v>149775</v>
      </c>
      <c r="G108" s="45">
        <v>-64835</v>
      </c>
      <c r="H108" s="45">
        <v>-58030</v>
      </c>
      <c r="I108" s="45">
        <v>-191563</v>
      </c>
      <c r="J108" s="45">
        <v>1845005</v>
      </c>
      <c r="K108" s="45">
        <v>330205</v>
      </c>
      <c r="L108" s="161">
        <v>0</v>
      </c>
      <c r="M108" s="159">
        <v>0</v>
      </c>
      <c r="N108" s="159"/>
      <c r="V108" s="32"/>
      <c r="W108" s="32"/>
      <c r="X108" s="32"/>
      <c r="Y108" s="32"/>
      <c r="Z108" s="32"/>
      <c r="AA108" s="32"/>
      <c r="AB108" s="32"/>
      <c r="AC108" s="32"/>
      <c r="AD108" s="32"/>
      <c r="AE108" s="32"/>
      <c r="AF108" s="32"/>
      <c r="AG108" s="32"/>
      <c r="AH108" s="32"/>
      <c r="AI108" s="32"/>
      <c r="AJ108" s="32"/>
      <c r="AK108" s="32"/>
      <c r="AL108" s="32"/>
    </row>
    <row r="109" spans="1:38">
      <c r="A109" s="44" t="s">
        <v>133</v>
      </c>
      <c r="B109" s="45">
        <v>-2757</v>
      </c>
      <c r="C109" s="45">
        <v>-840</v>
      </c>
      <c r="D109" s="45">
        <v>-6677</v>
      </c>
      <c r="E109" s="45">
        <v>167744</v>
      </c>
      <c r="F109" s="45">
        <v>367393</v>
      </c>
      <c r="G109" s="45">
        <v>357830</v>
      </c>
      <c r="H109" s="45">
        <v>-25612</v>
      </c>
      <c r="I109" s="45">
        <v>649338</v>
      </c>
      <c r="J109" s="45">
        <v>-37985</v>
      </c>
      <c r="K109" s="45">
        <v>1169506</v>
      </c>
      <c r="L109" s="159">
        <v>750000</v>
      </c>
      <c r="M109" s="159">
        <v>0</v>
      </c>
      <c r="N109" s="159"/>
      <c r="V109" s="32"/>
      <c r="W109" s="32"/>
      <c r="X109" s="32"/>
      <c r="Y109" s="32"/>
      <c r="Z109" s="32"/>
      <c r="AA109" s="32"/>
      <c r="AB109" s="32"/>
      <c r="AC109" s="32"/>
      <c r="AD109" s="32"/>
      <c r="AE109" s="32"/>
      <c r="AF109" s="32"/>
      <c r="AG109" s="32"/>
      <c r="AH109" s="32"/>
      <c r="AI109" s="32"/>
      <c r="AJ109" s="32"/>
      <c r="AK109" s="32"/>
      <c r="AL109" s="32"/>
    </row>
    <row r="110" spans="1:38">
      <c r="A110" s="44" t="s">
        <v>134</v>
      </c>
      <c r="B110" s="45">
        <v>8414</v>
      </c>
      <c r="C110" s="45">
        <v>5912</v>
      </c>
      <c r="D110" s="45">
        <v>503794</v>
      </c>
      <c r="E110" s="45">
        <v>10450</v>
      </c>
      <c r="F110" s="45">
        <v>-2496</v>
      </c>
      <c r="G110" s="45">
        <v>9608</v>
      </c>
      <c r="H110" s="45">
        <v>180174</v>
      </c>
      <c r="I110" s="45">
        <v>-2420</v>
      </c>
      <c r="J110" s="45">
        <v>-24807</v>
      </c>
      <c r="K110" s="45">
        <v>-45598</v>
      </c>
      <c r="L110" s="159">
        <v>-20000</v>
      </c>
      <c r="M110" s="159">
        <v>-20000</v>
      </c>
      <c r="N110" s="159"/>
      <c r="V110" s="32"/>
      <c r="W110" s="32"/>
      <c r="X110" s="32"/>
      <c r="Y110" s="32"/>
      <c r="Z110" s="32"/>
      <c r="AA110" s="32"/>
      <c r="AB110" s="32"/>
      <c r="AC110" s="32"/>
      <c r="AD110" s="32"/>
      <c r="AE110" s="32"/>
      <c r="AF110" s="32"/>
      <c r="AG110" s="32"/>
      <c r="AH110" s="32"/>
      <c r="AI110" s="32"/>
      <c r="AJ110" s="32"/>
      <c r="AK110" s="32"/>
      <c r="AL110" s="32"/>
    </row>
    <row r="111" spans="1:38">
      <c r="A111" s="44" t="s">
        <v>126</v>
      </c>
      <c r="B111" s="45">
        <v>-3617</v>
      </c>
      <c r="C111" s="45">
        <v>-1733</v>
      </c>
      <c r="D111" s="45">
        <v>-2869</v>
      </c>
      <c r="E111" s="45">
        <v>-390</v>
      </c>
      <c r="F111" s="45">
        <v>-12774</v>
      </c>
      <c r="G111" s="45">
        <v>-2965</v>
      </c>
      <c r="H111" s="45">
        <v>-4866</v>
      </c>
      <c r="I111" s="45">
        <v>-8206</v>
      </c>
      <c r="J111" s="45">
        <v>-4179</v>
      </c>
      <c r="K111" s="45">
        <v>723</v>
      </c>
      <c r="L111" s="159">
        <v>300</v>
      </c>
      <c r="M111" s="159">
        <v>150</v>
      </c>
      <c r="N111" s="159"/>
      <c r="V111" s="32"/>
      <c r="W111" s="32"/>
      <c r="X111" s="32"/>
      <c r="Y111" s="32"/>
      <c r="Z111" s="32"/>
      <c r="AA111" s="32"/>
      <c r="AB111" s="32"/>
      <c r="AC111" s="32"/>
      <c r="AD111" s="32"/>
      <c r="AE111" s="32"/>
      <c r="AF111" s="32"/>
      <c r="AG111" s="32"/>
      <c r="AH111" s="32"/>
      <c r="AI111" s="32"/>
      <c r="AJ111" s="32"/>
      <c r="AK111" s="32"/>
      <c r="AL111" s="32"/>
    </row>
    <row r="112" spans="1:38">
      <c r="A112" s="83" t="s">
        <v>135</v>
      </c>
      <c r="B112" s="45">
        <v>-125033</v>
      </c>
      <c r="C112" s="45">
        <v>-156040</v>
      </c>
      <c r="D112" s="45">
        <v>190504</v>
      </c>
      <c r="E112" s="45">
        <v>-48075</v>
      </c>
      <c r="F112" s="45">
        <v>190197</v>
      </c>
      <c r="G112" s="45">
        <v>42670</v>
      </c>
      <c r="H112" s="45">
        <v>-8367</v>
      </c>
      <c r="I112" s="45">
        <v>14275</v>
      </c>
      <c r="J112" s="45">
        <v>1068927</v>
      </c>
      <c r="K112" s="45">
        <v>521689</v>
      </c>
      <c r="L112" s="159">
        <v>-57194</v>
      </c>
      <c r="M112" s="159">
        <f t="shared" ref="M112" si="124">M106+M108+M109+M110+M111</f>
        <v>-203199</v>
      </c>
      <c r="N112" s="159"/>
      <c r="V112" s="32"/>
      <c r="W112" s="32"/>
      <c r="X112" s="32"/>
      <c r="Y112" s="32"/>
      <c r="Z112" s="32"/>
      <c r="AA112" s="32"/>
      <c r="AB112" s="32"/>
      <c r="AC112" s="32"/>
      <c r="AD112" s="32"/>
      <c r="AE112" s="32"/>
      <c r="AF112" s="32"/>
      <c r="AG112" s="32"/>
      <c r="AH112" s="32"/>
      <c r="AI112" s="32"/>
      <c r="AJ112" s="32"/>
      <c r="AK112" s="32"/>
      <c r="AL112" s="32"/>
    </row>
    <row r="113" spans="1:38">
      <c r="A113" s="48"/>
      <c r="B113" s="49"/>
      <c r="C113" s="49"/>
      <c r="D113" s="49"/>
      <c r="E113" s="49"/>
      <c r="F113" s="49"/>
      <c r="G113" s="49"/>
      <c r="H113" s="49"/>
      <c r="I113" s="49"/>
      <c r="J113" s="49"/>
      <c r="K113" s="50"/>
      <c r="L113" s="162"/>
      <c r="M113" s="162"/>
      <c r="N113" s="162"/>
      <c r="V113" s="32"/>
      <c r="W113" s="32"/>
      <c r="X113" s="32"/>
      <c r="Y113" s="32"/>
      <c r="Z113" s="32"/>
      <c r="AA113" s="32"/>
      <c r="AB113" s="32"/>
      <c r="AC113" s="32"/>
      <c r="AD113" s="32"/>
      <c r="AE113" s="32"/>
      <c r="AF113" s="32"/>
      <c r="AG113" s="32"/>
      <c r="AH113" s="32"/>
      <c r="AI113" s="32"/>
      <c r="AJ113" s="32"/>
      <c r="AK113" s="32"/>
      <c r="AL113" s="32"/>
    </row>
    <row r="114" spans="1:38" outlineLevel="2">
      <c r="A114" s="75" t="s">
        <v>201</v>
      </c>
      <c r="B114" s="32"/>
      <c r="C114" s="32"/>
      <c r="D114" s="32"/>
      <c r="E114" s="32"/>
      <c r="F114" s="32"/>
      <c r="G114" s="32"/>
      <c r="H114" s="32"/>
      <c r="I114" s="32"/>
      <c r="J114" s="32"/>
      <c r="K114" s="32"/>
      <c r="L114" s="116"/>
      <c r="M114" s="116"/>
      <c r="N114" s="116"/>
      <c r="V114" s="32"/>
      <c r="W114" s="32"/>
      <c r="X114" s="32"/>
      <c r="Y114" s="32"/>
      <c r="Z114" s="32"/>
      <c r="AA114" s="32"/>
      <c r="AB114" s="32"/>
      <c r="AC114" s="32"/>
      <c r="AD114" s="32"/>
      <c r="AE114" s="32"/>
      <c r="AF114" s="32"/>
      <c r="AG114" s="32"/>
      <c r="AH114" s="32"/>
      <c r="AI114" s="32"/>
      <c r="AJ114" s="32"/>
      <c r="AK114" s="32"/>
      <c r="AL114" s="32"/>
    </row>
    <row r="115" spans="1:38" outlineLevel="2">
      <c r="A115" s="44" t="s">
        <v>122</v>
      </c>
      <c r="B115" s="82"/>
      <c r="C115" s="82">
        <f t="shared" ref="C115:E115" si="125">(C98-B98)/ABS(B98)</f>
        <v>-0.45456142111601766</v>
      </c>
      <c r="D115" s="82">
        <f t="shared" si="125"/>
        <v>-4.1400248401490407E-4</v>
      </c>
      <c r="E115" s="82">
        <f t="shared" si="125"/>
        <v>-4.1431201104463877</v>
      </c>
      <c r="F115" s="82">
        <f t="shared" ref="F115:F129" si="126">(F98-E98)/ABS(E98)</f>
        <v>2.595900439238653E-2</v>
      </c>
      <c r="G115" s="82">
        <f t="shared" ref="G115:M129" si="127">(G98-F98)/ABS(F98)</f>
        <v>1.2085619372585568</v>
      </c>
      <c r="H115" s="82">
        <f t="shared" si="127"/>
        <v>0.23200000000000001</v>
      </c>
      <c r="I115" s="82">
        <f t="shared" si="127"/>
        <v>-1.1590031590031591</v>
      </c>
      <c r="J115" s="82">
        <f t="shared" si="127"/>
        <v>402.30537159676231</v>
      </c>
      <c r="K115" s="82">
        <f t="shared" si="127"/>
        <v>-1.9698637998877835</v>
      </c>
      <c r="L115" s="163">
        <f t="shared" si="127"/>
        <v>0.49191257584766473</v>
      </c>
      <c r="M115" s="163">
        <f t="shared" si="127"/>
        <v>1.0220244319006351</v>
      </c>
      <c r="N115" s="159"/>
      <c r="V115" s="32"/>
      <c r="W115" s="32"/>
      <c r="X115" s="32"/>
      <c r="Y115" s="32"/>
      <c r="Z115" s="32"/>
      <c r="AA115" s="32"/>
      <c r="AB115" s="32"/>
      <c r="AC115" s="32"/>
      <c r="AD115" s="32"/>
      <c r="AE115" s="32"/>
      <c r="AF115" s="32"/>
      <c r="AG115" s="32"/>
      <c r="AH115" s="32"/>
      <c r="AI115" s="32"/>
      <c r="AJ115" s="32"/>
      <c r="AK115" s="32"/>
      <c r="AL115" s="32"/>
    </row>
    <row r="116" spans="1:38" outlineLevel="2">
      <c r="A116" s="44" t="s">
        <v>123</v>
      </c>
      <c r="B116" s="82"/>
      <c r="C116" s="82">
        <f t="shared" ref="C116:E116" si="128">(C99-B99)/ABS(B99)</f>
        <v>9.3224587121160801E-2</v>
      </c>
      <c r="D116" s="82">
        <f t="shared" si="128"/>
        <v>1.5887572497893222E-2</v>
      </c>
      <c r="E116" s="82">
        <f t="shared" si="128"/>
        <v>3.9565390652320655E-2</v>
      </c>
      <c r="F116" s="82">
        <f t="shared" si="126"/>
        <v>0.246276187942985</v>
      </c>
      <c r="G116" s="82">
        <f t="shared" si="127"/>
        <v>7.396120057875856E-2</v>
      </c>
      <c r="H116" s="82">
        <f t="shared" si="127"/>
        <v>0.16051294940060437</v>
      </c>
      <c r="I116" s="82">
        <f t="shared" si="127"/>
        <v>0.24765677332272312</v>
      </c>
      <c r="J116" s="82">
        <f t="shared" si="127"/>
        <v>9.9506102570002444E-3</v>
      </c>
      <c r="K116" s="82">
        <f t="shared" si="127"/>
        <v>1.3133037689582054</v>
      </c>
      <c r="L116" s="163">
        <f t="shared" si="127"/>
        <v>-4.1920513095192839E-2</v>
      </c>
      <c r="M116" s="163">
        <f t="shared" si="127"/>
        <v>3.6350766456266906E-2</v>
      </c>
      <c r="N116" s="159"/>
      <c r="V116" s="32"/>
      <c r="W116" s="32"/>
      <c r="X116" s="32"/>
      <c r="Y116" s="32"/>
      <c r="Z116" s="32"/>
      <c r="AA116" s="32"/>
      <c r="AB116" s="32"/>
      <c r="AC116" s="32"/>
      <c r="AD116" s="32"/>
      <c r="AE116" s="32"/>
      <c r="AF116" s="32"/>
      <c r="AG116" s="32"/>
      <c r="AH116" s="32"/>
      <c r="AI116" s="32"/>
      <c r="AJ116" s="32"/>
      <c r="AK116" s="32"/>
      <c r="AL116" s="32"/>
    </row>
    <row r="117" spans="1:38" outlineLevel="2">
      <c r="A117" s="44" t="s">
        <v>124</v>
      </c>
      <c r="B117" s="82"/>
      <c r="C117" s="82">
        <f t="shared" ref="C117:E117" si="129">(C100-B100)/ABS(B100)</f>
        <v>-1.402818035426731</v>
      </c>
      <c r="D117" s="82">
        <f t="shared" si="129"/>
        <v>0.956426144313412</v>
      </c>
      <c r="E117" s="82">
        <f t="shared" si="129"/>
        <v>315.42660550458714</v>
      </c>
      <c r="F117" s="82">
        <f t="shared" si="126"/>
        <v>0.1612663213947042</v>
      </c>
      <c r="G117" s="82">
        <f t="shared" si="127"/>
        <v>8.7362906569178E-2</v>
      </c>
      <c r="H117" s="82">
        <f t="shared" si="127"/>
        <v>-1.9340750753873349E-2</v>
      </c>
      <c r="I117" s="82">
        <f t="shared" si="127"/>
        <v>2.2726469444738981E-2</v>
      </c>
      <c r="J117" s="82">
        <f t="shared" si="127"/>
        <v>-2.7059717998341167E-2</v>
      </c>
      <c r="K117" s="82">
        <f t="shared" si="127"/>
        <v>-9.8035733314389226E-3</v>
      </c>
      <c r="L117" s="163">
        <f t="shared" si="127"/>
        <v>1.6369528045820331E-2</v>
      </c>
      <c r="M117" s="163">
        <f t="shared" si="127"/>
        <v>5.8823529411764705E-3</v>
      </c>
      <c r="N117" s="159"/>
      <c r="V117" s="32"/>
      <c r="W117" s="32"/>
      <c r="X117" s="32"/>
      <c r="Y117" s="32"/>
      <c r="Z117" s="32"/>
      <c r="AA117" s="32"/>
      <c r="AB117" s="32"/>
      <c r="AC117" s="32"/>
      <c r="AD117" s="32"/>
      <c r="AE117" s="32"/>
      <c r="AF117" s="32"/>
      <c r="AG117" s="32"/>
      <c r="AH117" s="32"/>
      <c r="AI117" s="32"/>
      <c r="AJ117" s="32"/>
      <c r="AK117" s="32"/>
      <c r="AL117" s="32"/>
    </row>
    <row r="118" spans="1:38" outlineLevel="2">
      <c r="A118" s="44" t="s">
        <v>125</v>
      </c>
      <c r="B118" s="82"/>
      <c r="C118" s="82">
        <f t="shared" ref="C118:E118" si="130">(C101-B101)/ABS(B101)</f>
        <v>0.87463373796567601</v>
      </c>
      <c r="D118" s="82">
        <f t="shared" si="130"/>
        <v>0.11845483979010829</v>
      </c>
      <c r="E118" s="82">
        <f t="shared" si="130"/>
        <v>-3.9621680974246356</v>
      </c>
      <c r="F118" s="82">
        <f t="shared" si="126"/>
        <v>0.14641954507160909</v>
      </c>
      <c r="G118" s="82">
        <f t="shared" si="127"/>
        <v>0.87548361626529803</v>
      </c>
      <c r="H118" s="82">
        <f t="shared" si="127"/>
        <v>3.4644895370957514</v>
      </c>
      <c r="I118" s="82">
        <f t="shared" si="127"/>
        <v>-2.5144731763797763</v>
      </c>
      <c r="J118" s="82">
        <f t="shared" si="127"/>
        <v>33.337071015970096</v>
      </c>
      <c r="K118" s="82">
        <f t="shared" si="127"/>
        <v>-1.2917918838264963</v>
      </c>
      <c r="L118" s="163">
        <f t="shared" si="127"/>
        <v>0.54986180757492553</v>
      </c>
      <c r="M118" s="163">
        <f t="shared" si="127"/>
        <v>1</v>
      </c>
      <c r="N118" s="159"/>
      <c r="V118" s="32"/>
      <c r="W118" s="32"/>
      <c r="X118" s="32"/>
      <c r="Y118" s="32"/>
      <c r="Z118" s="32"/>
      <c r="AA118" s="32"/>
      <c r="AB118" s="32"/>
      <c r="AC118" s="32"/>
      <c r="AD118" s="32"/>
      <c r="AE118" s="32"/>
      <c r="AF118" s="32"/>
      <c r="AG118" s="32"/>
      <c r="AH118" s="32"/>
      <c r="AI118" s="32"/>
      <c r="AJ118" s="32"/>
      <c r="AK118" s="32"/>
      <c r="AL118" s="32"/>
    </row>
    <row r="119" spans="1:38" outlineLevel="2">
      <c r="A119" s="44" t="s">
        <v>126</v>
      </c>
      <c r="B119" s="82"/>
      <c r="C119" s="82">
        <f t="shared" ref="C119:E119" si="131">(C102-B102)/ABS(B102)</f>
        <v>0.14183601962158374</v>
      </c>
      <c r="D119" s="82">
        <f t="shared" si="131"/>
        <v>0.11950411194304653</v>
      </c>
      <c r="E119" s="82">
        <f t="shared" si="131"/>
        <v>-0.52640177181325787</v>
      </c>
      <c r="F119" s="82">
        <f t="shared" si="126"/>
        <v>-2.8660724620905197E-2</v>
      </c>
      <c r="G119" s="82">
        <f t="shared" si="127"/>
        <v>8.7351335891507967E-2</v>
      </c>
      <c r="H119" s="82">
        <f t="shared" si="127"/>
        <v>-0.13546096181666739</v>
      </c>
      <c r="I119" s="82">
        <f t="shared" si="127"/>
        <v>0.18637493027736929</v>
      </c>
      <c r="J119" s="82">
        <f t="shared" si="127"/>
        <v>-36.40687709700169</v>
      </c>
      <c r="K119" s="82">
        <f t="shared" si="127"/>
        <v>1.5887171247602296</v>
      </c>
      <c r="L119" s="163">
        <f t="shared" si="127"/>
        <v>-0.95283903861354979</v>
      </c>
      <c r="M119" s="163">
        <f t="shared" si="127"/>
        <v>-1</v>
      </c>
      <c r="N119" s="159"/>
      <c r="V119" s="32"/>
      <c r="W119" s="32"/>
      <c r="X119" s="32"/>
      <c r="Y119" s="32"/>
      <c r="Z119" s="32"/>
      <c r="AA119" s="32"/>
      <c r="AB119" s="32"/>
      <c r="AC119" s="32"/>
      <c r="AD119" s="32"/>
      <c r="AE119" s="32"/>
      <c r="AF119" s="32"/>
      <c r="AG119" s="32"/>
      <c r="AH119" s="32"/>
      <c r="AI119" s="32"/>
      <c r="AJ119" s="32"/>
      <c r="AK119" s="32"/>
      <c r="AL119" s="32"/>
    </row>
    <row r="120" spans="1:38" outlineLevel="2">
      <c r="A120" s="44" t="s">
        <v>127</v>
      </c>
      <c r="B120" s="82"/>
      <c r="C120" s="82">
        <f t="shared" ref="C120:E120" si="132">(C103-B103)/ABS(B103)</f>
        <v>-146.00280898876406</v>
      </c>
      <c r="D120" s="82">
        <f t="shared" si="132"/>
        <v>1.8140752488869356</v>
      </c>
      <c r="E120" s="82">
        <f t="shared" si="132"/>
        <v>1.0935380137548998</v>
      </c>
      <c r="F120" s="82">
        <f t="shared" si="126"/>
        <v>-1.2334204123734458</v>
      </c>
      <c r="G120" s="82">
        <f t="shared" si="127"/>
        <v>-1.3092367548873625</v>
      </c>
      <c r="H120" s="82">
        <f t="shared" si="127"/>
        <v>4.7631666527997334</v>
      </c>
      <c r="I120" s="82">
        <f t="shared" si="127"/>
        <v>-1.6033230524325939</v>
      </c>
      <c r="J120" s="82">
        <f t="shared" si="127"/>
        <v>0.71048629434183519</v>
      </c>
      <c r="K120" s="82">
        <f t="shared" si="127"/>
        <v>-10.371349007942786</v>
      </c>
      <c r="L120" s="163">
        <f t="shared" si="127"/>
        <v>0.13732168995898103</v>
      </c>
      <c r="M120" s="163">
        <f t="shared" si="127"/>
        <v>9.6774193548387094E-2</v>
      </c>
      <c r="N120" s="159"/>
      <c r="V120" s="32"/>
      <c r="W120" s="32"/>
      <c r="X120" s="32"/>
      <c r="Y120" s="32"/>
      <c r="Z120" s="32"/>
      <c r="AA120" s="32"/>
      <c r="AB120" s="32"/>
      <c r="AC120" s="32"/>
      <c r="AD120" s="32"/>
      <c r="AE120" s="32"/>
      <c r="AF120" s="32"/>
      <c r="AG120" s="32"/>
      <c r="AH120" s="32"/>
      <c r="AI120" s="32"/>
      <c r="AJ120" s="32"/>
      <c r="AK120" s="32"/>
      <c r="AL120" s="32"/>
    </row>
    <row r="121" spans="1:38" outlineLevel="2">
      <c r="A121" s="44" t="s">
        <v>128</v>
      </c>
      <c r="B121" s="82"/>
      <c r="C121" s="82">
        <f t="shared" ref="C121:E121" si="133">(C104-B104)/ABS(B104)</f>
        <v>-0.15043736283231421</v>
      </c>
      <c r="D121" s="82">
        <f t="shared" si="133"/>
        <v>0.38515557112352056</v>
      </c>
      <c r="E121" s="82">
        <f t="shared" si="133"/>
        <v>-0.12802818648011846</v>
      </c>
      <c r="F121" s="82">
        <f t="shared" si="126"/>
        <v>-8.6766050952572171E-2</v>
      </c>
      <c r="G121" s="82">
        <f t="shared" si="127"/>
        <v>0.33437355912950811</v>
      </c>
      <c r="H121" s="82">
        <f t="shared" si="127"/>
        <v>0.66409914919519086</v>
      </c>
      <c r="I121" s="82">
        <f t="shared" si="127"/>
        <v>-0.30500489543569376</v>
      </c>
      <c r="J121" s="82">
        <f t="shared" si="127"/>
        <v>-0.27214754078898945</v>
      </c>
      <c r="K121" s="82">
        <f t="shared" si="127"/>
        <v>0.87091863502790456</v>
      </c>
      <c r="L121" s="163">
        <f t="shared" si="127"/>
        <v>-0.40063466417140581</v>
      </c>
      <c r="M121" s="163">
        <f t="shared" si="127"/>
        <v>1.3433622783668602</v>
      </c>
      <c r="N121" s="159"/>
      <c r="V121" s="32"/>
      <c r="W121" s="32"/>
      <c r="X121" s="32"/>
      <c r="Y121" s="32"/>
      <c r="Z121" s="32"/>
      <c r="AA121" s="32"/>
      <c r="AB121" s="32"/>
      <c r="AC121" s="32"/>
      <c r="AD121" s="32"/>
      <c r="AE121" s="32"/>
      <c r="AF121" s="32"/>
      <c r="AG121" s="32"/>
      <c r="AH121" s="32"/>
      <c r="AI121" s="32"/>
      <c r="AJ121" s="32"/>
      <c r="AK121" s="32"/>
      <c r="AL121" s="32"/>
    </row>
    <row r="122" spans="1:38" outlineLevel="2">
      <c r="A122" s="44" t="s">
        <v>129</v>
      </c>
      <c r="B122" s="82"/>
      <c r="C122" s="82">
        <f t="shared" ref="C122:E122" si="134">(C105-B105)/ABS(B105)</f>
        <v>-3.1111183873044977E-2</v>
      </c>
      <c r="D122" s="82">
        <f t="shared" si="134"/>
        <v>-0.28907312632643017</v>
      </c>
      <c r="E122" s="82">
        <f t="shared" si="134"/>
        <v>-5.0296325644125936E-2</v>
      </c>
      <c r="F122" s="82">
        <f t="shared" si="126"/>
        <v>-0.24931884902097984</v>
      </c>
      <c r="G122" s="82">
        <f t="shared" si="127"/>
        <v>-8.5689164791909814E-2</v>
      </c>
      <c r="H122" s="82">
        <f t="shared" si="127"/>
        <v>-0.19204831360614208</v>
      </c>
      <c r="I122" s="82">
        <f t="shared" si="127"/>
        <v>-0.13422811490242867</v>
      </c>
      <c r="J122" s="82">
        <f t="shared" si="127"/>
        <v>-0.14781088800784414</v>
      </c>
      <c r="K122" s="82">
        <f t="shared" si="127"/>
        <v>-0.50550898448236159</v>
      </c>
      <c r="L122" s="163">
        <f t="shared" si="127"/>
        <v>0.10570284047280566</v>
      </c>
      <c r="M122" s="163">
        <f t="shared" si="127"/>
        <v>0.20689655172413793</v>
      </c>
      <c r="N122" s="159"/>
      <c r="V122" s="32"/>
      <c r="W122" s="32"/>
      <c r="X122" s="32"/>
      <c r="Y122" s="32"/>
      <c r="Z122" s="32"/>
      <c r="AA122" s="32"/>
      <c r="AB122" s="32"/>
      <c r="AC122" s="32"/>
      <c r="AD122" s="32"/>
      <c r="AE122" s="32"/>
      <c r="AF122" s="32"/>
      <c r="AG122" s="32"/>
      <c r="AH122" s="32"/>
      <c r="AI122" s="32"/>
      <c r="AJ122" s="32"/>
      <c r="AK122" s="32"/>
      <c r="AL122" s="32"/>
    </row>
    <row r="123" spans="1:38" outlineLevel="2">
      <c r="A123" s="44" t="s">
        <v>130</v>
      </c>
      <c r="B123" s="82"/>
      <c r="C123" s="82">
        <f t="shared" ref="C123:E123" si="135">(C106-B106)/ABS(B106)</f>
        <v>-3.7609194050908235</v>
      </c>
      <c r="D123" s="82">
        <f t="shared" si="135"/>
        <v>6.3169852323801054E-2</v>
      </c>
      <c r="E123" s="82">
        <f t="shared" si="135"/>
        <v>-1.0168968789540278</v>
      </c>
      <c r="F123" s="82">
        <f t="shared" si="126"/>
        <v>-1.0369152954399905</v>
      </c>
      <c r="G123" s="82">
        <f t="shared" si="127"/>
        <v>0.17559456017144637</v>
      </c>
      <c r="H123" s="82">
        <f t="shared" si="127"/>
        <v>0.6107180660627004</v>
      </c>
      <c r="I123" s="82">
        <f t="shared" si="127"/>
        <v>-3.3273119870442756</v>
      </c>
      <c r="J123" s="82">
        <f t="shared" si="127"/>
        <v>-0.63813719465710572</v>
      </c>
      <c r="K123" s="82">
        <f t="shared" si="127"/>
        <v>-0.31594667659464648</v>
      </c>
      <c r="L123" s="163">
        <f t="shared" si="127"/>
        <v>0.15608794755810179</v>
      </c>
      <c r="M123" s="163">
        <f t="shared" si="127"/>
        <v>0.76717409910424716</v>
      </c>
      <c r="N123" s="159"/>
      <c r="V123" s="32"/>
      <c r="W123" s="32"/>
      <c r="X123" s="32"/>
      <c r="Y123" s="32"/>
      <c r="Z123" s="32"/>
      <c r="AA123" s="32"/>
      <c r="AB123" s="32"/>
      <c r="AC123" s="32"/>
      <c r="AD123" s="32"/>
      <c r="AE123" s="32"/>
      <c r="AF123" s="32"/>
      <c r="AG123" s="32"/>
      <c r="AH123" s="32"/>
      <c r="AI123" s="32"/>
      <c r="AJ123" s="32"/>
      <c r="AK123" s="32"/>
      <c r="AL123" s="32"/>
    </row>
    <row r="124" spans="1:38" outlineLevel="2">
      <c r="A124" s="44" t="s">
        <v>131</v>
      </c>
      <c r="B124" s="82"/>
      <c r="C124" s="82">
        <f t="shared" ref="C124:E124" si="136">(C107-B107)/ABS(B107)</f>
        <v>-3.6492262812177247</v>
      </c>
      <c r="D124" s="82">
        <f t="shared" si="136"/>
        <v>0.13248994958705418</v>
      </c>
      <c r="E124" s="82">
        <f t="shared" si="136"/>
        <v>-0.84288007372992357</v>
      </c>
      <c r="F124" s="82">
        <f t="shared" si="126"/>
        <v>-0.98580721422245132</v>
      </c>
      <c r="G124" s="82">
        <f t="shared" si="127"/>
        <v>0.19820043363507328</v>
      </c>
      <c r="H124" s="82">
        <f t="shared" si="127"/>
        <v>0.63891059911468839</v>
      </c>
      <c r="I124" s="82">
        <f t="shared" si="127"/>
        <v>-2.9173796976330078</v>
      </c>
      <c r="J124" s="82">
        <f t="shared" si="127"/>
        <v>-0.58380235363561339</v>
      </c>
      <c r="K124" s="82">
        <f t="shared" si="127"/>
        <v>0.14753012694295037</v>
      </c>
      <c r="L124" s="163">
        <f t="shared" si="127"/>
        <v>0.22962251596016667</v>
      </c>
      <c r="M124" s="163">
        <f t="shared" si="127"/>
        <v>0.77900905709802393</v>
      </c>
      <c r="N124" s="161"/>
      <c r="V124" s="32"/>
      <c r="W124" s="32"/>
      <c r="X124" s="32"/>
      <c r="Y124" s="32"/>
      <c r="Z124" s="32"/>
      <c r="AA124" s="32"/>
      <c r="AB124" s="32"/>
      <c r="AC124" s="32"/>
      <c r="AD124" s="32"/>
      <c r="AE124" s="32"/>
      <c r="AF124" s="32"/>
      <c r="AG124" s="32"/>
      <c r="AH124" s="32"/>
      <c r="AI124" s="32"/>
      <c r="AJ124" s="32"/>
      <c r="AK124" s="32"/>
      <c r="AL124" s="32"/>
    </row>
    <row r="125" spans="1:38" outlineLevel="2">
      <c r="A125" s="44" t="s">
        <v>132</v>
      </c>
      <c r="B125" s="82"/>
      <c r="C125" s="82">
        <f t="shared" ref="C125:E125" si="137">(C108-B108)/ABS(B108)</f>
        <v>0.28775599207719288</v>
      </c>
      <c r="D125" s="82">
        <f t="shared" si="137"/>
        <v>-1.9068643084027503</v>
      </c>
      <c r="E125" s="82">
        <f t="shared" si="137"/>
        <v>0.68028981182418202</v>
      </c>
      <c r="F125" s="82">
        <f t="shared" si="126"/>
        <v>3.0558521955170002</v>
      </c>
      <c r="G125" s="82">
        <f t="shared" si="127"/>
        <v>-1.4328826573193123</v>
      </c>
      <c r="H125" s="82">
        <f t="shared" si="127"/>
        <v>0.10495874142052904</v>
      </c>
      <c r="I125" s="82">
        <f t="shared" si="127"/>
        <v>-2.3011028778218163</v>
      </c>
      <c r="J125" s="82">
        <f t="shared" si="127"/>
        <v>10.631322332600764</v>
      </c>
      <c r="K125" s="82">
        <f t="shared" si="127"/>
        <v>-0.82102758529109676</v>
      </c>
      <c r="L125" s="163">
        <f t="shared" si="127"/>
        <v>-1</v>
      </c>
      <c r="M125" s="163" t="e">
        <f t="shared" si="127"/>
        <v>#DIV/0!</v>
      </c>
      <c r="N125" s="159"/>
      <c r="V125" s="32"/>
      <c r="W125" s="32"/>
      <c r="X125" s="32"/>
      <c r="Y125" s="32"/>
      <c r="Z125" s="32"/>
      <c r="AA125" s="32"/>
      <c r="AB125" s="32"/>
      <c r="AC125" s="32"/>
      <c r="AD125" s="32"/>
      <c r="AE125" s="32"/>
      <c r="AF125" s="32"/>
      <c r="AG125" s="32"/>
      <c r="AH125" s="32"/>
      <c r="AI125" s="32"/>
      <c r="AJ125" s="32"/>
      <c r="AK125" s="32"/>
      <c r="AL125" s="32"/>
    </row>
    <row r="126" spans="1:38" outlineLevel="2">
      <c r="A126" s="44" t="s">
        <v>133</v>
      </c>
      <c r="B126" s="82"/>
      <c r="C126" s="82">
        <f t="shared" ref="C126:E126" si="138">(C109-B109)/ABS(B109)</f>
        <v>0.69532100108813932</v>
      </c>
      <c r="D126" s="82">
        <f t="shared" si="138"/>
        <v>-6.9488095238095235</v>
      </c>
      <c r="E126" s="82">
        <f t="shared" si="138"/>
        <v>26.122659877190355</v>
      </c>
      <c r="F126" s="82">
        <f t="shared" si="126"/>
        <v>1.1902005436856162</v>
      </c>
      <c r="G126" s="82">
        <f t="shared" si="127"/>
        <v>-2.6029347320172133E-2</v>
      </c>
      <c r="H126" s="82">
        <f t="shared" si="127"/>
        <v>-1.0715758879915043</v>
      </c>
      <c r="I126" s="82">
        <f t="shared" si="127"/>
        <v>26.352881461814775</v>
      </c>
      <c r="J126" s="82">
        <f t="shared" si="127"/>
        <v>-1.0584980395418102</v>
      </c>
      <c r="K126" s="82">
        <f t="shared" si="127"/>
        <v>31.788627089640649</v>
      </c>
      <c r="L126" s="163">
        <f t="shared" si="127"/>
        <v>-0.35870358937876334</v>
      </c>
      <c r="M126" s="163">
        <f t="shared" si="127"/>
        <v>-1</v>
      </c>
      <c r="N126" s="159"/>
      <c r="V126" s="32"/>
      <c r="W126" s="32"/>
      <c r="X126" s="32"/>
      <c r="Y126" s="32"/>
      <c r="Z126" s="32"/>
      <c r="AA126" s="32"/>
      <c r="AB126" s="32"/>
      <c r="AC126" s="32"/>
      <c r="AD126" s="32"/>
      <c r="AE126" s="32"/>
      <c r="AF126" s="32"/>
      <c r="AG126" s="32"/>
      <c r="AH126" s="32"/>
      <c r="AI126" s="32"/>
      <c r="AJ126" s="32"/>
      <c r="AK126" s="32"/>
      <c r="AL126" s="32"/>
    </row>
    <row r="127" spans="1:38" outlineLevel="2">
      <c r="A127" s="44" t="s">
        <v>134</v>
      </c>
      <c r="B127" s="82"/>
      <c r="C127" s="82">
        <f t="shared" ref="C127:E127" si="139">(C110-B110)/ABS(B110)</f>
        <v>-0.29736154028999284</v>
      </c>
      <c r="D127" s="82">
        <f t="shared" si="139"/>
        <v>84.215493910690128</v>
      </c>
      <c r="E127" s="82">
        <f t="shared" si="139"/>
        <v>-0.97925739488759289</v>
      </c>
      <c r="F127" s="82">
        <f t="shared" si="126"/>
        <v>-1.2388516746411484</v>
      </c>
      <c r="G127" s="82">
        <f t="shared" si="127"/>
        <v>4.8493589743589745</v>
      </c>
      <c r="H127" s="82">
        <f t="shared" si="127"/>
        <v>17.752497918401332</v>
      </c>
      <c r="I127" s="82">
        <f t="shared" si="127"/>
        <v>-1.0134314606991019</v>
      </c>
      <c r="J127" s="82">
        <f t="shared" si="127"/>
        <v>-9.2508264462809926</v>
      </c>
      <c r="K127" s="82">
        <f t="shared" si="127"/>
        <v>-0.83811021082758896</v>
      </c>
      <c r="L127" s="163">
        <f t="shared" si="127"/>
        <v>0.5613842712399667</v>
      </c>
      <c r="M127" s="163">
        <f t="shared" si="127"/>
        <v>0</v>
      </c>
      <c r="N127" s="159"/>
      <c r="V127" s="32"/>
      <c r="W127" s="32"/>
      <c r="X127" s="32"/>
      <c r="Y127" s="32"/>
      <c r="Z127" s="32"/>
      <c r="AA127" s="32"/>
      <c r="AB127" s="32"/>
      <c r="AC127" s="32"/>
      <c r="AD127" s="32"/>
      <c r="AE127" s="32"/>
      <c r="AF127" s="32"/>
      <c r="AG127" s="32"/>
      <c r="AH127" s="32"/>
      <c r="AI127" s="32"/>
      <c r="AJ127" s="32"/>
      <c r="AK127" s="32"/>
      <c r="AL127" s="32"/>
    </row>
    <row r="128" spans="1:38" outlineLevel="2">
      <c r="A128" s="44" t="s">
        <v>126</v>
      </c>
      <c r="B128" s="82"/>
      <c r="C128" s="82">
        <f t="shared" ref="C128:E128" si="140">(C111-B111)/ABS(B111)</f>
        <v>0.52087365219795412</v>
      </c>
      <c r="D128" s="82">
        <f t="shared" si="140"/>
        <v>-0.65551067512983263</v>
      </c>
      <c r="E128" s="82">
        <f t="shared" si="140"/>
        <v>0.86406413384454517</v>
      </c>
      <c r="F128" s="82">
        <f t="shared" si="126"/>
        <v>-31.753846153846155</v>
      </c>
      <c r="G128" s="82">
        <f t="shared" si="127"/>
        <v>0.76788789729137308</v>
      </c>
      <c r="H128" s="82">
        <f t="shared" si="127"/>
        <v>-0.64114671163575043</v>
      </c>
      <c r="I128" s="82">
        <f t="shared" si="127"/>
        <v>-0.6863953966296753</v>
      </c>
      <c r="J128" s="82">
        <f t="shared" si="127"/>
        <v>0.49073848403607118</v>
      </c>
      <c r="K128" s="82">
        <f t="shared" si="127"/>
        <v>1.1730078966259871</v>
      </c>
      <c r="L128" s="163">
        <f t="shared" si="127"/>
        <v>-0.58506224066390045</v>
      </c>
      <c r="M128" s="163">
        <f t="shared" si="127"/>
        <v>-0.5</v>
      </c>
      <c r="N128" s="159"/>
      <c r="V128" s="32"/>
      <c r="W128" s="32"/>
      <c r="X128" s="32"/>
      <c r="Y128" s="32"/>
      <c r="Z128" s="32"/>
      <c r="AA128" s="32"/>
      <c r="AB128" s="32"/>
      <c r="AC128" s="32"/>
      <c r="AD128" s="32"/>
      <c r="AE128" s="32"/>
      <c r="AF128" s="32"/>
      <c r="AG128" s="32"/>
      <c r="AH128" s="32"/>
      <c r="AI128" s="32"/>
      <c r="AJ128" s="32"/>
      <c r="AK128" s="32"/>
      <c r="AL128" s="32"/>
    </row>
    <row r="129" spans="1:38" outlineLevel="2">
      <c r="A129" s="44" t="s">
        <v>135</v>
      </c>
      <c r="B129" s="82"/>
      <c r="C129" s="82">
        <f t="shared" ref="C129:E129" si="141">(C112-B112)/ABS(B112)</f>
        <v>-0.24799053049994801</v>
      </c>
      <c r="D129" s="82">
        <f t="shared" si="141"/>
        <v>2.2208664445014099</v>
      </c>
      <c r="E129" s="82">
        <f t="shared" si="141"/>
        <v>-1.2523569058917399</v>
      </c>
      <c r="F129" s="82">
        <f t="shared" si="126"/>
        <v>4.9562558502340091</v>
      </c>
      <c r="G129" s="82">
        <f t="shared" si="127"/>
        <v>-0.77565366435853356</v>
      </c>
      <c r="H129" s="82">
        <f t="shared" si="127"/>
        <v>-1.1960862432622452</v>
      </c>
      <c r="I129" s="82">
        <f t="shared" si="127"/>
        <v>2.7061073264013387</v>
      </c>
      <c r="J129" s="82">
        <f t="shared" si="127"/>
        <v>73.881050788091073</v>
      </c>
      <c r="K129" s="82">
        <f t="shared" si="127"/>
        <v>-0.51195076932288175</v>
      </c>
      <c r="L129" s="163">
        <f t="shared" si="127"/>
        <v>-1.1096323671766128</v>
      </c>
      <c r="M129" s="163">
        <f t="shared" si="127"/>
        <v>-2.5528027415463161</v>
      </c>
      <c r="N129" s="159"/>
      <c r="V129" s="32"/>
      <c r="W129" s="32"/>
      <c r="X129" s="32"/>
      <c r="Y129" s="32"/>
      <c r="Z129" s="32"/>
      <c r="AA129" s="32"/>
      <c r="AB129" s="32"/>
      <c r="AC129" s="32"/>
      <c r="AD129" s="32"/>
      <c r="AE129" s="32"/>
      <c r="AF129" s="32"/>
      <c r="AG129" s="32"/>
      <c r="AH129" s="32"/>
      <c r="AI129" s="32"/>
      <c r="AJ129" s="32"/>
      <c r="AK129" s="32"/>
      <c r="AL129" s="32"/>
    </row>
    <row r="130" spans="1:38">
      <c r="A130" s="48"/>
      <c r="B130" s="49"/>
      <c r="C130" s="49"/>
      <c r="D130" s="49"/>
      <c r="E130" s="49"/>
      <c r="F130" s="49"/>
      <c r="G130" s="49"/>
      <c r="H130" s="49"/>
      <c r="I130" s="49"/>
      <c r="J130" s="49"/>
      <c r="K130" s="50"/>
      <c r="L130" s="162"/>
      <c r="M130" s="162"/>
      <c r="N130" s="162"/>
      <c r="V130" s="32"/>
      <c r="W130" s="32"/>
      <c r="X130" s="32"/>
      <c r="Y130" s="32"/>
      <c r="Z130" s="32"/>
      <c r="AA130" s="32"/>
      <c r="AB130" s="32"/>
      <c r="AC130" s="32"/>
      <c r="AD130" s="32"/>
      <c r="AE130" s="32"/>
      <c r="AF130" s="32"/>
      <c r="AG130" s="32"/>
      <c r="AH130" s="32"/>
      <c r="AI130" s="32"/>
      <c r="AJ130" s="32"/>
      <c r="AK130" s="32"/>
      <c r="AL130" s="32"/>
    </row>
    <row r="131" spans="1:38" ht="32">
      <c r="A131" s="1" t="s">
        <v>50</v>
      </c>
      <c r="B131" s="49"/>
      <c r="C131" s="49"/>
      <c r="D131" s="49"/>
      <c r="E131" s="49"/>
      <c r="F131" s="49"/>
      <c r="G131" s="49"/>
      <c r="H131" s="49"/>
      <c r="I131" s="49"/>
      <c r="J131" s="49"/>
      <c r="K131" s="50"/>
      <c r="L131" s="162"/>
      <c r="M131" s="162"/>
      <c r="N131" s="162"/>
      <c r="V131" s="32"/>
      <c r="W131" s="32"/>
      <c r="X131" s="32"/>
      <c r="Y131" s="32"/>
      <c r="Z131" s="32"/>
      <c r="AA131" s="32"/>
      <c r="AB131" s="32"/>
      <c r="AC131" s="32"/>
      <c r="AD131" s="32"/>
      <c r="AE131" s="32"/>
      <c r="AF131" s="32"/>
      <c r="AG131" s="32"/>
      <c r="AH131" s="32"/>
      <c r="AI131" s="32"/>
      <c r="AJ131" s="32"/>
      <c r="AK131" s="32"/>
      <c r="AL131" s="32"/>
    </row>
    <row r="132" spans="1:38">
      <c r="A132" s="51" t="s">
        <v>2</v>
      </c>
      <c r="B132" s="50"/>
      <c r="C132" s="50"/>
      <c r="D132" s="50"/>
      <c r="E132" s="50"/>
      <c r="F132" s="50"/>
      <c r="G132" s="45"/>
      <c r="H132" s="50"/>
      <c r="I132" s="48" t="s">
        <v>3</v>
      </c>
      <c r="J132" s="50"/>
      <c r="K132" s="50"/>
      <c r="L132" s="162"/>
      <c r="M132" s="162"/>
      <c r="N132" s="162"/>
      <c r="V132" s="32"/>
      <c r="W132" s="32"/>
      <c r="X132" s="32"/>
      <c r="Y132" s="32"/>
      <c r="Z132" s="32"/>
      <c r="AA132" s="32"/>
      <c r="AB132" s="32"/>
      <c r="AC132" s="32"/>
      <c r="AD132" s="32"/>
      <c r="AE132" s="32"/>
      <c r="AF132" s="32"/>
      <c r="AG132" s="32"/>
      <c r="AH132" s="32"/>
      <c r="AI132" s="32"/>
      <c r="AJ132" s="32"/>
      <c r="AK132" s="32"/>
      <c r="AL132" s="32"/>
    </row>
    <row r="133" spans="1:38">
      <c r="A133" s="84" t="s">
        <v>4</v>
      </c>
      <c r="B133" s="52"/>
      <c r="C133" s="52">
        <v>42088</v>
      </c>
      <c r="D133" s="52">
        <v>130098</v>
      </c>
      <c r="E133" s="52">
        <v>71446</v>
      </c>
      <c r="F133" s="52">
        <v>261701</v>
      </c>
      <c r="G133" s="52">
        <v>304309</v>
      </c>
      <c r="H133" s="52">
        <v>295949</v>
      </c>
      <c r="I133" s="52">
        <v>310459</v>
      </c>
      <c r="J133" s="52">
        <v>1348854</v>
      </c>
      <c r="K133" s="52">
        <v>1901033</v>
      </c>
      <c r="L133" s="164">
        <f>K133+L112</f>
        <v>1843839</v>
      </c>
      <c r="M133" s="164">
        <f>L133+M112</f>
        <v>1640640</v>
      </c>
      <c r="N133" s="164"/>
      <c r="V133" s="32"/>
      <c r="W133" s="32"/>
      <c r="X133" s="32"/>
      <c r="Y133" s="32"/>
      <c r="Z133" s="32"/>
      <c r="AA133" s="32"/>
      <c r="AB133" s="32"/>
      <c r="AC133" s="32"/>
      <c r="AD133" s="32"/>
      <c r="AE133" s="32"/>
      <c r="AF133" s="32"/>
      <c r="AG133" s="32"/>
      <c r="AH133" s="32"/>
      <c r="AI133" s="32"/>
      <c r="AJ133" s="32"/>
      <c r="AK133" s="32"/>
      <c r="AL133" s="32"/>
    </row>
    <row r="134" spans="1:38">
      <c r="A134" s="84" t="s">
        <v>150</v>
      </c>
      <c r="B134" s="52"/>
      <c r="C134" s="52">
        <v>0</v>
      </c>
      <c r="D134" s="52">
        <v>0</v>
      </c>
      <c r="E134" s="52">
        <v>0</v>
      </c>
      <c r="F134" s="52">
        <v>0</v>
      </c>
      <c r="G134" s="52">
        <v>0</v>
      </c>
      <c r="H134" s="52">
        <v>0</v>
      </c>
      <c r="I134" s="52">
        <v>0</v>
      </c>
      <c r="J134" s="49">
        <v>30532</v>
      </c>
      <c r="K134" s="52">
        <v>0</v>
      </c>
      <c r="L134" s="164">
        <v>0</v>
      </c>
      <c r="M134" s="164">
        <v>0</v>
      </c>
      <c r="N134" s="164"/>
      <c r="V134" s="32"/>
      <c r="W134" s="32"/>
      <c r="X134" s="32"/>
      <c r="Y134" s="32"/>
      <c r="Z134" s="32"/>
      <c r="AA134" s="32"/>
      <c r="AB134" s="32"/>
      <c r="AC134" s="32"/>
      <c r="AD134" s="32"/>
      <c r="AE134" s="32"/>
      <c r="AF134" s="32"/>
      <c r="AG134" s="32"/>
      <c r="AH134" s="32"/>
      <c r="AI134" s="32"/>
      <c r="AJ134" s="32"/>
      <c r="AK134" s="32"/>
      <c r="AL134" s="32"/>
    </row>
    <row r="135" spans="1:38">
      <c r="A135" s="84" t="s">
        <v>5</v>
      </c>
      <c r="B135" s="49"/>
      <c r="C135" s="49">
        <v>286724</v>
      </c>
      <c r="D135" s="49">
        <v>263721</v>
      </c>
      <c r="E135" s="49">
        <v>267665</v>
      </c>
      <c r="F135" s="49">
        <v>300307</v>
      </c>
      <c r="G135" s="49">
        <v>330698</v>
      </c>
      <c r="H135" s="49">
        <v>238652</v>
      </c>
      <c r="I135" s="49">
        <v>359269</v>
      </c>
      <c r="J135" s="49">
        <v>419934</v>
      </c>
      <c r="K135" s="49">
        <v>678210</v>
      </c>
      <c r="L135" s="165">
        <v>689210</v>
      </c>
      <c r="M135" s="165">
        <v>708210</v>
      </c>
      <c r="N135" s="165"/>
      <c r="V135" s="32"/>
      <c r="W135" s="32"/>
      <c r="X135" s="32"/>
      <c r="Y135" s="32"/>
      <c r="Z135" s="32"/>
      <c r="AA135" s="32"/>
      <c r="AB135" s="32"/>
      <c r="AC135" s="32"/>
      <c r="AD135" s="32"/>
      <c r="AE135" s="32"/>
      <c r="AF135" s="32"/>
      <c r="AG135" s="32"/>
      <c r="AH135" s="32"/>
      <c r="AI135" s="32"/>
      <c r="AJ135" s="32"/>
      <c r="AK135" s="32"/>
      <c r="AL135" s="32"/>
    </row>
    <row r="136" spans="1:38">
      <c r="A136" s="84" t="s">
        <v>6</v>
      </c>
      <c r="B136" s="49"/>
      <c r="C136" s="49">
        <v>145161</v>
      </c>
      <c r="D136" s="49">
        <v>163201</v>
      </c>
      <c r="E136" s="49">
        <v>196307</v>
      </c>
      <c r="F136" s="49">
        <v>234518</v>
      </c>
      <c r="G136" s="49">
        <v>294416</v>
      </c>
      <c r="H136" s="49">
        <v>336672</v>
      </c>
      <c r="I136" s="49">
        <v>341890</v>
      </c>
      <c r="J136" s="49">
        <v>268563</v>
      </c>
      <c r="K136" s="49">
        <v>317878</v>
      </c>
      <c r="L136" s="165">
        <v>335000</v>
      </c>
      <c r="M136" s="165">
        <v>349001</v>
      </c>
      <c r="N136" s="165"/>
      <c r="V136" s="32"/>
      <c r="W136" s="32"/>
      <c r="X136" s="32"/>
      <c r="Y136" s="32"/>
      <c r="Z136" s="32"/>
      <c r="AA136" s="32"/>
      <c r="AB136" s="32"/>
      <c r="AC136" s="32"/>
      <c r="AD136" s="32"/>
      <c r="AE136" s="32"/>
      <c r="AF136" s="32"/>
      <c r="AG136" s="32"/>
      <c r="AH136" s="32"/>
      <c r="AI136" s="32"/>
      <c r="AJ136" s="32"/>
      <c r="AK136" s="32"/>
      <c r="AL136" s="32"/>
    </row>
    <row r="137" spans="1:38">
      <c r="A137" s="84" t="s">
        <v>7</v>
      </c>
      <c r="B137" s="49"/>
      <c r="C137" s="49">
        <v>47583</v>
      </c>
      <c r="D137" s="49">
        <v>57836</v>
      </c>
      <c r="E137" s="49">
        <v>77135</v>
      </c>
      <c r="F137" s="49">
        <v>90646</v>
      </c>
      <c r="G137" s="49">
        <v>116281</v>
      </c>
      <c r="H137" s="49">
        <v>119960</v>
      </c>
      <c r="I137" s="49">
        <v>147854</v>
      </c>
      <c r="J137" s="49">
        <v>176629</v>
      </c>
      <c r="K137" s="49">
        <v>581783</v>
      </c>
      <c r="L137" s="165">
        <v>620000</v>
      </c>
      <c r="M137" s="165">
        <v>690000</v>
      </c>
      <c r="N137" s="165"/>
      <c r="V137" s="32"/>
      <c r="W137" s="32"/>
      <c r="X137" s="32"/>
      <c r="Y137" s="32"/>
      <c r="Z137" s="32"/>
      <c r="AA137" s="32"/>
      <c r="AB137" s="32"/>
      <c r="AC137" s="32"/>
      <c r="AD137" s="32"/>
      <c r="AE137" s="32"/>
      <c r="AF137" s="32"/>
      <c r="AG137" s="32"/>
      <c r="AH137" s="32"/>
      <c r="AI137" s="32"/>
      <c r="AJ137" s="32"/>
      <c r="AK137" s="32"/>
      <c r="AL137" s="32"/>
    </row>
    <row r="138" spans="1:38">
      <c r="A138" s="85" t="s">
        <v>8</v>
      </c>
      <c r="B138" s="49"/>
      <c r="C138" s="49">
        <f>SUM(C133:C137)</f>
        <v>521556</v>
      </c>
      <c r="D138" s="49">
        <f>SUM(D133:D137)</f>
        <v>614856</v>
      </c>
      <c r="E138" s="49">
        <f>SUM(E133:E137)</f>
        <v>612553</v>
      </c>
      <c r="F138" s="49">
        <f t="shared" ref="F138:M138" si="142">F137+F136+F135+F134+F133</f>
        <v>887172</v>
      </c>
      <c r="G138" s="49">
        <f t="shared" si="142"/>
        <v>1045704</v>
      </c>
      <c r="H138" s="49">
        <f t="shared" si="142"/>
        <v>991233</v>
      </c>
      <c r="I138" s="49">
        <f t="shared" si="142"/>
        <v>1159472</v>
      </c>
      <c r="J138" s="49">
        <f t="shared" si="142"/>
        <v>2244512</v>
      </c>
      <c r="K138" s="49">
        <f t="shared" si="142"/>
        <v>3478904</v>
      </c>
      <c r="L138" s="165">
        <f t="shared" si="142"/>
        <v>3488049</v>
      </c>
      <c r="M138" s="165">
        <f t="shared" si="142"/>
        <v>3387851</v>
      </c>
      <c r="N138" s="165"/>
      <c r="V138" s="32"/>
      <c r="W138" s="32"/>
      <c r="X138" s="32"/>
      <c r="Y138" s="32"/>
      <c r="Z138" s="32"/>
      <c r="AA138" s="32"/>
      <c r="AB138" s="32"/>
      <c r="AC138" s="32"/>
      <c r="AD138" s="32"/>
      <c r="AE138" s="32"/>
      <c r="AF138" s="32"/>
      <c r="AG138" s="32"/>
      <c r="AH138" s="32"/>
      <c r="AI138" s="32"/>
      <c r="AJ138" s="32"/>
      <c r="AK138" s="32"/>
      <c r="AL138" s="32"/>
    </row>
    <row r="139" spans="1:38">
      <c r="A139" s="84" t="s">
        <v>9</v>
      </c>
      <c r="B139" s="49"/>
      <c r="C139" s="49">
        <v>898197</v>
      </c>
      <c r="D139" s="49">
        <v>1108270</v>
      </c>
      <c r="E139" s="49">
        <v>1239987</v>
      </c>
      <c r="F139" s="49">
        <v>1215663</v>
      </c>
      <c r="G139" s="49">
        <v>2586735</v>
      </c>
      <c r="H139" s="49">
        <v>3050483</v>
      </c>
      <c r="I139" s="49">
        <v>3741912</v>
      </c>
      <c r="J139" s="49">
        <v>4378283</v>
      </c>
      <c r="K139" s="49">
        <v>7557206</v>
      </c>
      <c r="L139" s="165">
        <v>8520000</v>
      </c>
      <c r="M139" s="165">
        <v>9406816</v>
      </c>
      <c r="N139" s="165"/>
      <c r="V139" s="32"/>
      <c r="W139" s="32"/>
      <c r="X139" s="32"/>
      <c r="Y139" s="32"/>
      <c r="Z139" s="32"/>
      <c r="AA139" s="32"/>
      <c r="AB139" s="32"/>
      <c r="AC139" s="32"/>
      <c r="AD139" s="32"/>
      <c r="AE139" s="32"/>
      <c r="AF139" s="32"/>
      <c r="AG139" s="32"/>
      <c r="AH139" s="32"/>
      <c r="AI139" s="32"/>
      <c r="AJ139" s="32"/>
      <c r="AK139" s="32"/>
      <c r="AL139" s="32"/>
    </row>
    <row r="140" spans="1:38">
      <c r="A140" s="84" t="s">
        <v>10</v>
      </c>
      <c r="B140" s="52"/>
      <c r="C140" s="52">
        <v>486910</v>
      </c>
      <c r="D140" s="52">
        <v>540608</v>
      </c>
      <c r="E140" s="49">
        <v>722488</v>
      </c>
      <c r="F140" s="49">
        <v>909627</v>
      </c>
      <c r="G140" s="49">
        <v>308441</v>
      </c>
      <c r="H140" s="49">
        <v>340456</v>
      </c>
      <c r="I140" s="49">
        <v>356176</v>
      </c>
      <c r="J140" s="49">
        <v>281757</v>
      </c>
      <c r="K140" s="49">
        <v>393077</v>
      </c>
      <c r="L140" s="165">
        <v>410000</v>
      </c>
      <c r="M140" s="165">
        <v>390001</v>
      </c>
      <c r="N140" s="165"/>
      <c r="V140" s="32"/>
      <c r="W140" s="32"/>
      <c r="X140" s="32"/>
      <c r="Y140" s="32"/>
      <c r="Z140" s="32"/>
      <c r="AA140" s="32"/>
      <c r="AB140" s="32"/>
      <c r="AC140" s="32"/>
      <c r="AD140" s="32"/>
      <c r="AE140" s="32"/>
      <c r="AF140" s="32"/>
      <c r="AG140" s="32"/>
      <c r="AH140" s="32"/>
      <c r="AI140" s="32"/>
      <c r="AJ140" s="32"/>
      <c r="AK140" s="32"/>
      <c r="AL140" s="32"/>
    </row>
    <row r="141" spans="1:38">
      <c r="A141" s="84" t="s">
        <v>11</v>
      </c>
      <c r="B141" s="49"/>
      <c r="C141" s="49">
        <v>33604</v>
      </c>
      <c r="D141" s="49">
        <v>41677</v>
      </c>
      <c r="E141" s="49">
        <v>31862</v>
      </c>
      <c r="F141" s="49">
        <v>22301</v>
      </c>
      <c r="G141" s="49">
        <v>14439</v>
      </c>
      <c r="H141" s="49">
        <v>9568</v>
      </c>
      <c r="I141" s="49">
        <v>236043</v>
      </c>
      <c r="J141" s="49">
        <v>201205</v>
      </c>
      <c r="K141" s="49">
        <v>2544467</v>
      </c>
      <c r="L141" s="165">
        <v>2244467</v>
      </c>
      <c r="M141" s="165">
        <v>1999000</v>
      </c>
      <c r="N141" s="165"/>
      <c r="V141" s="32"/>
      <c r="W141" s="32"/>
      <c r="X141" s="32"/>
      <c r="Y141" s="32"/>
      <c r="Z141" s="32"/>
      <c r="AA141" s="32"/>
      <c r="AB141" s="32"/>
      <c r="AC141" s="32"/>
      <c r="AD141" s="32"/>
      <c r="AE141" s="32"/>
      <c r="AF141" s="32"/>
      <c r="AG141" s="32"/>
      <c r="AH141" s="32"/>
      <c r="AI141" s="32"/>
      <c r="AJ141" s="32"/>
      <c r="AK141" s="32"/>
      <c r="AL141" s="32"/>
    </row>
    <row r="142" spans="1:38">
      <c r="A142" s="84" t="s">
        <v>12</v>
      </c>
      <c r="B142" s="49"/>
      <c r="C142" s="49">
        <v>117040</v>
      </c>
      <c r="D142" s="49">
        <v>119876</v>
      </c>
      <c r="E142" s="49">
        <v>121085</v>
      </c>
      <c r="F142" s="49">
        <v>121719</v>
      </c>
      <c r="G142" s="49">
        <v>121197</v>
      </c>
      <c r="H142" s="49">
        <v>122300</v>
      </c>
      <c r="I142" s="49">
        <v>190113</v>
      </c>
      <c r="J142" s="49">
        <v>158542</v>
      </c>
      <c r="K142" s="49">
        <v>1621763</v>
      </c>
      <c r="L142" s="165">
        <v>1451763</v>
      </c>
      <c r="M142" s="165">
        <v>1300176</v>
      </c>
      <c r="N142" s="165"/>
      <c r="V142" s="32"/>
      <c r="W142" s="32"/>
      <c r="X142" s="32"/>
      <c r="Y142" s="32"/>
      <c r="Z142" s="32"/>
      <c r="AA142" s="32"/>
      <c r="AB142" s="32"/>
      <c r="AC142" s="32"/>
      <c r="AD142" s="32"/>
      <c r="AE142" s="32"/>
      <c r="AF142" s="32"/>
      <c r="AG142" s="32"/>
      <c r="AH142" s="32"/>
      <c r="AI142" s="32"/>
      <c r="AJ142" s="32"/>
      <c r="AK142" s="32"/>
      <c r="AL142" s="32"/>
    </row>
    <row r="143" spans="1:38">
      <c r="A143" s="84" t="s">
        <v>13</v>
      </c>
      <c r="B143" s="49"/>
      <c r="C143" s="49">
        <v>340005</v>
      </c>
      <c r="D143" s="49">
        <v>529366</v>
      </c>
      <c r="E143" s="49">
        <v>686134</v>
      </c>
      <c r="F143" s="49">
        <v>758805</v>
      </c>
      <c r="G143" s="49">
        <v>807352</v>
      </c>
      <c r="H143" s="49">
        <v>835427</v>
      </c>
      <c r="I143" s="49">
        <v>705630</v>
      </c>
      <c r="J143" s="49">
        <v>466038</v>
      </c>
      <c r="K143" s="49">
        <v>733947</v>
      </c>
      <c r="L143" s="165">
        <v>650000</v>
      </c>
      <c r="M143" s="165">
        <v>580000</v>
      </c>
      <c r="N143" s="165"/>
      <c r="V143" s="32"/>
      <c r="W143" s="32"/>
      <c r="X143" s="32"/>
      <c r="Y143" s="32"/>
      <c r="Z143" s="32"/>
      <c r="AA143" s="32"/>
      <c r="AB143" s="32"/>
      <c r="AC143" s="32"/>
      <c r="AD143" s="32"/>
      <c r="AE143" s="32"/>
      <c r="AF143" s="32"/>
      <c r="AG143" s="32"/>
      <c r="AH143" s="32"/>
      <c r="AI143" s="32"/>
      <c r="AJ143" s="32"/>
      <c r="AK143" s="32"/>
      <c r="AL143" s="32"/>
    </row>
    <row r="144" spans="1:38">
      <c r="A144" s="85" t="s">
        <v>14</v>
      </c>
      <c r="B144" s="49"/>
      <c r="C144" s="49">
        <f>SUM(C138:C143)</f>
        <v>2397312</v>
      </c>
      <c r="D144" s="49">
        <f>SUM(D138:D143)</f>
        <v>2954653</v>
      </c>
      <c r="E144" s="49">
        <f>SUM(E138:E143)</f>
        <v>3414109</v>
      </c>
      <c r="F144" s="49">
        <f t="shared" ref="F144:M144" si="143">F143+F142+F141+F140+F139+F138</f>
        <v>3915287</v>
      </c>
      <c r="G144" s="49">
        <f t="shared" si="143"/>
        <v>4883868</v>
      </c>
      <c r="H144" s="49">
        <f t="shared" si="143"/>
        <v>5349467</v>
      </c>
      <c r="I144" s="49">
        <f t="shared" si="143"/>
        <v>6389346</v>
      </c>
      <c r="J144" s="49">
        <f t="shared" si="143"/>
        <v>7730337</v>
      </c>
      <c r="K144" s="49">
        <f t="shared" si="143"/>
        <v>16329364</v>
      </c>
      <c r="L144" s="165">
        <f t="shared" si="143"/>
        <v>16764279</v>
      </c>
      <c r="M144" s="165">
        <f t="shared" si="143"/>
        <v>17063844</v>
      </c>
      <c r="N144" s="165"/>
      <c r="V144" s="32"/>
      <c r="W144" s="32"/>
      <c r="X144" s="32"/>
      <c r="Y144" s="32"/>
      <c r="Z144" s="32"/>
      <c r="AA144" s="32"/>
      <c r="AB144" s="32"/>
      <c r="AC144" s="32"/>
      <c r="AD144" s="32"/>
      <c r="AE144" s="32"/>
      <c r="AF144" s="32"/>
      <c r="AG144" s="32"/>
      <c r="AH144" s="32"/>
      <c r="AI144" s="32"/>
      <c r="AJ144" s="32"/>
      <c r="AK144" s="32"/>
      <c r="AL144" s="32"/>
    </row>
    <row r="145" spans="1:38">
      <c r="A145" s="51" t="s">
        <v>15</v>
      </c>
      <c r="B145" s="50"/>
      <c r="C145" s="50"/>
      <c r="D145" s="50"/>
      <c r="E145" s="50"/>
      <c r="F145" s="50"/>
      <c r="G145" s="50"/>
      <c r="H145" s="50"/>
      <c r="I145" s="50"/>
      <c r="J145" s="48" t="s">
        <v>3</v>
      </c>
      <c r="K145" s="50"/>
      <c r="L145" s="162"/>
      <c r="M145" s="162"/>
      <c r="N145" s="162"/>
      <c r="V145" s="32"/>
      <c r="W145" s="32"/>
      <c r="X145" s="32"/>
      <c r="Y145" s="32"/>
      <c r="Z145" s="32"/>
      <c r="AA145" s="32"/>
      <c r="AB145" s="32"/>
      <c r="AC145" s="32"/>
      <c r="AD145" s="32"/>
      <c r="AE145" s="32"/>
      <c r="AF145" s="32"/>
      <c r="AG145" s="32"/>
      <c r="AH145" s="32"/>
      <c r="AI145" s="32"/>
      <c r="AJ145" s="32"/>
      <c r="AK145" s="32"/>
      <c r="AL145" s="32"/>
    </row>
    <row r="146" spans="1:38">
      <c r="A146" s="84" t="s">
        <v>16</v>
      </c>
      <c r="B146" s="49"/>
      <c r="C146" s="49">
        <v>95645</v>
      </c>
      <c r="D146" s="49">
        <v>100270</v>
      </c>
      <c r="E146" s="49">
        <v>157481</v>
      </c>
      <c r="F146" s="49">
        <v>157275</v>
      </c>
      <c r="G146" s="49">
        <v>183601</v>
      </c>
      <c r="H146" s="49">
        <v>145134</v>
      </c>
      <c r="I146" s="49">
        <v>219088</v>
      </c>
      <c r="J146" s="49">
        <v>271548</v>
      </c>
      <c r="K146" s="49">
        <v>287206</v>
      </c>
      <c r="L146" s="165">
        <v>300000</v>
      </c>
      <c r="M146" s="165">
        <v>310000</v>
      </c>
      <c r="N146" s="165"/>
      <c r="V146" s="32"/>
      <c r="W146" s="32"/>
      <c r="X146" s="32"/>
      <c r="Y146" s="32"/>
      <c r="Z146" s="32"/>
      <c r="AA146" s="32"/>
      <c r="AB146" s="32"/>
      <c r="AC146" s="32"/>
      <c r="AD146" s="32"/>
      <c r="AE146" s="32"/>
      <c r="AF146" s="32"/>
      <c r="AG146" s="32"/>
      <c r="AH146" s="32"/>
      <c r="AI146" s="32"/>
      <c r="AJ146" s="32"/>
      <c r="AK146" s="32"/>
      <c r="AL146" s="32"/>
    </row>
    <row r="147" spans="1:38">
      <c r="A147" s="84" t="s">
        <v>17</v>
      </c>
      <c r="B147" s="49"/>
      <c r="C147" s="49">
        <v>184344</v>
      </c>
      <c r="D147" s="49">
        <v>225247</v>
      </c>
      <c r="E147" s="49">
        <v>263676</v>
      </c>
      <c r="F147" s="49">
        <v>308268</v>
      </c>
      <c r="G147" s="49">
        <v>391190</v>
      </c>
      <c r="H147" s="49">
        <v>532831</v>
      </c>
      <c r="I147" s="49">
        <v>516422</v>
      </c>
      <c r="J147" s="49">
        <v>647232</v>
      </c>
      <c r="K147" s="49">
        <v>950621</v>
      </c>
      <c r="L147" s="165">
        <v>1150000</v>
      </c>
      <c r="M147" s="165">
        <v>1250000</v>
      </c>
      <c r="N147" s="165"/>
      <c r="V147" s="32"/>
      <c r="W147" s="32"/>
      <c r="X147" s="32"/>
      <c r="Y147" s="32"/>
      <c r="Z147" s="32"/>
      <c r="AA147" s="32"/>
      <c r="AB147" s="32"/>
      <c r="AC147" s="32"/>
      <c r="AD147" s="32"/>
      <c r="AE147" s="32"/>
      <c r="AF147" s="32"/>
      <c r="AG147" s="32"/>
      <c r="AH147" s="32"/>
      <c r="AI147" s="32"/>
      <c r="AJ147" s="32"/>
      <c r="AK147" s="32"/>
      <c r="AL147" s="32"/>
    </row>
    <row r="148" spans="1:38">
      <c r="A148" s="84" t="s">
        <v>18</v>
      </c>
      <c r="B148" s="49"/>
      <c r="C148" s="49"/>
      <c r="D148" s="49"/>
      <c r="E148" s="49">
        <v>45300</v>
      </c>
      <c r="F148" s="49">
        <v>19937</v>
      </c>
      <c r="G148" s="49">
        <v>29788</v>
      </c>
      <c r="H148" s="49">
        <v>30472</v>
      </c>
      <c r="I148" s="49">
        <v>34911</v>
      </c>
      <c r="J148" s="49">
        <v>37939</v>
      </c>
      <c r="K148" s="49">
        <v>58054</v>
      </c>
      <c r="L148" s="165">
        <v>60000</v>
      </c>
      <c r="M148" s="165">
        <v>69000</v>
      </c>
      <c r="N148" s="165"/>
      <c r="V148" s="32"/>
      <c r="W148" s="32"/>
      <c r="X148" s="32"/>
      <c r="Y148" s="32"/>
      <c r="Z148" s="32"/>
      <c r="AA148" s="32"/>
      <c r="AB148" s="32"/>
      <c r="AC148" s="32"/>
      <c r="AD148" s="32"/>
      <c r="AE148" s="32"/>
      <c r="AF148" s="32"/>
      <c r="AG148" s="32"/>
      <c r="AH148" s="32"/>
      <c r="AI148" s="32"/>
      <c r="AJ148" s="32"/>
      <c r="AK148" s="32"/>
      <c r="AL148" s="32"/>
    </row>
    <row r="149" spans="1:38">
      <c r="A149" s="85" t="s">
        <v>19</v>
      </c>
      <c r="B149" s="49"/>
      <c r="C149" s="49">
        <f t="shared" ref="C149:M149" si="144">C148+C147+C146</f>
        <v>279989</v>
      </c>
      <c r="D149" s="49">
        <f t="shared" si="144"/>
        <v>325517</v>
      </c>
      <c r="E149" s="49">
        <f t="shared" si="144"/>
        <v>466457</v>
      </c>
      <c r="F149" s="49">
        <f t="shared" si="144"/>
        <v>485480</v>
      </c>
      <c r="G149" s="49">
        <f t="shared" si="144"/>
        <v>604579</v>
      </c>
      <c r="H149" s="49">
        <f t="shared" si="144"/>
        <v>708437</v>
      </c>
      <c r="I149" s="49">
        <f t="shared" si="144"/>
        <v>770421</v>
      </c>
      <c r="J149" s="49">
        <f t="shared" si="144"/>
        <v>956719</v>
      </c>
      <c r="K149" s="49">
        <f t="shared" si="144"/>
        <v>1295881</v>
      </c>
      <c r="L149" s="165">
        <f t="shared" si="144"/>
        <v>1510000</v>
      </c>
      <c r="M149" s="165">
        <f t="shared" si="144"/>
        <v>1629000</v>
      </c>
      <c r="N149" s="165"/>
      <c r="V149" s="32"/>
      <c r="W149" s="32"/>
      <c r="X149" s="32"/>
      <c r="Y149" s="32"/>
      <c r="Z149" s="32"/>
      <c r="AA149" s="32"/>
      <c r="AB149" s="32"/>
      <c r="AC149" s="32"/>
      <c r="AD149" s="32"/>
      <c r="AE149" s="32"/>
      <c r="AF149" s="32"/>
      <c r="AG149" s="32"/>
      <c r="AH149" s="32"/>
      <c r="AI149" s="32"/>
      <c r="AJ149" s="32"/>
      <c r="AK149" s="32"/>
      <c r="AL149" s="32"/>
    </row>
    <row r="150" spans="1:38">
      <c r="A150" s="84" t="s">
        <v>20</v>
      </c>
      <c r="B150" s="49"/>
      <c r="C150" s="49">
        <v>575304</v>
      </c>
      <c r="D150" s="49">
        <v>575380</v>
      </c>
      <c r="E150" s="49">
        <v>690886</v>
      </c>
      <c r="F150" s="49">
        <v>1282898</v>
      </c>
      <c r="G150" s="49">
        <v>1285497</v>
      </c>
      <c r="H150" s="49">
        <v>1683264</v>
      </c>
      <c r="I150" s="49">
        <v>1686225</v>
      </c>
      <c r="J150" s="49">
        <v>1689186</v>
      </c>
      <c r="K150" s="49">
        <v>4354714</v>
      </c>
      <c r="L150" s="165">
        <v>4300000</v>
      </c>
      <c r="M150" s="165">
        <v>4210000</v>
      </c>
      <c r="N150" s="165"/>
      <c r="V150" s="32"/>
      <c r="W150" s="32"/>
      <c r="X150" s="32"/>
      <c r="Y150" s="32"/>
      <c r="Z150" s="32"/>
      <c r="AA150" s="32"/>
      <c r="AB150" s="32"/>
      <c r="AC150" s="32"/>
      <c r="AD150" s="32"/>
      <c r="AE150" s="32"/>
      <c r="AF150" s="32"/>
      <c r="AG150" s="32"/>
      <c r="AH150" s="32"/>
      <c r="AI150" s="32"/>
      <c r="AJ150" s="32"/>
      <c r="AK150" s="32"/>
      <c r="AL150" s="32"/>
    </row>
    <row r="151" spans="1:38">
      <c r="A151" s="84" t="s">
        <v>21</v>
      </c>
      <c r="B151" s="49"/>
      <c r="C151" s="49">
        <v>370224</v>
      </c>
      <c r="D151" s="49">
        <v>273103</v>
      </c>
      <c r="E151" s="49">
        <v>287519</v>
      </c>
      <c r="F151" s="49">
        <v>110005</v>
      </c>
      <c r="G151" s="49">
        <v>536166</v>
      </c>
      <c r="H151" s="49">
        <v>119420</v>
      </c>
      <c r="I151" s="49">
        <v>764991</v>
      </c>
      <c r="J151" s="49">
        <v>732315</v>
      </c>
      <c r="K151" s="49">
        <v>2774521</v>
      </c>
      <c r="L151" s="165">
        <v>2644521</v>
      </c>
      <c r="M151" s="165">
        <v>2744521</v>
      </c>
      <c r="N151" s="165"/>
      <c r="V151" s="32"/>
      <c r="W151" s="32"/>
      <c r="X151" s="32"/>
      <c r="Y151" s="32"/>
      <c r="Z151" s="32"/>
      <c r="AA151" s="32"/>
      <c r="AB151" s="32"/>
      <c r="AC151" s="32"/>
      <c r="AD151" s="32"/>
      <c r="AE151" s="32"/>
      <c r="AF151" s="32"/>
      <c r="AG151" s="32"/>
      <c r="AH151" s="32"/>
      <c r="AI151" s="32"/>
      <c r="AJ151" s="32"/>
      <c r="AK151" s="32"/>
      <c r="AL151" s="32"/>
    </row>
    <row r="152" spans="1:38">
      <c r="A152" s="84" t="s">
        <v>22</v>
      </c>
      <c r="B152" s="49"/>
      <c r="C152" s="49">
        <v>0</v>
      </c>
      <c r="D152" s="49">
        <v>0</v>
      </c>
      <c r="E152" s="49">
        <v>0</v>
      </c>
      <c r="F152" s="49">
        <v>0</v>
      </c>
      <c r="G152" s="49">
        <v>286550</v>
      </c>
      <c r="H152" s="49">
        <v>313762</v>
      </c>
      <c r="I152" s="49">
        <v>327664</v>
      </c>
      <c r="J152" s="49">
        <v>273006</v>
      </c>
      <c r="K152" s="49">
        <v>379644</v>
      </c>
      <c r="L152" s="165">
        <v>400001</v>
      </c>
      <c r="M152" s="165">
        <v>408204</v>
      </c>
      <c r="N152" s="165"/>
      <c r="V152" s="32"/>
      <c r="W152" s="32"/>
      <c r="X152" s="32"/>
      <c r="Y152" s="32"/>
      <c r="Z152" s="32"/>
      <c r="AA152" s="32"/>
      <c r="AB152" s="32"/>
      <c r="AC152" s="32"/>
      <c r="AD152" s="32"/>
      <c r="AE152" s="32"/>
      <c r="AF152" s="32"/>
      <c r="AG152" s="32"/>
      <c r="AH152" s="32"/>
      <c r="AI152" s="32"/>
      <c r="AJ152" s="32"/>
      <c r="AK152" s="32"/>
      <c r="AL152" s="32"/>
    </row>
    <row r="153" spans="1:38">
      <c r="A153" s="84" t="s">
        <v>23</v>
      </c>
      <c r="B153" s="49"/>
      <c r="C153" s="49">
        <v>37371</v>
      </c>
      <c r="D153" s="49">
        <v>42722</v>
      </c>
      <c r="E153" s="49">
        <v>121240</v>
      </c>
      <c r="F153" s="49">
        <v>120826</v>
      </c>
      <c r="G153" s="49">
        <v>120934</v>
      </c>
      <c r="H153" s="49">
        <v>137350</v>
      </c>
      <c r="I153" s="49">
        <v>157451</v>
      </c>
      <c r="J153" s="49">
        <v>218542</v>
      </c>
      <c r="K153" s="49">
        <v>2452100</v>
      </c>
      <c r="L153" s="165">
        <v>2502100</v>
      </c>
      <c r="M153" s="165">
        <v>2531100</v>
      </c>
      <c r="N153" s="165"/>
      <c r="V153" s="32"/>
      <c r="W153" s="32"/>
      <c r="X153" s="32"/>
      <c r="Y153" s="32"/>
      <c r="Z153" s="32"/>
      <c r="AA153" s="32"/>
      <c r="AB153" s="32"/>
      <c r="AC153" s="32"/>
      <c r="AD153" s="32"/>
      <c r="AE153" s="32"/>
      <c r="AF153" s="32"/>
      <c r="AG153" s="32"/>
      <c r="AH153" s="32"/>
      <c r="AI153" s="32"/>
      <c r="AJ153" s="32"/>
      <c r="AK153" s="32"/>
      <c r="AL153" s="32"/>
    </row>
    <row r="154" spans="1:38">
      <c r="A154" s="85" t="s">
        <v>24</v>
      </c>
      <c r="B154" s="49"/>
      <c r="C154" s="49">
        <f t="shared" ref="C154:M154" si="145">C153+C152+C151+C150+C149</f>
        <v>1262888</v>
      </c>
      <c r="D154" s="49">
        <f t="shared" si="145"/>
        <v>1216722</v>
      </c>
      <c r="E154" s="49">
        <f t="shared" si="145"/>
        <v>1566102</v>
      </c>
      <c r="F154" s="49">
        <f t="shared" si="145"/>
        <v>1999209</v>
      </c>
      <c r="G154" s="49">
        <f t="shared" si="145"/>
        <v>2833726</v>
      </c>
      <c r="H154" s="49">
        <f t="shared" si="145"/>
        <v>2962233</v>
      </c>
      <c r="I154" s="49">
        <f t="shared" si="145"/>
        <v>3706752</v>
      </c>
      <c r="J154" s="49">
        <f t="shared" si="145"/>
        <v>3869768</v>
      </c>
      <c r="K154" s="49">
        <f t="shared" si="145"/>
        <v>11256860</v>
      </c>
      <c r="L154" s="165">
        <f t="shared" si="145"/>
        <v>11356622</v>
      </c>
      <c r="M154" s="165">
        <f t="shared" si="145"/>
        <v>11522825</v>
      </c>
      <c r="N154" s="165"/>
      <c r="V154" s="32"/>
      <c r="W154" s="32"/>
      <c r="X154" s="32"/>
      <c r="Y154" s="32"/>
      <c r="Z154" s="32"/>
      <c r="AA154" s="32"/>
      <c r="AB154" s="32"/>
      <c r="AC154" s="32"/>
      <c r="AD154" s="32"/>
      <c r="AE154" s="32"/>
      <c r="AF154" s="32"/>
      <c r="AG154" s="32"/>
      <c r="AH154" s="32"/>
      <c r="AI154" s="32"/>
      <c r="AJ154" s="32"/>
      <c r="AK154" s="32"/>
      <c r="AL154" s="32"/>
    </row>
    <row r="155" spans="1:38">
      <c r="A155" s="84" t="s">
        <v>27</v>
      </c>
      <c r="B155" s="49">
        <v>855387</v>
      </c>
      <c r="C155" s="49">
        <v>1439645</v>
      </c>
      <c r="D155" s="49">
        <v>1535635</v>
      </c>
      <c r="E155" s="49">
        <v>1656819</v>
      </c>
      <c r="F155" s="49">
        <v>1656819</v>
      </c>
      <c r="G155" s="49">
        <v>1788456</v>
      </c>
      <c r="H155" s="49">
        <v>2092595</v>
      </c>
      <c r="I155" s="49">
        <v>2421950</v>
      </c>
      <c r="J155" s="49">
        <v>2540679</v>
      </c>
      <c r="K155" s="49">
        <v>4797253</v>
      </c>
      <c r="L155" s="165">
        <v>4960657</v>
      </c>
      <c r="M155" s="165">
        <v>5104019</v>
      </c>
      <c r="N155" s="165"/>
      <c r="V155" s="32"/>
      <c r="W155" s="32"/>
      <c r="X155" s="32"/>
      <c r="Y155" s="32"/>
      <c r="Z155" s="32"/>
      <c r="AA155" s="32"/>
      <c r="AB155" s="32"/>
      <c r="AC155" s="32"/>
      <c r="AD155" s="32"/>
      <c r="AE155" s="32"/>
      <c r="AF155" s="32"/>
      <c r="AG155" s="32"/>
      <c r="AH155" s="32"/>
      <c r="AI155" s="32"/>
      <c r="AJ155" s="32"/>
      <c r="AK155" s="32"/>
      <c r="AL155" s="32"/>
    </row>
    <row r="156" spans="1:38">
      <c r="A156" s="84" t="s">
        <v>28</v>
      </c>
      <c r="B156" s="49">
        <v>273704</v>
      </c>
      <c r="C156" s="49">
        <v>297471</v>
      </c>
      <c r="D156" s="49">
        <v>285960</v>
      </c>
      <c r="E156" s="49">
        <v>245585</v>
      </c>
      <c r="F156" s="49">
        <v>245585</v>
      </c>
      <c r="G156" s="49">
        <v>245373</v>
      </c>
      <c r="H156" s="49">
        <v>249064</v>
      </c>
      <c r="I156" s="49">
        <v>233530</v>
      </c>
      <c r="J156" s="49">
        <v>1318336</v>
      </c>
      <c r="K156" s="49">
        <v>249432</v>
      </c>
      <c r="L156" s="165">
        <v>419000</v>
      </c>
      <c r="M156" s="165">
        <v>409000</v>
      </c>
      <c r="N156" s="165"/>
      <c r="V156" s="32"/>
      <c r="W156" s="32"/>
      <c r="X156" s="32"/>
      <c r="Y156" s="32"/>
      <c r="Z156" s="32"/>
      <c r="AA156" s="32"/>
      <c r="AB156" s="32"/>
      <c r="AC156" s="32"/>
      <c r="AD156" s="32"/>
      <c r="AE156" s="32"/>
      <c r="AF156" s="32"/>
      <c r="AG156" s="32"/>
      <c r="AH156" s="32"/>
      <c r="AI156" s="32"/>
      <c r="AJ156" s="32"/>
      <c r="AK156" s="32"/>
      <c r="AL156" s="32"/>
    </row>
    <row r="157" spans="1:38">
      <c r="A157" s="84" t="s">
        <v>56</v>
      </c>
      <c r="B157" s="49">
        <v>7</v>
      </c>
      <c r="C157" s="49">
        <v>-2504</v>
      </c>
      <c r="D157" s="49">
        <v>15565</v>
      </c>
      <c r="E157" s="49">
        <v>5338</v>
      </c>
      <c r="F157" s="49">
        <v>5338</v>
      </c>
      <c r="G157" s="49">
        <v>-6048</v>
      </c>
      <c r="H157" s="49">
        <v>9803</v>
      </c>
      <c r="I157" s="49">
        <v>-21621</v>
      </c>
      <c r="J157" s="49">
        <v>-34713</v>
      </c>
      <c r="K157" s="49">
        <v>-21268</v>
      </c>
      <c r="L157" s="165">
        <v>-20000</v>
      </c>
      <c r="M157" s="165">
        <v>-20000</v>
      </c>
      <c r="N157" s="165"/>
      <c r="V157" s="32"/>
      <c r="W157" s="32"/>
      <c r="X157" s="32"/>
      <c r="Y157" s="32"/>
      <c r="Z157" s="32"/>
      <c r="AA157" s="32"/>
      <c r="AB157" s="32"/>
      <c r="AC157" s="32"/>
      <c r="AD157" s="32"/>
      <c r="AE157" s="32"/>
      <c r="AF157" s="32"/>
      <c r="AG157" s="32"/>
      <c r="AH157" s="32"/>
      <c r="AI157" s="32"/>
      <c r="AJ157" s="32"/>
      <c r="AK157" s="32"/>
      <c r="AL157" s="32"/>
    </row>
    <row r="158" spans="1:38">
      <c r="A158" s="84" t="s">
        <v>29</v>
      </c>
      <c r="B158" s="49">
        <v>1129103</v>
      </c>
      <c r="C158" s="49">
        <v>1734618</v>
      </c>
      <c r="D158" s="49">
        <v>1837166</v>
      </c>
      <c r="E158" s="49">
        <v>1907748</v>
      </c>
      <c r="F158" s="49">
        <f>F157+F156+F155+6</f>
        <v>1907748</v>
      </c>
      <c r="G158" s="49">
        <f>G157+G156+G155+6</f>
        <v>2027787</v>
      </c>
      <c r="H158" s="49">
        <f>H157+H156+H155+7</f>
        <v>2351469</v>
      </c>
      <c r="I158" s="49">
        <f>I157+I156+I155+7</f>
        <v>2633866</v>
      </c>
      <c r="J158" s="49">
        <f>J157+J156+J155+8</f>
        <v>3824310</v>
      </c>
      <c r="K158" s="49">
        <f>K157+K156+K155+13</f>
        <v>5025430</v>
      </c>
      <c r="L158" s="165">
        <f>L157+L156+L155</f>
        <v>5359657</v>
      </c>
      <c r="M158" s="165">
        <f>M157+M156+M155</f>
        <v>5493019</v>
      </c>
      <c r="N158" s="165"/>
      <c r="V158" s="32"/>
      <c r="W158" s="32"/>
      <c r="X158" s="32"/>
      <c r="Y158" s="32"/>
      <c r="Z158" s="32"/>
      <c r="AA158" s="32"/>
      <c r="AB158" s="32"/>
      <c r="AC158" s="32"/>
      <c r="AD158" s="32"/>
      <c r="AE158" s="32"/>
      <c r="AF158" s="32"/>
      <c r="AG158" s="32"/>
      <c r="AH158" s="32"/>
      <c r="AI158" s="32"/>
      <c r="AJ158" s="32"/>
      <c r="AK158" s="32"/>
      <c r="AL158" s="32"/>
    </row>
    <row r="159" spans="1:38">
      <c r="A159" s="84" t="s">
        <v>30</v>
      </c>
      <c r="B159" s="49">
        <v>5321</v>
      </c>
      <c r="C159" s="49">
        <v>3313</v>
      </c>
      <c r="D159" s="49">
        <v>10841</v>
      </c>
      <c r="E159" s="49">
        <v>8330</v>
      </c>
      <c r="F159" s="49">
        <v>8330</v>
      </c>
      <c r="G159" s="49">
        <v>22355</v>
      </c>
      <c r="H159" s="49">
        <v>35765</v>
      </c>
      <c r="I159" s="49">
        <v>48728</v>
      </c>
      <c r="J159" s="49">
        <v>36259</v>
      </c>
      <c r="K159" s="49">
        <v>47074</v>
      </c>
      <c r="L159" s="165">
        <v>48000</v>
      </c>
      <c r="M159" s="165">
        <v>48000</v>
      </c>
      <c r="N159" s="165"/>
      <c r="V159" s="32"/>
      <c r="W159" s="32"/>
      <c r="X159" s="32"/>
      <c r="Y159" s="32"/>
      <c r="Z159" s="32"/>
      <c r="AA159" s="32"/>
      <c r="AB159" s="32"/>
      <c r="AC159" s="32"/>
      <c r="AD159" s="32"/>
      <c r="AE159" s="32"/>
      <c r="AF159" s="32"/>
      <c r="AG159" s="32"/>
      <c r="AH159" s="32"/>
      <c r="AI159" s="32"/>
      <c r="AJ159" s="32"/>
      <c r="AK159" s="32"/>
      <c r="AL159" s="32"/>
    </row>
    <row r="160" spans="1:38">
      <c r="A160" s="85" t="s">
        <v>31</v>
      </c>
      <c r="B160" s="49">
        <v>1134424</v>
      </c>
      <c r="C160" s="49">
        <v>1737931</v>
      </c>
      <c r="D160" s="49">
        <v>1848007</v>
      </c>
      <c r="E160" s="49">
        <v>1916078</v>
      </c>
      <c r="F160" s="49">
        <f>F158+F159</f>
        <v>1916078</v>
      </c>
      <c r="G160" s="49">
        <f t="shared" ref="G160:L160" si="146">G158+G159</f>
        <v>2050142</v>
      </c>
      <c r="H160" s="49">
        <f t="shared" si="146"/>
        <v>2387234</v>
      </c>
      <c r="I160" s="49">
        <f t="shared" si="146"/>
        <v>2682594</v>
      </c>
      <c r="J160" s="49">
        <f t="shared" si="146"/>
        <v>3860569</v>
      </c>
      <c r="K160" s="49">
        <f t="shared" si="146"/>
        <v>5072504</v>
      </c>
      <c r="L160" s="165">
        <f t="shared" si="146"/>
        <v>5407657</v>
      </c>
      <c r="M160" s="165">
        <f t="shared" ref="M160" si="147">M158+M159</f>
        <v>5541019</v>
      </c>
      <c r="N160" s="165"/>
      <c r="V160" s="32"/>
      <c r="W160" s="32"/>
      <c r="X160" s="32"/>
      <c r="Y160" s="32"/>
      <c r="Z160" s="32"/>
      <c r="AA160" s="32"/>
      <c r="AB160" s="32"/>
      <c r="AC160" s="32"/>
      <c r="AD160" s="32"/>
      <c r="AE160" s="32"/>
      <c r="AF160" s="32"/>
      <c r="AG160" s="32"/>
      <c r="AH160" s="32"/>
      <c r="AI160" s="32"/>
      <c r="AJ160" s="32"/>
      <c r="AK160" s="32"/>
      <c r="AL160" s="32"/>
    </row>
    <row r="161" spans="1:38">
      <c r="A161" s="86" t="s">
        <v>32</v>
      </c>
      <c r="B161" s="49">
        <v>2397312</v>
      </c>
      <c r="C161" s="49">
        <v>2954653</v>
      </c>
      <c r="D161" s="49">
        <v>3414109</v>
      </c>
      <c r="E161" s="49">
        <v>3915287</v>
      </c>
      <c r="F161" s="49">
        <f t="shared" ref="F161:M161" si="148">F160+F154</f>
        <v>3915287</v>
      </c>
      <c r="G161" s="49">
        <f t="shared" si="148"/>
        <v>4883868</v>
      </c>
      <c r="H161" s="49">
        <f t="shared" si="148"/>
        <v>5349467</v>
      </c>
      <c r="I161" s="49">
        <f t="shared" si="148"/>
        <v>6389346</v>
      </c>
      <c r="J161" s="49">
        <f t="shared" si="148"/>
        <v>7730337</v>
      </c>
      <c r="K161" s="49">
        <f t="shared" si="148"/>
        <v>16329364</v>
      </c>
      <c r="L161" s="165">
        <f t="shared" si="148"/>
        <v>16764279</v>
      </c>
      <c r="M161" s="165">
        <f t="shared" si="148"/>
        <v>17063844</v>
      </c>
      <c r="N161" s="165"/>
      <c r="V161" s="32"/>
      <c r="W161" s="32"/>
      <c r="X161" s="32"/>
      <c r="Y161" s="32"/>
      <c r="Z161" s="32"/>
      <c r="AA161" s="32"/>
      <c r="AB161" s="32"/>
      <c r="AC161" s="32"/>
      <c r="AD161" s="32"/>
      <c r="AE161" s="32"/>
      <c r="AF161" s="32"/>
      <c r="AG161" s="32"/>
      <c r="AH161" s="32"/>
      <c r="AI161" s="32"/>
      <c r="AJ161" s="32"/>
      <c r="AK161" s="32"/>
      <c r="AL161" s="32"/>
    </row>
    <row r="162" spans="1:38">
      <c r="A162" s="50"/>
      <c r="B162" s="50"/>
      <c r="C162" s="50"/>
      <c r="D162" s="50"/>
      <c r="E162" s="50"/>
      <c r="F162" s="53"/>
      <c r="G162" s="53"/>
      <c r="H162" s="53"/>
      <c r="I162" s="53"/>
      <c r="J162" s="53"/>
      <c r="K162" s="50"/>
      <c r="L162" s="162"/>
      <c r="M162" s="162"/>
      <c r="N162" s="162"/>
    </row>
    <row r="163" spans="1:38" outlineLevel="1">
      <c r="A163" s="89" t="s">
        <v>201</v>
      </c>
      <c r="B163" s="50"/>
      <c r="C163" s="50"/>
      <c r="D163" s="50"/>
      <c r="E163" s="50"/>
      <c r="F163" s="53"/>
      <c r="G163" s="53"/>
      <c r="H163" s="53"/>
      <c r="I163" s="53"/>
      <c r="J163" s="53"/>
      <c r="K163" s="50"/>
      <c r="L163" s="162"/>
      <c r="M163" s="162"/>
      <c r="N163" s="162"/>
    </row>
    <row r="164" spans="1:38" outlineLevel="1">
      <c r="A164" s="51" t="s">
        <v>2</v>
      </c>
      <c r="B164" s="50"/>
      <c r="C164" s="50"/>
      <c r="D164" s="50"/>
      <c r="E164" s="50"/>
      <c r="F164" s="50"/>
      <c r="G164" s="45"/>
      <c r="H164" s="50"/>
      <c r="I164" s="48" t="s">
        <v>3</v>
      </c>
      <c r="J164" s="50"/>
      <c r="K164" s="50"/>
      <c r="L164" s="162"/>
      <c r="M164" s="162"/>
      <c r="N164" s="162"/>
      <c r="V164" s="32"/>
      <c r="W164" s="32"/>
      <c r="X164" s="32"/>
      <c r="Y164" s="32"/>
      <c r="Z164" s="32"/>
      <c r="AA164" s="32"/>
      <c r="AB164" s="32"/>
      <c r="AC164" s="32"/>
      <c r="AD164" s="32"/>
      <c r="AE164" s="32"/>
      <c r="AF164" s="32"/>
      <c r="AG164" s="32"/>
      <c r="AH164" s="32"/>
      <c r="AI164" s="32"/>
      <c r="AJ164" s="32"/>
      <c r="AK164" s="32"/>
      <c r="AL164" s="32"/>
    </row>
    <row r="165" spans="1:38" outlineLevel="1">
      <c r="A165" s="84" t="s">
        <v>4</v>
      </c>
      <c r="B165" s="52"/>
      <c r="C165" s="90"/>
      <c r="D165" s="90">
        <f t="shared" ref="D165:E176" si="149">(D133-C133)/ABS(C133)</f>
        <v>2.0910948488880443</v>
      </c>
      <c r="E165" s="90">
        <f t="shared" si="149"/>
        <v>-0.45082937477901275</v>
      </c>
      <c r="F165" s="90">
        <f>(F133-E133)/ABS(E133)</f>
        <v>2.6629202474596196</v>
      </c>
      <c r="G165" s="90">
        <f t="shared" ref="G165:M165" si="150">(G133-F133)/ABS(F133)</f>
        <v>0.16281175845717058</v>
      </c>
      <c r="H165" s="90">
        <f t="shared" si="150"/>
        <v>-2.747207608056285E-2</v>
      </c>
      <c r="I165" s="90">
        <f t="shared" si="150"/>
        <v>4.9028717785834723E-2</v>
      </c>
      <c r="J165" s="90">
        <f t="shared" si="150"/>
        <v>3.3447089631803233</v>
      </c>
      <c r="K165" s="90">
        <f t="shared" si="150"/>
        <v>0.40936899026877632</v>
      </c>
      <c r="L165" s="166">
        <f t="shared" si="150"/>
        <v>-3.0085748116944842E-2</v>
      </c>
      <c r="M165" s="166">
        <f t="shared" si="150"/>
        <v>-0.11020430742597374</v>
      </c>
      <c r="N165" s="164"/>
      <c r="V165" s="32"/>
      <c r="W165" s="32"/>
      <c r="X165" s="32"/>
      <c r="Y165" s="32"/>
      <c r="Z165" s="32"/>
      <c r="AA165" s="32"/>
      <c r="AB165" s="32"/>
      <c r="AC165" s="32"/>
      <c r="AD165" s="32"/>
      <c r="AE165" s="32"/>
      <c r="AF165" s="32"/>
      <c r="AG165" s="32"/>
      <c r="AH165" s="32"/>
      <c r="AI165" s="32"/>
      <c r="AJ165" s="32"/>
      <c r="AK165" s="32"/>
      <c r="AL165" s="32"/>
    </row>
    <row r="166" spans="1:38" outlineLevel="1">
      <c r="A166" s="84" t="s">
        <v>150</v>
      </c>
      <c r="B166" s="52"/>
      <c r="C166" s="90"/>
      <c r="D166" s="90" t="e">
        <f t="shared" si="149"/>
        <v>#DIV/0!</v>
      </c>
      <c r="E166" s="90" t="e">
        <f t="shared" si="149"/>
        <v>#DIV/0!</v>
      </c>
      <c r="F166" s="90" t="e">
        <f t="shared" ref="F166:M166" si="151">(F134-E134)/ABS(E134)</f>
        <v>#DIV/0!</v>
      </c>
      <c r="G166" s="90" t="e">
        <f t="shared" si="151"/>
        <v>#DIV/0!</v>
      </c>
      <c r="H166" s="90" t="e">
        <f t="shared" si="151"/>
        <v>#DIV/0!</v>
      </c>
      <c r="I166" s="90" t="e">
        <f t="shared" si="151"/>
        <v>#DIV/0!</v>
      </c>
      <c r="J166" s="90" t="e">
        <f t="shared" si="151"/>
        <v>#DIV/0!</v>
      </c>
      <c r="K166" s="90">
        <f t="shared" si="151"/>
        <v>-1</v>
      </c>
      <c r="L166" s="166" t="e">
        <f t="shared" si="151"/>
        <v>#DIV/0!</v>
      </c>
      <c r="M166" s="166" t="e">
        <f t="shared" si="151"/>
        <v>#DIV/0!</v>
      </c>
      <c r="N166" s="164"/>
      <c r="V166" s="32"/>
      <c r="W166" s="32"/>
      <c r="X166" s="32"/>
      <c r="Y166" s="32"/>
      <c r="Z166" s="32"/>
      <c r="AA166" s="32"/>
      <c r="AB166" s="32"/>
      <c r="AC166" s="32"/>
      <c r="AD166" s="32"/>
      <c r="AE166" s="32"/>
      <c r="AF166" s="32"/>
      <c r="AG166" s="32"/>
      <c r="AH166" s="32"/>
      <c r="AI166" s="32"/>
      <c r="AJ166" s="32"/>
      <c r="AK166" s="32"/>
      <c r="AL166" s="32"/>
    </row>
    <row r="167" spans="1:38" outlineLevel="1">
      <c r="A167" s="84" t="s">
        <v>5</v>
      </c>
      <c r="B167" s="49"/>
      <c r="C167" s="90"/>
      <c r="D167" s="90">
        <f t="shared" si="149"/>
        <v>-8.022697786024191E-2</v>
      </c>
      <c r="E167" s="90">
        <f t="shared" si="149"/>
        <v>1.4955198865467673E-2</v>
      </c>
      <c r="F167" s="90">
        <f t="shared" ref="F167:M167" si="152">(F135-E135)/ABS(E135)</f>
        <v>0.12195094614536828</v>
      </c>
      <c r="G167" s="90">
        <f t="shared" si="152"/>
        <v>0.10119977223308148</v>
      </c>
      <c r="H167" s="90">
        <f t="shared" si="152"/>
        <v>-0.27833854453307849</v>
      </c>
      <c r="I167" s="90">
        <f t="shared" si="152"/>
        <v>0.50540955030756085</v>
      </c>
      <c r="J167" s="90">
        <f t="shared" si="152"/>
        <v>0.16885676192490864</v>
      </c>
      <c r="K167" s="90">
        <f t="shared" si="152"/>
        <v>0.61503950620811842</v>
      </c>
      <c r="L167" s="166">
        <f t="shared" si="152"/>
        <v>1.6219165155335367E-2</v>
      </c>
      <c r="M167" s="166">
        <f t="shared" si="152"/>
        <v>2.7567795011680038E-2</v>
      </c>
      <c r="N167" s="165"/>
      <c r="V167" s="32"/>
      <c r="W167" s="32"/>
      <c r="X167" s="32"/>
      <c r="Y167" s="32"/>
      <c r="Z167" s="32"/>
      <c r="AA167" s="32"/>
      <c r="AB167" s="32"/>
      <c r="AC167" s="32"/>
      <c r="AD167" s="32"/>
      <c r="AE167" s="32"/>
      <c r="AF167" s="32"/>
      <c r="AG167" s="32"/>
      <c r="AH167" s="32"/>
      <c r="AI167" s="32"/>
      <c r="AJ167" s="32"/>
      <c r="AK167" s="32"/>
      <c r="AL167" s="32"/>
    </row>
    <row r="168" spans="1:38" outlineLevel="1">
      <c r="A168" s="84" t="s">
        <v>6</v>
      </c>
      <c r="B168" s="49"/>
      <c r="C168" s="90"/>
      <c r="D168" s="90">
        <f t="shared" si="149"/>
        <v>0.12427580410716377</v>
      </c>
      <c r="E168" s="90">
        <f t="shared" si="149"/>
        <v>0.20285414917800748</v>
      </c>
      <c r="F168" s="90">
        <f t="shared" ref="F168:M168" si="153">(F136-E136)/ABS(E136)</f>
        <v>0.1946491974305552</v>
      </c>
      <c r="G168" s="90">
        <f t="shared" si="153"/>
        <v>0.25540896647592082</v>
      </c>
      <c r="H168" s="90">
        <f t="shared" si="153"/>
        <v>0.14352480843432422</v>
      </c>
      <c r="I168" s="90">
        <f t="shared" si="153"/>
        <v>1.5498764376009885E-2</v>
      </c>
      <c r="J168" s="90">
        <f t="shared" si="153"/>
        <v>-0.21447541606949605</v>
      </c>
      <c r="K168" s="90">
        <f t="shared" si="153"/>
        <v>0.18362544356445229</v>
      </c>
      <c r="L168" s="166">
        <f t="shared" si="153"/>
        <v>5.3863431882671967E-2</v>
      </c>
      <c r="M168" s="166">
        <f t="shared" si="153"/>
        <v>4.1794029850746268E-2</v>
      </c>
      <c r="N168" s="165"/>
      <c r="V168" s="32"/>
      <c r="W168" s="32"/>
      <c r="X168" s="32"/>
      <c r="Y168" s="32"/>
      <c r="Z168" s="32"/>
      <c r="AA168" s="32"/>
      <c r="AB168" s="32"/>
      <c r="AC168" s="32"/>
      <c r="AD168" s="32"/>
      <c r="AE168" s="32"/>
      <c r="AF168" s="32"/>
      <c r="AG168" s="32"/>
      <c r="AH168" s="32"/>
      <c r="AI168" s="32"/>
      <c r="AJ168" s="32"/>
      <c r="AK168" s="32"/>
      <c r="AL168" s="32"/>
    </row>
    <row r="169" spans="1:38" outlineLevel="1">
      <c r="A169" s="84" t="s">
        <v>7</v>
      </c>
      <c r="B169" s="49"/>
      <c r="C169" s="90"/>
      <c r="D169" s="90">
        <f t="shared" si="149"/>
        <v>0.21547611541937248</v>
      </c>
      <c r="E169" s="90">
        <f t="shared" si="149"/>
        <v>0.33368490213707724</v>
      </c>
      <c r="F169" s="90">
        <f t="shared" ref="F169:M169" si="154">(F137-E137)/ABS(E137)</f>
        <v>0.17516043300706555</v>
      </c>
      <c r="G169" s="90">
        <f t="shared" si="154"/>
        <v>0.28280343313549411</v>
      </c>
      <c r="H169" s="90">
        <f t="shared" si="154"/>
        <v>3.1638874794678411E-2</v>
      </c>
      <c r="I169" s="90">
        <f t="shared" si="154"/>
        <v>0.23252750916972323</v>
      </c>
      <c r="J169" s="90">
        <f t="shared" si="154"/>
        <v>0.19461766337062236</v>
      </c>
      <c r="K169" s="90">
        <f t="shared" si="154"/>
        <v>2.2938135866703657</v>
      </c>
      <c r="L169" s="166">
        <f t="shared" si="154"/>
        <v>6.5689440908379929E-2</v>
      </c>
      <c r="M169" s="166">
        <f t="shared" si="154"/>
        <v>0.11290322580645161</v>
      </c>
      <c r="N169" s="165"/>
      <c r="V169" s="32"/>
      <c r="W169" s="32"/>
      <c r="X169" s="32"/>
      <c r="Y169" s="32"/>
      <c r="Z169" s="32"/>
      <c r="AA169" s="32"/>
      <c r="AB169" s="32"/>
      <c r="AC169" s="32"/>
      <c r="AD169" s="32"/>
      <c r="AE169" s="32"/>
      <c r="AF169" s="32"/>
      <c r="AG169" s="32"/>
      <c r="AH169" s="32"/>
      <c r="AI169" s="32"/>
      <c r="AJ169" s="32"/>
      <c r="AK169" s="32"/>
      <c r="AL169" s="32"/>
    </row>
    <row r="170" spans="1:38" outlineLevel="1">
      <c r="A170" s="85" t="s">
        <v>8</v>
      </c>
      <c r="B170" s="49"/>
      <c r="C170" s="90"/>
      <c r="D170" s="90">
        <f t="shared" si="149"/>
        <v>0.17888778961415458</v>
      </c>
      <c r="E170" s="90">
        <f t="shared" si="149"/>
        <v>-3.7455924639265129E-3</v>
      </c>
      <c r="F170" s="90">
        <f t="shared" ref="F170:M170" si="155">(F138-E138)/ABS(E138)</f>
        <v>0.44831875772382146</v>
      </c>
      <c r="G170" s="90">
        <f t="shared" si="155"/>
        <v>0.17869364677875316</v>
      </c>
      <c r="H170" s="90">
        <f t="shared" si="155"/>
        <v>-5.2090266461637329E-2</v>
      </c>
      <c r="I170" s="90">
        <f t="shared" si="155"/>
        <v>0.16972699657900817</v>
      </c>
      <c r="J170" s="90">
        <f t="shared" si="155"/>
        <v>0.93580526308526635</v>
      </c>
      <c r="K170" s="90">
        <f t="shared" si="155"/>
        <v>0.54996008040946098</v>
      </c>
      <c r="L170" s="166">
        <f t="shared" si="155"/>
        <v>2.6287014531013214E-3</v>
      </c>
      <c r="M170" s="166">
        <f t="shared" si="155"/>
        <v>-2.872608727687025E-2</v>
      </c>
      <c r="N170" s="165"/>
      <c r="V170" s="32"/>
      <c r="W170" s="32"/>
      <c r="X170" s="32"/>
      <c r="Y170" s="32"/>
      <c r="Z170" s="32"/>
      <c r="AA170" s="32"/>
      <c r="AB170" s="32"/>
      <c r="AC170" s="32"/>
      <c r="AD170" s="32"/>
      <c r="AE170" s="32"/>
      <c r="AF170" s="32"/>
      <c r="AG170" s="32"/>
      <c r="AH170" s="32"/>
      <c r="AI170" s="32"/>
      <c r="AJ170" s="32"/>
      <c r="AK170" s="32"/>
      <c r="AL170" s="32"/>
    </row>
    <row r="171" spans="1:38" outlineLevel="1">
      <c r="A171" s="84" t="s">
        <v>9</v>
      </c>
      <c r="B171" s="49"/>
      <c r="C171" s="90"/>
      <c r="D171" s="90">
        <f t="shared" si="149"/>
        <v>0.23388299003448018</v>
      </c>
      <c r="E171" s="90">
        <f t="shared" si="149"/>
        <v>0.11884919739774603</v>
      </c>
      <c r="F171" s="90">
        <f t="shared" ref="F171:M171" si="156">(F139-E139)/ABS(E139)</f>
        <v>-1.9616334687379788E-2</v>
      </c>
      <c r="G171" s="90">
        <f t="shared" si="156"/>
        <v>1.1278388829799049</v>
      </c>
      <c r="H171" s="90">
        <f t="shared" si="156"/>
        <v>0.17927928450343772</v>
      </c>
      <c r="I171" s="90">
        <f t="shared" si="156"/>
        <v>0.22666213842201383</v>
      </c>
      <c r="J171" s="90">
        <f t="shared" si="156"/>
        <v>0.17006573110217452</v>
      </c>
      <c r="K171" s="90">
        <f t="shared" si="156"/>
        <v>0.72606613140356624</v>
      </c>
      <c r="L171" s="166">
        <f t="shared" si="156"/>
        <v>0.12740078806902974</v>
      </c>
      <c r="M171" s="166">
        <f t="shared" si="156"/>
        <v>0.10408638497652582</v>
      </c>
      <c r="N171" s="165"/>
      <c r="V171" s="32"/>
      <c r="W171" s="32"/>
      <c r="X171" s="32"/>
      <c r="Y171" s="32"/>
      <c r="Z171" s="32"/>
      <c r="AA171" s="32"/>
      <c r="AB171" s="32"/>
      <c r="AC171" s="32"/>
      <c r="AD171" s="32"/>
      <c r="AE171" s="32"/>
      <c r="AF171" s="32"/>
      <c r="AG171" s="32"/>
      <c r="AH171" s="32"/>
      <c r="AI171" s="32"/>
      <c r="AJ171" s="32"/>
      <c r="AK171" s="32"/>
      <c r="AL171" s="32"/>
    </row>
    <row r="172" spans="1:38" outlineLevel="1">
      <c r="A172" s="84" t="s">
        <v>10</v>
      </c>
      <c r="B172" s="52"/>
      <c r="C172" s="90"/>
      <c r="D172" s="90">
        <f t="shared" si="149"/>
        <v>0.11028321455710501</v>
      </c>
      <c r="E172" s="90">
        <f t="shared" si="149"/>
        <v>0.33643601278560437</v>
      </c>
      <c r="F172" s="90">
        <f t="shared" ref="F172:M172" si="157">(F140-E140)/ABS(E140)</f>
        <v>0.25902021902093875</v>
      </c>
      <c r="G172" s="90">
        <f t="shared" si="157"/>
        <v>-0.66091485850793785</v>
      </c>
      <c r="H172" s="90">
        <f t="shared" si="157"/>
        <v>0.10379618792572971</v>
      </c>
      <c r="I172" s="90">
        <f t="shared" si="157"/>
        <v>4.6173367483610214E-2</v>
      </c>
      <c r="J172" s="90">
        <f t="shared" si="157"/>
        <v>-0.20893883922555143</v>
      </c>
      <c r="K172" s="90">
        <f t="shared" si="157"/>
        <v>0.39509222486042939</v>
      </c>
      <c r="L172" s="166">
        <f t="shared" si="157"/>
        <v>4.3052633453496386E-2</v>
      </c>
      <c r="M172" s="166">
        <f t="shared" si="157"/>
        <v>-4.8778048780487804E-2</v>
      </c>
      <c r="N172" s="165"/>
      <c r="V172" s="32"/>
      <c r="W172" s="32"/>
      <c r="X172" s="32"/>
      <c r="Y172" s="32"/>
      <c r="Z172" s="32"/>
      <c r="AA172" s="32"/>
      <c r="AB172" s="32"/>
      <c r="AC172" s="32"/>
      <c r="AD172" s="32"/>
      <c r="AE172" s="32"/>
      <c r="AF172" s="32"/>
      <c r="AG172" s="32"/>
      <c r="AH172" s="32"/>
      <c r="AI172" s="32"/>
      <c r="AJ172" s="32"/>
      <c r="AK172" s="32"/>
      <c r="AL172" s="32"/>
    </row>
    <row r="173" spans="1:38" outlineLevel="1">
      <c r="A173" s="84" t="s">
        <v>11</v>
      </c>
      <c r="B173" s="49"/>
      <c r="C173" s="90"/>
      <c r="D173" s="90">
        <f t="shared" si="149"/>
        <v>0.24023925723128198</v>
      </c>
      <c r="E173" s="90">
        <f t="shared" si="149"/>
        <v>-0.23550159560429013</v>
      </c>
      <c r="F173" s="90">
        <f t="shared" ref="F173:M173" si="158">(F141-E141)/ABS(E141)</f>
        <v>-0.30007532483836546</v>
      </c>
      <c r="G173" s="90">
        <f t="shared" si="158"/>
        <v>-0.3525402448320703</v>
      </c>
      <c r="H173" s="90">
        <f t="shared" si="158"/>
        <v>-0.33735023201052705</v>
      </c>
      <c r="I173" s="90">
        <f t="shared" si="158"/>
        <v>23.670045986622075</v>
      </c>
      <c r="J173" s="90">
        <f t="shared" si="158"/>
        <v>-0.14759175235020738</v>
      </c>
      <c r="K173" s="90">
        <f t="shared" si="158"/>
        <v>11.646141994483239</v>
      </c>
      <c r="L173" s="166">
        <f t="shared" si="158"/>
        <v>-0.11790288496569222</v>
      </c>
      <c r="M173" s="166">
        <f t="shared" si="158"/>
        <v>-0.10936538608052603</v>
      </c>
      <c r="N173" s="165"/>
      <c r="V173" s="32"/>
      <c r="W173" s="32"/>
      <c r="X173" s="32"/>
      <c r="Y173" s="32"/>
      <c r="Z173" s="32"/>
      <c r="AA173" s="32"/>
      <c r="AB173" s="32"/>
      <c r="AC173" s="32"/>
      <c r="AD173" s="32"/>
      <c r="AE173" s="32"/>
      <c r="AF173" s="32"/>
      <c r="AG173" s="32"/>
      <c r="AH173" s="32"/>
      <c r="AI173" s="32"/>
      <c r="AJ173" s="32"/>
      <c r="AK173" s="32"/>
      <c r="AL173" s="32"/>
    </row>
    <row r="174" spans="1:38" outlineLevel="1">
      <c r="A174" s="84" t="s">
        <v>12</v>
      </c>
      <c r="B174" s="49"/>
      <c r="C174" s="90"/>
      <c r="D174" s="90">
        <f t="shared" si="149"/>
        <v>2.4231032125768968E-2</v>
      </c>
      <c r="E174" s="90">
        <f t="shared" si="149"/>
        <v>1.0085421602322399E-2</v>
      </c>
      <c r="F174" s="90">
        <f t="shared" ref="F174:M174" si="159">(F142-E142)/ABS(E142)</f>
        <v>5.2359912458190523E-3</v>
      </c>
      <c r="G174" s="90">
        <f t="shared" si="159"/>
        <v>-4.2885662879254679E-3</v>
      </c>
      <c r="H174" s="90">
        <f t="shared" si="159"/>
        <v>9.1008853354455962E-3</v>
      </c>
      <c r="I174" s="90">
        <f t="shared" si="159"/>
        <v>0.55448078495502862</v>
      </c>
      <c r="J174" s="90">
        <f t="shared" si="159"/>
        <v>-0.16606439328189024</v>
      </c>
      <c r="K174" s="90">
        <f t="shared" si="159"/>
        <v>9.2292326323624021</v>
      </c>
      <c r="L174" s="166">
        <f t="shared" si="159"/>
        <v>-0.10482419441065063</v>
      </c>
      <c r="M174" s="166">
        <f t="shared" si="159"/>
        <v>-0.10441580340592782</v>
      </c>
      <c r="N174" s="165"/>
      <c r="V174" s="32"/>
      <c r="W174" s="32"/>
      <c r="X174" s="32"/>
      <c r="Y174" s="32"/>
      <c r="Z174" s="32"/>
      <c r="AA174" s="32"/>
      <c r="AB174" s="32"/>
      <c r="AC174" s="32"/>
      <c r="AD174" s="32"/>
      <c r="AE174" s="32"/>
      <c r="AF174" s="32"/>
      <c r="AG174" s="32"/>
      <c r="AH174" s="32"/>
      <c r="AI174" s="32"/>
      <c r="AJ174" s="32"/>
      <c r="AK174" s="32"/>
      <c r="AL174" s="32"/>
    </row>
    <row r="175" spans="1:38" outlineLevel="1">
      <c r="A175" s="84" t="s">
        <v>13</v>
      </c>
      <c r="B175" s="49"/>
      <c r="C175" s="90"/>
      <c r="D175" s="90">
        <f t="shared" si="149"/>
        <v>0.55693592741283215</v>
      </c>
      <c r="E175" s="90">
        <f t="shared" si="149"/>
        <v>0.29614293324467383</v>
      </c>
      <c r="F175" s="90">
        <f t="shared" ref="F175:M175" si="160">(F143-E143)/ABS(E143)</f>
        <v>0.10591371364777143</v>
      </c>
      <c r="G175" s="90">
        <f t="shared" si="160"/>
        <v>6.397822892574509E-2</v>
      </c>
      <c r="H175" s="90">
        <f t="shared" si="160"/>
        <v>3.4774175328728979E-2</v>
      </c>
      <c r="I175" s="90">
        <f t="shared" si="160"/>
        <v>-0.15536605831508918</v>
      </c>
      <c r="J175" s="90">
        <f t="shared" si="160"/>
        <v>-0.33954338676076695</v>
      </c>
      <c r="K175" s="90">
        <f t="shared" si="160"/>
        <v>0.57486513975255238</v>
      </c>
      <c r="L175" s="166">
        <f t="shared" si="160"/>
        <v>-0.11437746867280607</v>
      </c>
      <c r="M175" s="166">
        <f t="shared" si="160"/>
        <v>-0.1076923076923077</v>
      </c>
      <c r="N175" s="165"/>
      <c r="V175" s="32"/>
      <c r="W175" s="32"/>
      <c r="X175" s="32"/>
      <c r="Y175" s="32"/>
      <c r="Z175" s="32"/>
      <c r="AA175" s="32"/>
      <c r="AB175" s="32"/>
      <c r="AC175" s="32"/>
      <c r="AD175" s="32"/>
      <c r="AE175" s="32"/>
      <c r="AF175" s="32"/>
      <c r="AG175" s="32"/>
      <c r="AH175" s="32"/>
      <c r="AI175" s="32"/>
      <c r="AJ175" s="32"/>
      <c r="AK175" s="32"/>
      <c r="AL175" s="32"/>
    </row>
    <row r="176" spans="1:38" outlineLevel="1">
      <c r="A176" s="85" t="s">
        <v>14</v>
      </c>
      <c r="B176" s="49"/>
      <c r="C176" s="90"/>
      <c r="D176" s="90">
        <f t="shared" si="149"/>
        <v>0.23248580076352182</v>
      </c>
      <c r="E176" s="90">
        <f t="shared" si="149"/>
        <v>0.15550252432349923</v>
      </c>
      <c r="F176" s="90">
        <f t="shared" ref="F176:M176" si="161">(F144-E144)/ABS(E144)</f>
        <v>0.14679613333962097</v>
      </c>
      <c r="G176" s="90">
        <f t="shared" si="161"/>
        <v>0.2473844190732378</v>
      </c>
      <c r="H176" s="90">
        <f t="shared" si="161"/>
        <v>9.53340671779008E-2</v>
      </c>
      <c r="I176" s="90">
        <f t="shared" si="161"/>
        <v>0.1943892728004491</v>
      </c>
      <c r="J176" s="90">
        <f t="shared" si="161"/>
        <v>0.20987922707582279</v>
      </c>
      <c r="K176" s="90">
        <f t="shared" si="161"/>
        <v>1.1123741435852021</v>
      </c>
      <c r="L176" s="166">
        <f t="shared" si="161"/>
        <v>2.6633921566081815E-2</v>
      </c>
      <c r="M176" s="166">
        <f t="shared" si="161"/>
        <v>1.7869244481077892E-2</v>
      </c>
      <c r="N176" s="165"/>
      <c r="V176" s="32"/>
      <c r="W176" s="32"/>
      <c r="X176" s="32"/>
      <c r="Y176" s="32"/>
      <c r="Z176" s="32"/>
      <c r="AA176" s="32"/>
      <c r="AB176" s="32"/>
      <c r="AC176" s="32"/>
      <c r="AD176" s="32"/>
      <c r="AE176" s="32"/>
      <c r="AF176" s="32"/>
      <c r="AG176" s="32"/>
      <c r="AH176" s="32"/>
      <c r="AI176" s="32"/>
      <c r="AJ176" s="32"/>
      <c r="AK176" s="32"/>
      <c r="AL176" s="32"/>
    </row>
    <row r="177" spans="1:38" outlineLevel="1">
      <c r="A177" s="51" t="s">
        <v>15</v>
      </c>
      <c r="B177" s="50"/>
      <c r="C177" s="50"/>
      <c r="D177" s="50"/>
      <c r="E177" s="50"/>
      <c r="F177" s="50"/>
      <c r="G177" s="50"/>
      <c r="H177" s="50"/>
      <c r="I177" s="50"/>
      <c r="J177" s="48" t="s">
        <v>3</v>
      </c>
      <c r="K177" s="50"/>
      <c r="L177" s="162"/>
      <c r="M177" s="162"/>
      <c r="N177" s="162"/>
      <c r="V177" s="32"/>
      <c r="W177" s="32"/>
      <c r="X177" s="32"/>
      <c r="Y177" s="32"/>
      <c r="Z177" s="32"/>
      <c r="AA177" s="32"/>
      <c r="AB177" s="32"/>
      <c r="AC177" s="32"/>
      <c r="AD177" s="32"/>
      <c r="AE177" s="32"/>
      <c r="AF177" s="32"/>
      <c r="AG177" s="32"/>
      <c r="AH177" s="32"/>
      <c r="AI177" s="32"/>
      <c r="AJ177" s="32"/>
      <c r="AK177" s="32"/>
      <c r="AL177" s="32"/>
    </row>
    <row r="178" spans="1:38" outlineLevel="1">
      <c r="A178" s="84" t="s">
        <v>16</v>
      </c>
      <c r="B178" s="49"/>
      <c r="C178" s="90"/>
      <c r="D178" s="90">
        <f t="shared" ref="D178:E193" si="162">(D146-C146)/ABS(C146)</f>
        <v>4.8355899419729204E-2</v>
      </c>
      <c r="E178" s="90">
        <f t="shared" si="162"/>
        <v>0.57056946245138129</v>
      </c>
      <c r="F178" s="90">
        <f>(F146-E146)/ABS(E146)</f>
        <v>-1.3080943097897523E-3</v>
      </c>
      <c r="G178" s="90">
        <f>(G146-F146)/ABS(F146)</f>
        <v>0.16738833253854712</v>
      </c>
      <c r="H178" s="90">
        <f t="shared" ref="H178:M178" si="163">(H146-G146)/ABS(G146)</f>
        <v>-0.20951410940027559</v>
      </c>
      <c r="I178" s="90">
        <f t="shared" si="163"/>
        <v>0.50955668554577149</v>
      </c>
      <c r="J178" s="90">
        <f t="shared" si="163"/>
        <v>0.23944716278390418</v>
      </c>
      <c r="K178" s="90">
        <f t="shared" si="163"/>
        <v>5.7661997142310017E-2</v>
      </c>
      <c r="L178" s="166">
        <f t="shared" si="163"/>
        <v>4.4546423124865078E-2</v>
      </c>
      <c r="M178" s="166">
        <f t="shared" si="163"/>
        <v>3.3333333333333333E-2</v>
      </c>
      <c r="N178" s="165"/>
      <c r="V178" s="32"/>
      <c r="W178" s="32"/>
      <c r="X178" s="32"/>
      <c r="Y178" s="32"/>
      <c r="Z178" s="32"/>
      <c r="AA178" s="32"/>
      <c r="AB178" s="32"/>
      <c r="AC178" s="32"/>
      <c r="AD178" s="32"/>
      <c r="AE178" s="32"/>
      <c r="AF178" s="32"/>
      <c r="AG178" s="32"/>
      <c r="AH178" s="32"/>
      <c r="AI178" s="32"/>
      <c r="AJ178" s="32"/>
      <c r="AK178" s="32"/>
      <c r="AL178" s="32"/>
    </row>
    <row r="179" spans="1:38" outlineLevel="1">
      <c r="A179" s="84" t="s">
        <v>17</v>
      </c>
      <c r="B179" s="49"/>
      <c r="C179" s="90"/>
      <c r="D179" s="90">
        <f t="shared" si="162"/>
        <v>0.22188408627348868</v>
      </c>
      <c r="E179" s="90">
        <f t="shared" si="162"/>
        <v>0.17060826559288247</v>
      </c>
      <c r="F179" s="90">
        <f t="shared" ref="F179:M179" si="164">(F147-E147)/ABS(E147)</f>
        <v>0.16911664315296046</v>
      </c>
      <c r="G179" s="90">
        <f t="shared" si="164"/>
        <v>0.26899321369717261</v>
      </c>
      <c r="H179" s="90">
        <f t="shared" si="164"/>
        <v>0.36207725146348324</v>
      </c>
      <c r="I179" s="90">
        <f t="shared" si="164"/>
        <v>-3.0795880870294709E-2</v>
      </c>
      <c r="J179" s="90">
        <f t="shared" si="164"/>
        <v>0.25330059524962145</v>
      </c>
      <c r="K179" s="90">
        <f t="shared" si="164"/>
        <v>0.46874845495896372</v>
      </c>
      <c r="L179" s="166">
        <f t="shared" si="164"/>
        <v>0.20973553077409399</v>
      </c>
      <c r="M179" s="166">
        <f t="shared" si="164"/>
        <v>8.6956521739130432E-2</v>
      </c>
      <c r="N179" s="165"/>
      <c r="V179" s="32"/>
      <c r="W179" s="32"/>
      <c r="X179" s="32"/>
      <c r="Y179" s="32"/>
      <c r="Z179" s="32"/>
      <c r="AA179" s="32"/>
      <c r="AB179" s="32"/>
      <c r="AC179" s="32"/>
      <c r="AD179" s="32"/>
      <c r="AE179" s="32"/>
      <c r="AF179" s="32"/>
      <c r="AG179" s="32"/>
      <c r="AH179" s="32"/>
      <c r="AI179" s="32"/>
      <c r="AJ179" s="32"/>
      <c r="AK179" s="32"/>
      <c r="AL179" s="32"/>
    </row>
    <row r="180" spans="1:38" outlineLevel="1">
      <c r="A180" s="84" t="s">
        <v>18</v>
      </c>
      <c r="B180" s="49"/>
      <c r="C180" s="90"/>
      <c r="D180" s="90" t="e">
        <f t="shared" si="162"/>
        <v>#DIV/0!</v>
      </c>
      <c r="E180" s="90" t="e">
        <f t="shared" si="162"/>
        <v>#DIV/0!</v>
      </c>
      <c r="F180" s="90">
        <f t="shared" ref="F180:M180" si="165">(F148-E148)/ABS(E148)</f>
        <v>-0.55988962472406179</v>
      </c>
      <c r="G180" s="90">
        <f t="shared" si="165"/>
        <v>0.49410643527110398</v>
      </c>
      <c r="H180" s="90">
        <f t="shared" si="165"/>
        <v>2.2962266684570968E-2</v>
      </c>
      <c r="I180" s="90">
        <f t="shared" si="165"/>
        <v>0.1456747177736939</v>
      </c>
      <c r="J180" s="90">
        <f t="shared" si="165"/>
        <v>8.6734840021769649E-2</v>
      </c>
      <c r="K180" s="90">
        <f t="shared" si="165"/>
        <v>0.53019320488152033</v>
      </c>
      <c r="L180" s="166">
        <f t="shared" si="165"/>
        <v>3.3520515382230338E-2</v>
      </c>
      <c r="M180" s="166">
        <f t="shared" si="165"/>
        <v>0.15</v>
      </c>
      <c r="N180" s="165"/>
      <c r="V180" s="32"/>
      <c r="W180" s="32"/>
      <c r="X180" s="32"/>
      <c r="Y180" s="32"/>
      <c r="Z180" s="32"/>
      <c r="AA180" s="32"/>
      <c r="AB180" s="32"/>
      <c r="AC180" s="32"/>
      <c r="AD180" s="32"/>
      <c r="AE180" s="32"/>
      <c r="AF180" s="32"/>
      <c r="AG180" s="32"/>
      <c r="AH180" s="32"/>
      <c r="AI180" s="32"/>
      <c r="AJ180" s="32"/>
      <c r="AK180" s="32"/>
      <c r="AL180" s="32"/>
    </row>
    <row r="181" spans="1:38" outlineLevel="1">
      <c r="A181" s="85" t="s">
        <v>19</v>
      </c>
      <c r="B181" s="49"/>
      <c r="C181" s="90"/>
      <c r="D181" s="90">
        <f t="shared" si="162"/>
        <v>0.16260638810810424</v>
      </c>
      <c r="E181" s="90">
        <f t="shared" si="162"/>
        <v>0.43297277868744183</v>
      </c>
      <c r="F181" s="90">
        <f t="shared" ref="F181:M181" si="166">(F149-E149)/ABS(E149)</f>
        <v>4.0781894151014991E-2</v>
      </c>
      <c r="G181" s="90">
        <f t="shared" si="166"/>
        <v>0.24532215539260113</v>
      </c>
      <c r="H181" s="90">
        <f t="shared" si="166"/>
        <v>0.17178565580345992</v>
      </c>
      <c r="I181" s="90">
        <f t="shared" si="166"/>
        <v>8.7494018522465647E-2</v>
      </c>
      <c r="J181" s="90">
        <f t="shared" si="166"/>
        <v>0.24181324237008078</v>
      </c>
      <c r="K181" s="90">
        <f t="shared" si="166"/>
        <v>0.35450534587480753</v>
      </c>
      <c r="L181" s="166">
        <f t="shared" si="166"/>
        <v>0.16523044940083234</v>
      </c>
      <c r="M181" s="166">
        <f t="shared" si="166"/>
        <v>7.8807947019867555E-2</v>
      </c>
      <c r="N181" s="165"/>
      <c r="V181" s="32"/>
      <c r="W181" s="32"/>
      <c r="X181" s="32"/>
      <c r="Y181" s="32"/>
      <c r="Z181" s="32"/>
      <c r="AA181" s="32"/>
      <c r="AB181" s="32"/>
      <c r="AC181" s="32"/>
      <c r="AD181" s="32"/>
      <c r="AE181" s="32"/>
      <c r="AF181" s="32"/>
      <c r="AG181" s="32"/>
      <c r="AH181" s="32"/>
      <c r="AI181" s="32"/>
      <c r="AJ181" s="32"/>
      <c r="AK181" s="32"/>
      <c r="AL181" s="32"/>
    </row>
    <row r="182" spans="1:38" outlineLevel="1">
      <c r="A182" s="84" t="s">
        <v>20</v>
      </c>
      <c r="B182" s="49"/>
      <c r="C182" s="90"/>
      <c r="D182" s="90">
        <f t="shared" si="162"/>
        <v>1.321040701959312E-4</v>
      </c>
      <c r="E182" s="90">
        <f t="shared" si="162"/>
        <v>0.20074733219785185</v>
      </c>
      <c r="F182" s="90">
        <f t="shared" ref="F182:M182" si="167">(F150-E150)/ABS(E150)</f>
        <v>0.85688811178689395</v>
      </c>
      <c r="G182" s="90">
        <f t="shared" si="167"/>
        <v>2.0258820264744352E-3</v>
      </c>
      <c r="H182" s="90">
        <f t="shared" si="167"/>
        <v>0.30942662643320057</v>
      </c>
      <c r="I182" s="90">
        <f t="shared" si="167"/>
        <v>1.7590823542831071E-3</v>
      </c>
      <c r="J182" s="90">
        <f t="shared" si="167"/>
        <v>1.7559934172485879E-3</v>
      </c>
      <c r="K182" s="90">
        <f t="shared" si="167"/>
        <v>1.5779955552556084</v>
      </c>
      <c r="L182" s="166">
        <f t="shared" si="167"/>
        <v>-1.2564315360319874E-2</v>
      </c>
      <c r="M182" s="166">
        <f t="shared" si="167"/>
        <v>-2.0930232558139535E-2</v>
      </c>
      <c r="N182" s="165"/>
      <c r="V182" s="32"/>
      <c r="W182" s="32"/>
      <c r="X182" s="32"/>
      <c r="Y182" s="32"/>
      <c r="Z182" s="32"/>
      <c r="AA182" s="32"/>
      <c r="AB182" s="32"/>
      <c r="AC182" s="32"/>
      <c r="AD182" s="32"/>
      <c r="AE182" s="32"/>
      <c r="AF182" s="32"/>
      <c r="AG182" s="32"/>
      <c r="AH182" s="32"/>
      <c r="AI182" s="32"/>
      <c r="AJ182" s="32"/>
      <c r="AK182" s="32"/>
      <c r="AL182" s="32"/>
    </row>
    <row r="183" spans="1:38" outlineLevel="1">
      <c r="A183" s="84" t="s">
        <v>21</v>
      </c>
      <c r="B183" s="49"/>
      <c r="C183" s="90"/>
      <c r="D183" s="90">
        <f t="shared" si="162"/>
        <v>-0.26233037296339512</v>
      </c>
      <c r="E183" s="90">
        <f t="shared" si="162"/>
        <v>5.2785945229455553E-2</v>
      </c>
      <c r="F183" s="90">
        <f t="shared" ref="F183:M183" si="168">(F151-E151)/ABS(E151)</f>
        <v>-0.61739919796604747</v>
      </c>
      <c r="G183" s="90">
        <f t="shared" si="168"/>
        <v>3.8740148175082951</v>
      </c>
      <c r="H183" s="90">
        <f t="shared" si="168"/>
        <v>-0.77727047220450385</v>
      </c>
      <c r="I183" s="90">
        <f t="shared" si="168"/>
        <v>5.4058867861329762</v>
      </c>
      <c r="J183" s="90">
        <f t="shared" si="168"/>
        <v>-4.2714228010525615E-2</v>
      </c>
      <c r="K183" s="90">
        <f t="shared" si="168"/>
        <v>2.7886988522698566</v>
      </c>
      <c r="L183" s="166">
        <f t="shared" si="168"/>
        <v>-4.6854934599521864E-2</v>
      </c>
      <c r="M183" s="166">
        <f t="shared" si="168"/>
        <v>3.7814031350100828E-2</v>
      </c>
      <c r="N183" s="165"/>
      <c r="V183" s="32"/>
      <c r="W183" s="32"/>
      <c r="X183" s="32"/>
      <c r="Y183" s="32"/>
      <c r="Z183" s="32"/>
      <c r="AA183" s="32"/>
      <c r="AB183" s="32"/>
      <c r="AC183" s="32"/>
      <c r="AD183" s="32"/>
      <c r="AE183" s="32"/>
      <c r="AF183" s="32"/>
      <c r="AG183" s="32"/>
      <c r="AH183" s="32"/>
      <c r="AI183" s="32"/>
      <c r="AJ183" s="32"/>
      <c r="AK183" s="32"/>
      <c r="AL183" s="32"/>
    </row>
    <row r="184" spans="1:38" outlineLevel="1">
      <c r="A184" s="84" t="s">
        <v>22</v>
      </c>
      <c r="B184" s="49"/>
      <c r="C184" s="90"/>
      <c r="D184" s="90" t="e">
        <f t="shared" si="162"/>
        <v>#DIV/0!</v>
      </c>
      <c r="E184" s="90" t="e">
        <f t="shared" si="162"/>
        <v>#DIV/0!</v>
      </c>
      <c r="F184" s="90" t="e">
        <f t="shared" ref="F184:M184" si="169">(F152-E152)/ABS(E152)</f>
        <v>#DIV/0!</v>
      </c>
      <c r="G184" s="90" t="e">
        <f t="shared" si="169"/>
        <v>#DIV/0!</v>
      </c>
      <c r="H184" s="90">
        <f t="shared" si="169"/>
        <v>9.4964229628337116E-2</v>
      </c>
      <c r="I184" s="90">
        <f t="shared" si="169"/>
        <v>4.4307468718327907E-2</v>
      </c>
      <c r="J184" s="90">
        <f t="shared" si="169"/>
        <v>-0.16681112359001904</v>
      </c>
      <c r="K184" s="90">
        <f t="shared" si="169"/>
        <v>0.39060679985055274</v>
      </c>
      <c r="L184" s="166">
        <f t="shared" si="169"/>
        <v>5.3621287311270562E-2</v>
      </c>
      <c r="M184" s="166">
        <f t="shared" si="169"/>
        <v>2.0507448731378171E-2</v>
      </c>
      <c r="N184" s="165"/>
      <c r="V184" s="32"/>
      <c r="W184" s="32"/>
      <c r="X184" s="32"/>
      <c r="Y184" s="32"/>
      <c r="Z184" s="32"/>
      <c r="AA184" s="32"/>
      <c r="AB184" s="32"/>
      <c r="AC184" s="32"/>
      <c r="AD184" s="32"/>
      <c r="AE184" s="32"/>
      <c r="AF184" s="32"/>
      <c r="AG184" s="32"/>
      <c r="AH184" s="32"/>
      <c r="AI184" s="32"/>
      <c r="AJ184" s="32"/>
      <c r="AK184" s="32"/>
      <c r="AL184" s="32"/>
    </row>
    <row r="185" spans="1:38" outlineLevel="1">
      <c r="A185" s="84" t="s">
        <v>23</v>
      </c>
      <c r="B185" s="49"/>
      <c r="C185" s="90"/>
      <c r="D185" s="90">
        <f t="shared" si="162"/>
        <v>0.14318589280458111</v>
      </c>
      <c r="E185" s="90">
        <f t="shared" si="162"/>
        <v>1.8378821216235195</v>
      </c>
      <c r="F185" s="90">
        <f t="shared" ref="F185:M185" si="170">(F153-E153)/ABS(E153)</f>
        <v>-3.4147146156384032E-3</v>
      </c>
      <c r="G185" s="90">
        <f t="shared" si="170"/>
        <v>8.9384735073576879E-4</v>
      </c>
      <c r="H185" s="90">
        <f t="shared" si="170"/>
        <v>0.13574346337671789</v>
      </c>
      <c r="I185" s="90">
        <f t="shared" si="170"/>
        <v>0.14634874408445578</v>
      </c>
      <c r="J185" s="90">
        <f t="shared" si="170"/>
        <v>0.38800007621418725</v>
      </c>
      <c r="K185" s="90">
        <f t="shared" si="170"/>
        <v>10.220268872802482</v>
      </c>
      <c r="L185" s="166">
        <f t="shared" si="170"/>
        <v>2.0390685534847682E-2</v>
      </c>
      <c r="M185" s="166">
        <f t="shared" si="170"/>
        <v>1.1590264178090405E-2</v>
      </c>
      <c r="N185" s="165"/>
      <c r="V185" s="32"/>
      <c r="W185" s="32"/>
      <c r="X185" s="32"/>
      <c r="Y185" s="32"/>
      <c r="Z185" s="32"/>
      <c r="AA185" s="32"/>
      <c r="AB185" s="32"/>
      <c r="AC185" s="32"/>
      <c r="AD185" s="32"/>
      <c r="AE185" s="32"/>
      <c r="AF185" s="32"/>
      <c r="AG185" s="32"/>
      <c r="AH185" s="32"/>
      <c r="AI185" s="32"/>
      <c r="AJ185" s="32"/>
      <c r="AK185" s="32"/>
      <c r="AL185" s="32"/>
    </row>
    <row r="186" spans="1:38" outlineLevel="1">
      <c r="A186" s="85" t="s">
        <v>24</v>
      </c>
      <c r="B186" s="49"/>
      <c r="C186" s="90"/>
      <c r="D186" s="90">
        <f t="shared" si="162"/>
        <v>-3.6555894109374702E-2</v>
      </c>
      <c r="E186" s="90">
        <f t="shared" si="162"/>
        <v>0.2871485844753362</v>
      </c>
      <c r="F186" s="90">
        <f t="shared" ref="F186:M186" si="171">(F154-E154)/ABS(E154)</f>
        <v>0.27655095261994428</v>
      </c>
      <c r="G186" s="90">
        <f t="shared" si="171"/>
        <v>0.41742359103025245</v>
      </c>
      <c r="H186" s="90">
        <f t="shared" si="171"/>
        <v>4.5349126909235406E-2</v>
      </c>
      <c r="I186" s="90">
        <f t="shared" si="171"/>
        <v>0.25133708253199527</v>
      </c>
      <c r="J186" s="90">
        <f t="shared" si="171"/>
        <v>4.3978124244621705E-2</v>
      </c>
      <c r="K186" s="90">
        <f t="shared" si="171"/>
        <v>1.9089237390975375</v>
      </c>
      <c r="L186" s="166">
        <f t="shared" si="171"/>
        <v>8.8623292818778947E-3</v>
      </c>
      <c r="M186" s="166">
        <f t="shared" si="171"/>
        <v>1.4634897595429346E-2</v>
      </c>
      <c r="N186" s="165"/>
      <c r="V186" s="32"/>
      <c r="W186" s="32"/>
      <c r="X186" s="32"/>
      <c r="Y186" s="32"/>
      <c r="Z186" s="32"/>
      <c r="AA186" s="32"/>
      <c r="AB186" s="32"/>
      <c r="AC186" s="32"/>
      <c r="AD186" s="32"/>
      <c r="AE186" s="32"/>
      <c r="AF186" s="32"/>
      <c r="AG186" s="32"/>
      <c r="AH186" s="32"/>
      <c r="AI186" s="32"/>
      <c r="AJ186" s="32"/>
      <c r="AK186" s="32"/>
      <c r="AL186" s="32"/>
    </row>
    <row r="187" spans="1:38" outlineLevel="1">
      <c r="A187" s="84" t="s">
        <v>27</v>
      </c>
      <c r="B187" s="49"/>
      <c r="C187" s="90"/>
      <c r="D187" s="90">
        <f t="shared" si="162"/>
        <v>6.6676159747715583E-2</v>
      </c>
      <c r="E187" s="90">
        <f t="shared" si="162"/>
        <v>7.8914585822802946E-2</v>
      </c>
      <c r="F187" s="90">
        <f t="shared" ref="F187:M187" si="172">(F155-E155)/ABS(E155)</f>
        <v>0</v>
      </c>
      <c r="G187" s="90">
        <f t="shared" si="172"/>
        <v>7.9451648007416623E-2</v>
      </c>
      <c r="H187" s="90">
        <f t="shared" si="172"/>
        <v>0.17005674168109253</v>
      </c>
      <c r="I187" s="90">
        <f t="shared" si="172"/>
        <v>0.15739070388680085</v>
      </c>
      <c r="J187" s="90">
        <f t="shared" si="172"/>
        <v>4.9022068993992446E-2</v>
      </c>
      <c r="K187" s="90">
        <f t="shared" si="172"/>
        <v>0.88817753049480075</v>
      </c>
      <c r="L187" s="166">
        <f t="shared" si="172"/>
        <v>3.4061993394969993E-2</v>
      </c>
      <c r="M187" s="166">
        <f t="shared" si="172"/>
        <v>2.8899800973943571E-2</v>
      </c>
      <c r="N187" s="165"/>
      <c r="V187" s="32"/>
      <c r="W187" s="32"/>
      <c r="X187" s="32"/>
      <c r="Y187" s="32"/>
      <c r="Z187" s="32"/>
      <c r="AA187" s="32"/>
      <c r="AB187" s="32"/>
      <c r="AC187" s="32"/>
      <c r="AD187" s="32"/>
      <c r="AE187" s="32"/>
      <c r="AF187" s="32"/>
      <c r="AG187" s="32"/>
      <c r="AH187" s="32"/>
      <c r="AI187" s="32"/>
      <c r="AJ187" s="32"/>
      <c r="AK187" s="32"/>
      <c r="AL187" s="32"/>
    </row>
    <row r="188" spans="1:38" outlineLevel="1">
      <c r="A188" s="84" t="s">
        <v>28</v>
      </c>
      <c r="B188" s="49"/>
      <c r="C188" s="90"/>
      <c r="D188" s="90">
        <f t="shared" si="162"/>
        <v>-3.8696209042225968E-2</v>
      </c>
      <c r="E188" s="90">
        <f t="shared" si="162"/>
        <v>-0.14119107567491956</v>
      </c>
      <c r="F188" s="90">
        <f t="shared" ref="F188:M188" si="173">(F156-E156)/ABS(E156)</f>
        <v>0</v>
      </c>
      <c r="G188" s="90">
        <f t="shared" si="173"/>
        <v>-8.6324490502270087E-4</v>
      </c>
      <c r="H188" s="90">
        <f t="shared" si="173"/>
        <v>1.504240482856712E-2</v>
      </c>
      <c r="I188" s="90">
        <f t="shared" si="173"/>
        <v>-6.2369511450872064E-2</v>
      </c>
      <c r="J188" s="90">
        <f t="shared" si="173"/>
        <v>4.6452532865156515</v>
      </c>
      <c r="K188" s="90">
        <f t="shared" si="173"/>
        <v>-0.81079785426477013</v>
      </c>
      <c r="L188" s="166">
        <f t="shared" si="173"/>
        <v>0.67981654318611884</v>
      </c>
      <c r="M188" s="166">
        <f t="shared" si="173"/>
        <v>-2.386634844868735E-2</v>
      </c>
      <c r="N188" s="165"/>
      <c r="V188" s="32"/>
      <c r="W188" s="32"/>
      <c r="X188" s="32"/>
      <c r="Y188" s="32"/>
      <c r="Z188" s="32"/>
      <c r="AA188" s="32"/>
      <c r="AB188" s="32"/>
      <c r="AC188" s="32"/>
      <c r="AD188" s="32"/>
      <c r="AE188" s="32"/>
      <c r="AF188" s="32"/>
      <c r="AG188" s="32"/>
      <c r="AH188" s="32"/>
      <c r="AI188" s="32"/>
      <c r="AJ188" s="32"/>
      <c r="AK188" s="32"/>
      <c r="AL188" s="32"/>
    </row>
    <row r="189" spans="1:38" outlineLevel="1">
      <c r="A189" s="84" t="s">
        <v>56</v>
      </c>
      <c r="B189" s="49"/>
      <c r="C189" s="90"/>
      <c r="D189" s="90">
        <f t="shared" si="162"/>
        <v>7.2160543130990416</v>
      </c>
      <c r="E189" s="90">
        <f t="shared" si="162"/>
        <v>-0.65705107613234826</v>
      </c>
      <c r="F189" s="90">
        <f t="shared" ref="F189:M189" si="174">(F157-E157)/ABS(E157)</f>
        <v>0</v>
      </c>
      <c r="G189" s="90">
        <f t="shared" si="174"/>
        <v>-2.1330086174597227</v>
      </c>
      <c r="H189" s="90">
        <f t="shared" si="174"/>
        <v>2.6208664021164023</v>
      </c>
      <c r="I189" s="90">
        <f t="shared" si="174"/>
        <v>-3.2055493216362336</v>
      </c>
      <c r="J189" s="90">
        <f t="shared" si="174"/>
        <v>-0.60552240876925212</v>
      </c>
      <c r="K189" s="90">
        <f t="shared" si="174"/>
        <v>0.38731887189237463</v>
      </c>
      <c r="L189" s="166">
        <f t="shared" si="174"/>
        <v>5.9620086514952042E-2</v>
      </c>
      <c r="M189" s="166">
        <f t="shared" si="174"/>
        <v>0</v>
      </c>
      <c r="N189" s="165"/>
      <c r="V189" s="32"/>
      <c r="W189" s="32"/>
      <c r="X189" s="32"/>
      <c r="Y189" s="32"/>
      <c r="Z189" s="32"/>
      <c r="AA189" s="32"/>
      <c r="AB189" s="32"/>
      <c r="AC189" s="32"/>
      <c r="AD189" s="32"/>
      <c r="AE189" s="32"/>
      <c r="AF189" s="32"/>
      <c r="AG189" s="32"/>
      <c r="AH189" s="32"/>
      <c r="AI189" s="32"/>
      <c r="AJ189" s="32"/>
      <c r="AK189" s="32"/>
      <c r="AL189" s="32"/>
    </row>
    <row r="190" spans="1:38" outlineLevel="1">
      <c r="A190" s="84" t="s">
        <v>29</v>
      </c>
      <c r="B190" s="49"/>
      <c r="C190" s="90"/>
      <c r="D190" s="90">
        <f t="shared" si="162"/>
        <v>5.911849179473521E-2</v>
      </c>
      <c r="E190" s="90">
        <f t="shared" si="162"/>
        <v>3.8418956153118446E-2</v>
      </c>
      <c r="F190" s="90">
        <f t="shared" ref="F190:M190" si="175">(F158-E158)/ABS(E158)</f>
        <v>0</v>
      </c>
      <c r="G190" s="90">
        <f t="shared" si="175"/>
        <v>6.2921832443278675E-2</v>
      </c>
      <c r="H190" s="90">
        <f t="shared" si="175"/>
        <v>0.15962327404209614</v>
      </c>
      <c r="I190" s="90">
        <f t="shared" si="175"/>
        <v>0.1200938647288142</v>
      </c>
      <c r="J190" s="90">
        <f t="shared" si="175"/>
        <v>0.45197591677025328</v>
      </c>
      <c r="K190" s="90">
        <f t="shared" si="175"/>
        <v>0.31407495731256097</v>
      </c>
      <c r="L190" s="166">
        <f t="shared" si="175"/>
        <v>6.6507144662247802E-2</v>
      </c>
      <c r="M190" s="166">
        <f t="shared" si="175"/>
        <v>2.4882562447559611E-2</v>
      </c>
      <c r="N190" s="165"/>
      <c r="V190" s="32"/>
      <c r="W190" s="32"/>
      <c r="X190" s="32"/>
      <c r="Y190" s="32"/>
      <c r="Z190" s="32"/>
      <c r="AA190" s="32"/>
      <c r="AB190" s="32"/>
      <c r="AC190" s="32"/>
      <c r="AD190" s="32"/>
      <c r="AE190" s="32"/>
      <c r="AF190" s="32"/>
      <c r="AG190" s="32"/>
      <c r="AH190" s="32"/>
      <c r="AI190" s="32"/>
      <c r="AJ190" s="32"/>
      <c r="AK190" s="32"/>
      <c r="AL190" s="32"/>
    </row>
    <row r="191" spans="1:38" outlineLevel="1">
      <c r="A191" s="84" t="s">
        <v>30</v>
      </c>
      <c r="B191" s="49"/>
      <c r="C191" s="90"/>
      <c r="D191" s="90">
        <f t="shared" si="162"/>
        <v>2.2722607908240264</v>
      </c>
      <c r="E191" s="90">
        <f t="shared" si="162"/>
        <v>-0.23162069919749101</v>
      </c>
      <c r="F191" s="90">
        <f t="shared" ref="F191:M191" si="176">(F159-E159)/ABS(E159)</f>
        <v>0</v>
      </c>
      <c r="G191" s="90">
        <f t="shared" si="176"/>
        <v>1.6836734693877551</v>
      </c>
      <c r="H191" s="90">
        <f t="shared" si="176"/>
        <v>0.59986580183404159</v>
      </c>
      <c r="I191" s="90">
        <f t="shared" si="176"/>
        <v>0.36244932196281282</v>
      </c>
      <c r="J191" s="90">
        <f t="shared" si="176"/>
        <v>-0.25588983746511246</v>
      </c>
      <c r="K191" s="90">
        <f t="shared" si="176"/>
        <v>0.29827077415262415</v>
      </c>
      <c r="L191" s="166">
        <f t="shared" si="176"/>
        <v>1.9671156052173174E-2</v>
      </c>
      <c r="M191" s="166">
        <f t="shared" si="176"/>
        <v>0</v>
      </c>
      <c r="N191" s="165"/>
      <c r="V191" s="32"/>
      <c r="W191" s="32"/>
      <c r="X191" s="32"/>
      <c r="Y191" s="32"/>
      <c r="Z191" s="32"/>
      <c r="AA191" s="32"/>
      <c r="AB191" s="32"/>
      <c r="AC191" s="32"/>
      <c r="AD191" s="32"/>
      <c r="AE191" s="32"/>
      <c r="AF191" s="32"/>
      <c r="AG191" s="32"/>
      <c r="AH191" s="32"/>
      <c r="AI191" s="32"/>
      <c r="AJ191" s="32"/>
      <c r="AK191" s="32"/>
      <c r="AL191" s="32"/>
    </row>
    <row r="192" spans="1:38" outlineLevel="1">
      <c r="A192" s="85" t="s">
        <v>31</v>
      </c>
      <c r="B192" s="49"/>
      <c r="C192" s="90"/>
      <c r="D192" s="90">
        <f t="shared" si="162"/>
        <v>6.3337382209075047E-2</v>
      </c>
      <c r="E192" s="90">
        <f t="shared" si="162"/>
        <v>3.683481718413404E-2</v>
      </c>
      <c r="F192" s="90">
        <f t="shared" ref="F192:M192" si="177">(F160-E160)/ABS(E160)</f>
        <v>0</v>
      </c>
      <c r="G192" s="90">
        <f t="shared" si="177"/>
        <v>6.996792406154656E-2</v>
      </c>
      <c r="H192" s="90">
        <f t="shared" si="177"/>
        <v>0.16442373259998574</v>
      </c>
      <c r="I192" s="90">
        <f t="shared" si="177"/>
        <v>0.12372477938903351</v>
      </c>
      <c r="J192" s="90">
        <f t="shared" si="177"/>
        <v>0.43911788366036753</v>
      </c>
      <c r="K192" s="90">
        <f t="shared" si="177"/>
        <v>0.31392652223027229</v>
      </c>
      <c r="L192" s="166">
        <f t="shared" si="177"/>
        <v>6.6072495950717833E-2</v>
      </c>
      <c r="M192" s="166">
        <f t="shared" si="177"/>
        <v>2.4661697293300963E-2</v>
      </c>
      <c r="N192" s="165"/>
      <c r="V192" s="32"/>
      <c r="W192" s="32"/>
      <c r="X192" s="32"/>
      <c r="Y192" s="32"/>
      <c r="Z192" s="32"/>
      <c r="AA192" s="32"/>
      <c r="AB192" s="32"/>
      <c r="AC192" s="32"/>
      <c r="AD192" s="32"/>
      <c r="AE192" s="32"/>
      <c r="AF192" s="32"/>
      <c r="AG192" s="32"/>
      <c r="AH192" s="32"/>
      <c r="AI192" s="32"/>
      <c r="AJ192" s="32"/>
      <c r="AK192" s="32"/>
      <c r="AL192" s="32"/>
    </row>
    <row r="193" spans="1:38" outlineLevel="1">
      <c r="A193" s="86" t="s">
        <v>32</v>
      </c>
      <c r="B193" s="49"/>
      <c r="C193" s="90"/>
      <c r="D193" s="90">
        <f t="shared" si="162"/>
        <v>0.15550252432349923</v>
      </c>
      <c r="E193" s="90">
        <f t="shared" si="162"/>
        <v>0.14679613333962097</v>
      </c>
      <c r="F193" s="90">
        <f t="shared" ref="F193:M193" si="178">(F161-E161)/ABS(E161)</f>
        <v>0</v>
      </c>
      <c r="G193" s="90">
        <f t="shared" si="178"/>
        <v>0.2473844190732378</v>
      </c>
      <c r="H193" s="90">
        <f t="shared" si="178"/>
        <v>9.53340671779008E-2</v>
      </c>
      <c r="I193" s="90">
        <f t="shared" si="178"/>
        <v>0.1943892728004491</v>
      </c>
      <c r="J193" s="90">
        <f t="shared" si="178"/>
        <v>0.20987922707582279</v>
      </c>
      <c r="K193" s="90">
        <f t="shared" si="178"/>
        <v>1.1123741435852021</v>
      </c>
      <c r="L193" s="166">
        <f t="shared" si="178"/>
        <v>2.6633921566081815E-2</v>
      </c>
      <c r="M193" s="166">
        <f t="shared" si="178"/>
        <v>1.7869244481077892E-2</v>
      </c>
      <c r="N193" s="165"/>
      <c r="V193" s="32"/>
      <c r="W193" s="32"/>
      <c r="X193" s="32"/>
      <c r="Y193" s="32"/>
      <c r="Z193" s="32"/>
      <c r="AA193" s="32"/>
      <c r="AB193" s="32"/>
      <c r="AC193" s="32"/>
      <c r="AD193" s="32"/>
      <c r="AE193" s="32"/>
      <c r="AF193" s="32"/>
      <c r="AG193" s="32"/>
      <c r="AH193" s="32"/>
      <c r="AI193" s="32"/>
      <c r="AJ193" s="32"/>
      <c r="AK193" s="32"/>
      <c r="AL193" s="32"/>
    </row>
    <row r="194" spans="1:38">
      <c r="A194" s="50"/>
      <c r="B194" s="50"/>
      <c r="C194" s="50"/>
      <c r="D194" s="50"/>
      <c r="E194" s="50"/>
      <c r="F194" s="53"/>
      <c r="G194" s="53"/>
      <c r="H194" s="53"/>
      <c r="I194" s="53"/>
      <c r="J194" s="53"/>
      <c r="K194" s="50"/>
      <c r="L194" s="162"/>
      <c r="M194" s="162"/>
      <c r="N194" s="162"/>
    </row>
    <row r="195" spans="1:38">
      <c r="A195" s="54" t="s">
        <v>151</v>
      </c>
      <c r="B195" s="50"/>
      <c r="C195" s="53">
        <f t="shared" ref="C195:I195" si="179">C138-C133-C149</f>
        <v>199479</v>
      </c>
      <c r="D195" s="53">
        <f t="shared" si="179"/>
        <v>159241</v>
      </c>
      <c r="E195" s="53">
        <f t="shared" si="179"/>
        <v>74650</v>
      </c>
      <c r="F195" s="53">
        <f t="shared" si="179"/>
        <v>139991</v>
      </c>
      <c r="G195" s="53">
        <f t="shared" si="179"/>
        <v>136816</v>
      </c>
      <c r="H195" s="53">
        <f t="shared" si="179"/>
        <v>-13153</v>
      </c>
      <c r="I195" s="53">
        <f t="shared" si="179"/>
        <v>78592</v>
      </c>
      <c r="J195" s="53">
        <f>J138-J133-J149</f>
        <v>-61061</v>
      </c>
      <c r="K195" s="53">
        <f>K138-K133-K149</f>
        <v>281990</v>
      </c>
      <c r="L195" s="167">
        <f>L138-L133-L149</f>
        <v>134210</v>
      </c>
      <c r="M195" s="167">
        <f>M138-M133-M149</f>
        <v>118211</v>
      </c>
      <c r="N195" s="167"/>
    </row>
    <row r="196" spans="1:38">
      <c r="A196" s="54" t="s">
        <v>152</v>
      </c>
      <c r="B196" s="50"/>
      <c r="C196" s="50"/>
      <c r="D196" s="53">
        <f t="shared" ref="D196:J196" si="180">C195-D195</f>
        <v>40238</v>
      </c>
      <c r="E196" s="53">
        <f t="shared" si="180"/>
        <v>84591</v>
      </c>
      <c r="F196" s="53">
        <f t="shared" si="180"/>
        <v>-65341</v>
      </c>
      <c r="G196" s="53">
        <f t="shared" si="180"/>
        <v>3175</v>
      </c>
      <c r="H196" s="53">
        <f t="shared" si="180"/>
        <v>149969</v>
      </c>
      <c r="I196" s="53">
        <f t="shared" si="180"/>
        <v>-91745</v>
      </c>
      <c r="J196" s="53">
        <f t="shared" si="180"/>
        <v>139653</v>
      </c>
      <c r="K196" s="53">
        <f>J195-K195</f>
        <v>-343051</v>
      </c>
      <c r="L196" s="167">
        <f>K195-L195</f>
        <v>147780</v>
      </c>
      <c r="M196" s="167">
        <f>L195-M195</f>
        <v>15999</v>
      </c>
      <c r="N196" s="167"/>
    </row>
    <row r="197" spans="1:38">
      <c r="A197" s="55"/>
      <c r="B197" s="50"/>
      <c r="C197" s="50"/>
      <c r="D197" s="50"/>
      <c r="E197" s="50"/>
      <c r="F197" s="50"/>
      <c r="G197" s="50"/>
      <c r="H197" s="50"/>
      <c r="I197" s="50"/>
      <c r="J197" s="50"/>
      <c r="K197" s="50"/>
      <c r="L197" s="162"/>
      <c r="M197" s="162"/>
      <c r="N197" s="162"/>
    </row>
    <row r="198" spans="1:38">
      <c r="A198" s="55"/>
      <c r="B198" s="50"/>
      <c r="C198" s="50"/>
      <c r="D198" s="50"/>
      <c r="E198" s="50"/>
      <c r="F198" s="50"/>
      <c r="G198" s="50"/>
      <c r="H198" s="50"/>
      <c r="I198" s="50"/>
      <c r="J198" s="50"/>
      <c r="K198" s="50"/>
      <c r="L198" s="162"/>
      <c r="M198" s="162"/>
      <c r="N198" s="162"/>
    </row>
    <row r="199" spans="1:38">
      <c r="A199" s="55" t="s">
        <v>183</v>
      </c>
      <c r="B199" s="50"/>
      <c r="C199" s="50"/>
      <c r="D199" s="50"/>
      <c r="E199" s="50"/>
      <c r="F199" s="50"/>
      <c r="G199" s="50"/>
      <c r="H199" s="50"/>
      <c r="I199" s="50"/>
      <c r="J199" s="50"/>
      <c r="K199" s="50"/>
      <c r="L199" s="162"/>
      <c r="M199" s="162"/>
      <c r="N199" s="162"/>
    </row>
    <row r="200" spans="1:38">
      <c r="A200" s="56"/>
      <c r="B200" s="50"/>
      <c r="C200" s="50"/>
      <c r="D200" s="50"/>
      <c r="E200" s="50"/>
      <c r="F200" s="50"/>
      <c r="G200" s="50"/>
      <c r="H200" s="50"/>
      <c r="I200" s="50"/>
      <c r="J200" s="50"/>
      <c r="K200" s="50"/>
      <c r="L200" s="162"/>
      <c r="M200" s="162"/>
      <c r="N200" s="162"/>
    </row>
    <row r="201" spans="1:38">
      <c r="A201" s="57" t="s">
        <v>153</v>
      </c>
      <c r="B201" s="50"/>
      <c r="C201" s="53">
        <f t="shared" ref="C201:M201" si="181">C29</f>
        <v>41088</v>
      </c>
      <c r="D201" s="53">
        <f t="shared" si="181"/>
        <v>36422</v>
      </c>
      <c r="E201" s="53">
        <f t="shared" si="181"/>
        <v>-92212</v>
      </c>
      <c r="F201" s="53">
        <f t="shared" si="181"/>
        <v>-60678</v>
      </c>
      <c r="G201" s="53">
        <f t="shared" si="181"/>
        <v>38483</v>
      </c>
      <c r="H201" s="53">
        <f t="shared" si="181"/>
        <v>58226</v>
      </c>
      <c r="I201" s="53">
        <f t="shared" si="181"/>
        <v>8095</v>
      </c>
      <c r="J201" s="53">
        <f t="shared" si="181"/>
        <v>-156014</v>
      </c>
      <c r="K201" s="53">
        <f t="shared" si="181"/>
        <v>-889764</v>
      </c>
      <c r="L201" s="167">
        <f t="shared" si="181"/>
        <v>-95450</v>
      </c>
      <c r="M201" s="167">
        <f t="shared" si="181"/>
        <v>73835.599999999627</v>
      </c>
      <c r="N201" s="167"/>
      <c r="V201" s="11"/>
    </row>
    <row r="202" spans="1:38">
      <c r="A202" s="56" t="s">
        <v>154</v>
      </c>
      <c r="B202" s="50"/>
      <c r="C202" s="53">
        <f t="shared" ref="C202:E202" si="182">C201*C207</f>
        <v>-9760.9144939086873</v>
      </c>
      <c r="D202" s="53">
        <f t="shared" si="182"/>
        <v>5197.3951157927968</v>
      </c>
      <c r="E202" s="53">
        <f t="shared" si="182"/>
        <v>-30782.785951940848</v>
      </c>
      <c r="F202" s="53">
        <f>F201*F207</f>
        <v>-22513.750730511405</v>
      </c>
      <c r="G202" s="53">
        <f t="shared" ref="G202:L202" si="183">G201*G207</f>
        <v>-204424.79530201343</v>
      </c>
      <c r="H202" s="53">
        <f t="shared" si="183"/>
        <v>21159.847030293702</v>
      </c>
      <c r="I202" s="53">
        <f t="shared" si="183"/>
        <v>6911.8696773419688</v>
      </c>
      <c r="J202" s="53">
        <f t="shared" si="183"/>
        <v>-47529.481928082212</v>
      </c>
      <c r="K202" s="53">
        <f t="shared" si="183"/>
        <v>-103943.82139267478</v>
      </c>
      <c r="L202" s="167">
        <f t="shared" si="183"/>
        <v>-29924.688379881711</v>
      </c>
      <c r="M202" s="167">
        <f>M201*M207</f>
        <v>97086.91078585964</v>
      </c>
      <c r="N202" s="167"/>
      <c r="V202" s="11"/>
    </row>
    <row r="203" spans="1:38">
      <c r="A203" s="56" t="s">
        <v>155</v>
      </c>
      <c r="B203" s="50"/>
      <c r="C203" s="53">
        <f t="shared" ref="C203:E203" si="184">C201-C202</f>
        <v>50848.914493908684</v>
      </c>
      <c r="D203" s="53">
        <f t="shared" si="184"/>
        <v>31224.604884207205</v>
      </c>
      <c r="E203" s="53">
        <f t="shared" si="184"/>
        <v>-61429.214048059148</v>
      </c>
      <c r="F203" s="53">
        <f>F201-F202</f>
        <v>-38164.249269488595</v>
      </c>
      <c r="G203" s="53">
        <f t="shared" ref="G203:L203" si="185">G201-G202</f>
        <v>242907.79530201343</v>
      </c>
      <c r="H203" s="53">
        <f t="shared" si="185"/>
        <v>37066.152969706294</v>
      </c>
      <c r="I203" s="53">
        <f t="shared" si="185"/>
        <v>1183.1303226580312</v>
      </c>
      <c r="J203" s="53">
        <f t="shared" si="185"/>
        <v>-108484.51807191779</v>
      </c>
      <c r="K203" s="53">
        <f t="shared" si="185"/>
        <v>-785820.17860732519</v>
      </c>
      <c r="L203" s="167">
        <f t="shared" si="185"/>
        <v>-65525.311620118286</v>
      </c>
      <c r="M203" s="167">
        <f t="shared" ref="M203" si="186">M201-M202</f>
        <v>-23251.310785860012</v>
      </c>
      <c r="N203" s="167"/>
      <c r="V203" s="11"/>
    </row>
    <row r="204" spans="1:38">
      <c r="A204" s="56"/>
      <c r="B204" s="50"/>
      <c r="C204" s="50"/>
      <c r="D204" s="50"/>
      <c r="E204" s="50"/>
      <c r="F204" s="50"/>
      <c r="G204" s="50"/>
      <c r="H204" s="50"/>
      <c r="I204" s="50"/>
      <c r="J204" s="50"/>
      <c r="K204" s="50"/>
      <c r="L204" s="162"/>
      <c r="M204" s="162"/>
      <c r="N204" s="162"/>
    </row>
    <row r="205" spans="1:38">
      <c r="A205" s="58" t="s">
        <v>156</v>
      </c>
      <c r="B205" s="50"/>
      <c r="C205" s="53">
        <f t="shared" ref="C205:M205" si="187">C34</f>
        <v>-4173</v>
      </c>
      <c r="D205" s="53">
        <f t="shared" si="187"/>
        <v>3617</v>
      </c>
      <c r="E205" s="53">
        <f t="shared" si="187"/>
        <v>35217</v>
      </c>
      <c r="F205" s="53">
        <f t="shared" si="187"/>
        <v>41014</v>
      </c>
      <c r="G205" s="53">
        <f t="shared" si="187"/>
        <v>7915</v>
      </c>
      <c r="H205" s="53">
        <f t="shared" si="187"/>
        <v>-9441</v>
      </c>
      <c r="I205" s="53">
        <f t="shared" si="187"/>
        <v>14237</v>
      </c>
      <c r="J205" s="53">
        <f t="shared" si="187"/>
        <v>-49418</v>
      </c>
      <c r="K205" s="53">
        <f t="shared" si="187"/>
        <v>139474</v>
      </c>
      <c r="L205" s="167">
        <f t="shared" si="187"/>
        <v>122816</v>
      </c>
      <c r="M205" s="167">
        <f t="shared" si="187"/>
        <v>87000</v>
      </c>
      <c r="N205" s="167"/>
      <c r="V205" s="11"/>
    </row>
    <row r="206" spans="1:38">
      <c r="A206" s="58" t="s">
        <v>157</v>
      </c>
      <c r="B206" s="50"/>
      <c r="C206" s="53">
        <f t="shared" ref="C206:M206" si="188">C33</f>
        <v>17566</v>
      </c>
      <c r="D206" s="53">
        <f t="shared" si="188"/>
        <v>25347</v>
      </c>
      <c r="E206" s="53">
        <f t="shared" si="188"/>
        <v>-105495</v>
      </c>
      <c r="F206" s="53">
        <f t="shared" si="188"/>
        <v>-110539</v>
      </c>
      <c r="G206" s="53">
        <f t="shared" si="188"/>
        <v>1490</v>
      </c>
      <c r="H206" s="53">
        <f t="shared" si="188"/>
        <v>25979</v>
      </c>
      <c r="I206" s="53">
        <f t="shared" si="188"/>
        <v>-16674</v>
      </c>
      <c r="J206" s="53">
        <f t="shared" si="188"/>
        <v>-162213</v>
      </c>
      <c r="K206" s="53">
        <f t="shared" si="188"/>
        <v>-1193904</v>
      </c>
      <c r="L206" s="167">
        <f t="shared" si="188"/>
        <v>-391743</v>
      </c>
      <c r="M206" s="167">
        <f t="shared" si="188"/>
        <v>-66164.400000000373</v>
      </c>
      <c r="N206" s="167"/>
      <c r="V206" s="11"/>
    </row>
    <row r="207" spans="1:38">
      <c r="A207" s="59" t="s">
        <v>158</v>
      </c>
      <c r="B207" s="50"/>
      <c r="C207" s="60">
        <f t="shared" ref="C207:M207" si="189">C35</f>
        <v>-0.23756119776841625</v>
      </c>
      <c r="D207" s="60">
        <f t="shared" si="189"/>
        <v>0.14269933325442855</v>
      </c>
      <c r="E207" s="60">
        <f t="shared" si="189"/>
        <v>0.33382624768946395</v>
      </c>
      <c r="F207" s="60">
        <f t="shared" si="189"/>
        <v>0.37103646676738528</v>
      </c>
      <c r="G207" s="60">
        <f t="shared" si="189"/>
        <v>-5.3120805369127515</v>
      </c>
      <c r="H207" s="60">
        <f t="shared" si="189"/>
        <v>0.36340890719427232</v>
      </c>
      <c r="I207" s="60">
        <f t="shared" si="189"/>
        <v>0.85384430850425808</v>
      </c>
      <c r="J207" s="60">
        <f t="shared" si="189"/>
        <v>0.30464882592640541</v>
      </c>
      <c r="K207" s="60">
        <f t="shared" si="189"/>
        <v>0.11682178801645693</v>
      </c>
      <c r="L207" s="168">
        <f t="shared" si="189"/>
        <v>0.31351166453516721</v>
      </c>
      <c r="M207" s="168">
        <f t="shared" si="189"/>
        <v>1.3149065056132831</v>
      </c>
      <c r="N207" s="168"/>
      <c r="V207" s="33"/>
    </row>
    <row r="208" spans="1:38">
      <c r="A208" s="56"/>
      <c r="B208" s="50"/>
      <c r="C208" s="50"/>
      <c r="D208" s="50"/>
      <c r="E208" s="50"/>
      <c r="F208" s="50"/>
      <c r="G208" s="50"/>
      <c r="H208" s="50"/>
      <c r="I208" s="50"/>
      <c r="J208" s="50"/>
      <c r="K208" s="50"/>
      <c r="L208" s="162"/>
      <c r="M208" s="162"/>
      <c r="N208" s="162"/>
    </row>
    <row r="209" spans="1:24">
      <c r="A209" s="91" t="s">
        <v>159</v>
      </c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162"/>
      <c r="M209" s="162"/>
      <c r="N209" s="162"/>
    </row>
    <row r="210" spans="1:24">
      <c r="A210" s="56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162"/>
      <c r="M210" s="162"/>
      <c r="N210" s="162"/>
    </row>
    <row r="211" spans="1:24">
      <c r="A211" s="87" t="s">
        <v>151</v>
      </c>
      <c r="B211" s="50"/>
      <c r="C211" s="53">
        <f t="shared" ref="C211:E211" si="190">C138-C133-C149</f>
        <v>199479</v>
      </c>
      <c r="D211" s="53">
        <f t="shared" si="190"/>
        <v>159241</v>
      </c>
      <c r="E211" s="53">
        <f t="shared" si="190"/>
        <v>74650</v>
      </c>
      <c r="F211" s="53">
        <f>F138-F133-F149</f>
        <v>139991</v>
      </c>
      <c r="G211" s="53">
        <f t="shared" ref="G211:M211" si="191">G138-G133-G149</f>
        <v>136816</v>
      </c>
      <c r="H211" s="53">
        <f t="shared" si="191"/>
        <v>-13153</v>
      </c>
      <c r="I211" s="53">
        <f t="shared" si="191"/>
        <v>78592</v>
      </c>
      <c r="J211" s="53">
        <f t="shared" si="191"/>
        <v>-61061</v>
      </c>
      <c r="K211" s="53">
        <f t="shared" si="191"/>
        <v>281990</v>
      </c>
      <c r="L211" s="167">
        <f t="shared" si="191"/>
        <v>134210</v>
      </c>
      <c r="M211" s="167">
        <f t="shared" si="191"/>
        <v>118211</v>
      </c>
      <c r="N211" s="167"/>
      <c r="V211" s="11"/>
    </row>
    <row r="212" spans="1:24">
      <c r="A212" s="87" t="s">
        <v>160</v>
      </c>
      <c r="B212" s="50"/>
      <c r="C212" s="53">
        <f t="shared" ref="C212:E212" si="192">C139</f>
        <v>898197</v>
      </c>
      <c r="D212" s="53">
        <f t="shared" si="192"/>
        <v>1108270</v>
      </c>
      <c r="E212" s="53">
        <f t="shared" si="192"/>
        <v>1239987</v>
      </c>
      <c r="F212" s="53">
        <f t="shared" ref="F212:M212" si="193">F139</f>
        <v>1215663</v>
      </c>
      <c r="G212" s="53">
        <f t="shared" si="193"/>
        <v>2586735</v>
      </c>
      <c r="H212" s="53">
        <f t="shared" si="193"/>
        <v>3050483</v>
      </c>
      <c r="I212" s="53">
        <f t="shared" si="193"/>
        <v>3741912</v>
      </c>
      <c r="J212" s="53">
        <f t="shared" si="193"/>
        <v>4378283</v>
      </c>
      <c r="K212" s="53">
        <f t="shared" si="193"/>
        <v>7557206</v>
      </c>
      <c r="L212" s="167">
        <f>L139</f>
        <v>8520000</v>
      </c>
      <c r="M212" s="167">
        <f t="shared" si="193"/>
        <v>9406816</v>
      </c>
      <c r="N212" s="167"/>
      <c r="V212" s="11"/>
    </row>
    <row r="213" spans="1:24">
      <c r="A213" s="87" t="s">
        <v>13</v>
      </c>
      <c r="B213" s="50"/>
      <c r="C213" s="53">
        <f t="shared" ref="C213:E213" si="194">C140+C143+C141+C142</f>
        <v>977559</v>
      </c>
      <c r="D213" s="53">
        <f t="shared" si="194"/>
        <v>1231527</v>
      </c>
      <c r="E213" s="53">
        <f t="shared" si="194"/>
        <v>1561569</v>
      </c>
      <c r="F213" s="53">
        <f t="shared" ref="F213:M213" si="195">F140+F143+F141+F142</f>
        <v>1812452</v>
      </c>
      <c r="G213" s="53">
        <f t="shared" si="195"/>
        <v>1251429</v>
      </c>
      <c r="H213" s="53">
        <f t="shared" si="195"/>
        <v>1307751</v>
      </c>
      <c r="I213" s="53">
        <f t="shared" si="195"/>
        <v>1487962</v>
      </c>
      <c r="J213" s="53">
        <f t="shared" si="195"/>
        <v>1107542</v>
      </c>
      <c r="K213" s="53">
        <f>K140+K143+K141+K142</f>
        <v>5293254</v>
      </c>
      <c r="L213" s="167">
        <f t="shared" si="195"/>
        <v>4756230</v>
      </c>
      <c r="M213" s="167">
        <f t="shared" si="195"/>
        <v>4269177</v>
      </c>
      <c r="N213" s="167"/>
      <c r="V213" s="11"/>
    </row>
    <row r="214" spans="1:24">
      <c r="A214" s="88" t="s">
        <v>161</v>
      </c>
      <c r="B214" s="50"/>
      <c r="C214" s="53">
        <f t="shared" ref="C214:E214" si="196">C211+C212+C213</f>
        <v>2075235</v>
      </c>
      <c r="D214" s="53">
        <f t="shared" si="196"/>
        <v>2499038</v>
      </c>
      <c r="E214" s="53">
        <f t="shared" si="196"/>
        <v>2876206</v>
      </c>
      <c r="F214" s="53">
        <f>F211+F212+F213</f>
        <v>3168106</v>
      </c>
      <c r="G214" s="53">
        <f t="shared" ref="G214:J214" si="197">G211+G212+G213</f>
        <v>3974980</v>
      </c>
      <c r="H214" s="53">
        <f t="shared" si="197"/>
        <v>4345081</v>
      </c>
      <c r="I214" s="53">
        <f t="shared" si="197"/>
        <v>5308466</v>
      </c>
      <c r="J214" s="53">
        <f t="shared" si="197"/>
        <v>5424764</v>
      </c>
      <c r="K214" s="53">
        <f>K211+K212+K213</f>
        <v>13132450</v>
      </c>
      <c r="L214" s="167">
        <f t="shared" ref="L214:M214" si="198">L211+L212+L213</f>
        <v>13410440</v>
      </c>
      <c r="M214" s="167">
        <f t="shared" si="198"/>
        <v>13794204</v>
      </c>
      <c r="N214" s="167"/>
      <c r="V214" s="11"/>
    </row>
    <row r="215" spans="1:24">
      <c r="A215" s="56"/>
      <c r="B215" s="50"/>
      <c r="C215" s="50"/>
      <c r="D215" s="50"/>
      <c r="E215" s="50"/>
      <c r="F215" s="50"/>
      <c r="G215" s="50"/>
      <c r="H215" s="50"/>
      <c r="I215" s="50"/>
      <c r="J215" s="50"/>
      <c r="K215" s="50"/>
      <c r="L215" s="162"/>
      <c r="M215" s="162"/>
      <c r="N215" s="162"/>
    </row>
    <row r="216" spans="1:24">
      <c r="A216" s="88" t="s">
        <v>162</v>
      </c>
      <c r="B216" s="50"/>
      <c r="C216" s="61">
        <f t="shared" ref="C216:E216" si="199">C203/C214</f>
        <v>2.4502725953402232E-2</v>
      </c>
      <c r="D216" s="61">
        <f t="shared" si="199"/>
        <v>1.2494649894962464E-2</v>
      </c>
      <c r="E216" s="61">
        <f t="shared" si="199"/>
        <v>-2.135772404621197E-2</v>
      </c>
      <c r="F216" s="61">
        <f>F203/F214</f>
        <v>-1.2046392787832413E-2</v>
      </c>
      <c r="G216" s="61">
        <f t="shared" ref="G216:L216" si="200">G203/G214</f>
        <v>6.1109186788867724E-2</v>
      </c>
      <c r="H216" s="61">
        <f t="shared" si="200"/>
        <v>8.5306011486796889E-3</v>
      </c>
      <c r="I216" s="61">
        <f t="shared" si="200"/>
        <v>2.2287612328270186E-4</v>
      </c>
      <c r="J216" s="61">
        <f t="shared" si="200"/>
        <v>-1.9998016148152765E-2</v>
      </c>
      <c r="K216" s="61">
        <f t="shared" si="200"/>
        <v>-5.9838048392137431E-2</v>
      </c>
      <c r="L216" s="169">
        <f t="shared" si="200"/>
        <v>-4.8861418134019683E-3</v>
      </c>
      <c r="M216" s="169">
        <f t="shared" ref="M216" si="201">M203/M214</f>
        <v>-1.6855855391046857E-3</v>
      </c>
      <c r="N216" s="169"/>
      <c r="V216" s="34"/>
    </row>
    <row r="217" spans="1:24">
      <c r="A217" s="56"/>
      <c r="B217" s="50"/>
      <c r="C217" s="50"/>
      <c r="D217" s="50"/>
      <c r="E217" s="50"/>
      <c r="F217" s="50"/>
      <c r="G217" s="50"/>
      <c r="H217" s="50"/>
      <c r="I217" s="50"/>
      <c r="J217" s="50"/>
      <c r="K217" s="50"/>
      <c r="L217" s="162"/>
      <c r="M217" s="162"/>
      <c r="N217" s="162"/>
    </row>
    <row r="218" spans="1:24" outlineLevel="1">
      <c r="A218" s="56" t="s">
        <v>163</v>
      </c>
      <c r="B218" s="50"/>
      <c r="C218" s="50"/>
      <c r="D218" s="50"/>
      <c r="E218" s="50"/>
      <c r="F218" s="50"/>
      <c r="G218" s="50"/>
      <c r="H218" s="50"/>
      <c r="I218" s="50"/>
      <c r="J218" s="50"/>
      <c r="K218" s="50"/>
      <c r="L218" s="162"/>
      <c r="M218" s="162"/>
      <c r="N218" s="162"/>
    </row>
    <row r="219" spans="1:24" outlineLevel="1">
      <c r="A219" s="56"/>
      <c r="B219" s="50"/>
      <c r="C219" s="50"/>
      <c r="D219" s="50"/>
      <c r="E219" s="50"/>
      <c r="F219" s="50"/>
      <c r="G219" s="50"/>
      <c r="H219" s="50"/>
      <c r="I219" s="50"/>
      <c r="J219" s="50"/>
      <c r="K219" s="50"/>
      <c r="L219" s="162"/>
      <c r="M219" s="162"/>
      <c r="N219" s="162"/>
    </row>
    <row r="220" spans="1:24" outlineLevel="1">
      <c r="A220" s="57" t="s">
        <v>153</v>
      </c>
      <c r="B220" s="50"/>
      <c r="C220" s="53">
        <f t="shared" ref="C220:J220" si="202">C29</f>
        <v>41088</v>
      </c>
      <c r="D220" s="53">
        <f t="shared" si="202"/>
        <v>36422</v>
      </c>
      <c r="E220" s="53">
        <f t="shared" si="202"/>
        <v>-92212</v>
      </c>
      <c r="F220" s="53">
        <f t="shared" si="202"/>
        <v>-60678</v>
      </c>
      <c r="G220" s="53">
        <f t="shared" si="202"/>
        <v>38483</v>
      </c>
      <c r="H220" s="53">
        <f t="shared" si="202"/>
        <v>58226</v>
      </c>
      <c r="I220" s="53">
        <f t="shared" si="202"/>
        <v>8095</v>
      </c>
      <c r="J220" s="53">
        <f t="shared" si="202"/>
        <v>-156014</v>
      </c>
      <c r="K220" s="53">
        <f>K29</f>
        <v>-889764</v>
      </c>
      <c r="L220" s="167">
        <f>L29</f>
        <v>-95450</v>
      </c>
      <c r="M220" s="167">
        <f>M29</f>
        <v>73835.599999999627</v>
      </c>
      <c r="N220" s="167"/>
      <c r="V220" s="11"/>
      <c r="W220" s="11"/>
      <c r="X220" s="11"/>
    </row>
    <row r="221" spans="1:24" outlineLevel="1">
      <c r="A221" s="55" t="s">
        <v>164</v>
      </c>
      <c r="B221" s="50"/>
      <c r="C221" s="60">
        <f t="shared" ref="C221:J221" si="203">C207</f>
        <v>-0.23756119776841625</v>
      </c>
      <c r="D221" s="60">
        <f t="shared" si="203"/>
        <v>0.14269933325442855</v>
      </c>
      <c r="E221" s="60">
        <f t="shared" si="203"/>
        <v>0.33382624768946395</v>
      </c>
      <c r="F221" s="60">
        <f t="shared" si="203"/>
        <v>0.37103646676738528</v>
      </c>
      <c r="G221" s="60">
        <f t="shared" si="203"/>
        <v>-5.3120805369127515</v>
      </c>
      <c r="H221" s="60">
        <f t="shared" si="203"/>
        <v>0.36340890719427232</v>
      </c>
      <c r="I221" s="60">
        <f t="shared" si="203"/>
        <v>0.85384430850425808</v>
      </c>
      <c r="J221" s="60">
        <f t="shared" si="203"/>
        <v>0.30464882592640541</v>
      </c>
      <c r="K221" s="60">
        <f t="shared" ref="K221:L221" si="204">K207</f>
        <v>0.11682178801645693</v>
      </c>
      <c r="L221" s="168">
        <f t="shared" si="204"/>
        <v>0.31351166453516721</v>
      </c>
      <c r="M221" s="168">
        <f>M207</f>
        <v>1.3149065056132831</v>
      </c>
      <c r="N221" s="168"/>
      <c r="V221" s="33"/>
    </row>
    <row r="222" spans="1:24" outlineLevel="1">
      <c r="A222" s="55" t="s">
        <v>154</v>
      </c>
      <c r="B222" s="50"/>
      <c r="C222" s="53">
        <f t="shared" ref="C222:J223" si="205">C202</f>
        <v>-9760.9144939086873</v>
      </c>
      <c r="D222" s="53">
        <f t="shared" si="205"/>
        <v>5197.3951157927968</v>
      </c>
      <c r="E222" s="53">
        <f t="shared" si="205"/>
        <v>-30782.785951940848</v>
      </c>
      <c r="F222" s="53">
        <f t="shared" si="205"/>
        <v>-22513.750730511405</v>
      </c>
      <c r="G222" s="53">
        <f t="shared" si="205"/>
        <v>-204424.79530201343</v>
      </c>
      <c r="H222" s="53">
        <f t="shared" si="205"/>
        <v>21159.847030293702</v>
      </c>
      <c r="I222" s="53">
        <f t="shared" si="205"/>
        <v>6911.8696773419688</v>
      </c>
      <c r="J222" s="53">
        <f t="shared" si="205"/>
        <v>-47529.481928082212</v>
      </c>
      <c r="K222" s="53">
        <f t="shared" ref="K222:L223" si="206">K202</f>
        <v>-103943.82139267478</v>
      </c>
      <c r="L222" s="167">
        <f t="shared" si="206"/>
        <v>-29924.688379881711</v>
      </c>
      <c r="M222" s="167">
        <f t="shared" ref="M222" si="207">M202</f>
        <v>97086.91078585964</v>
      </c>
      <c r="N222" s="167"/>
      <c r="V222" s="11"/>
    </row>
    <row r="223" spans="1:24" outlineLevel="1">
      <c r="A223" s="57" t="s">
        <v>155</v>
      </c>
      <c r="B223" s="50"/>
      <c r="C223" s="53">
        <f t="shared" ref="C223" si="208">C203</f>
        <v>50848.914493908684</v>
      </c>
      <c r="D223" s="53">
        <f t="shared" si="205"/>
        <v>31224.604884207205</v>
      </c>
      <c r="E223" s="53">
        <f t="shared" si="205"/>
        <v>-61429.214048059148</v>
      </c>
      <c r="F223" s="53">
        <f t="shared" si="205"/>
        <v>-38164.249269488595</v>
      </c>
      <c r="G223" s="53">
        <f t="shared" si="205"/>
        <v>242907.79530201343</v>
      </c>
      <c r="H223" s="53">
        <f t="shared" si="205"/>
        <v>37066.152969706294</v>
      </c>
      <c r="I223" s="53">
        <f t="shared" si="205"/>
        <v>1183.1303226580312</v>
      </c>
      <c r="J223" s="53">
        <f t="shared" si="205"/>
        <v>-108484.51807191779</v>
      </c>
      <c r="K223" s="53">
        <f t="shared" si="206"/>
        <v>-785820.17860732519</v>
      </c>
      <c r="L223" s="167">
        <f t="shared" si="206"/>
        <v>-65525.311620118286</v>
      </c>
      <c r="M223" s="167">
        <f t="shared" ref="M223" si="209">M203</f>
        <v>-23251.310785860012</v>
      </c>
      <c r="N223" s="167"/>
      <c r="V223" s="11"/>
    </row>
    <row r="224" spans="1:24" outlineLevel="1">
      <c r="A224" s="57" t="s">
        <v>123</v>
      </c>
      <c r="B224" s="50"/>
      <c r="C224" s="45">
        <f t="shared" ref="C224:J224" si="210">C99</f>
        <v>242076</v>
      </c>
      <c r="D224" s="45">
        <f t="shared" si="210"/>
        <v>245922</v>
      </c>
      <c r="E224" s="45">
        <f t="shared" si="210"/>
        <v>255652</v>
      </c>
      <c r="F224" s="45">
        <f t="shared" si="210"/>
        <v>318613</v>
      </c>
      <c r="G224" s="45">
        <f t="shared" si="210"/>
        <v>342178</v>
      </c>
      <c r="H224" s="45">
        <f t="shared" si="210"/>
        <v>397102</v>
      </c>
      <c r="I224" s="45">
        <f t="shared" si="210"/>
        <v>495447</v>
      </c>
      <c r="J224" s="45">
        <f t="shared" si="210"/>
        <v>500377</v>
      </c>
      <c r="K224" s="45">
        <f>K99</f>
        <v>1157524</v>
      </c>
      <c r="L224" s="159">
        <f>L99</f>
        <v>1109000</v>
      </c>
      <c r="M224" s="159">
        <f>M99</f>
        <v>1149313</v>
      </c>
      <c r="N224" s="159"/>
      <c r="V224" s="30"/>
    </row>
    <row r="225" spans="1:22" outlineLevel="1">
      <c r="A225" s="57" t="s">
        <v>129</v>
      </c>
      <c r="B225" s="50"/>
      <c r="C225" s="45">
        <f t="shared" ref="C225:J225" si="211">C105</f>
        <v>-377894</v>
      </c>
      <c r="D225" s="45">
        <f t="shared" si="211"/>
        <v>-487133</v>
      </c>
      <c r="E225" s="45">
        <f t="shared" si="211"/>
        <v>-511634</v>
      </c>
      <c r="F225" s="45">
        <f t="shared" si="211"/>
        <v>-639194</v>
      </c>
      <c r="G225" s="45">
        <f t="shared" si="211"/>
        <v>-693966</v>
      </c>
      <c r="H225" s="45">
        <f t="shared" si="211"/>
        <v>-827241</v>
      </c>
      <c r="I225" s="45">
        <f t="shared" si="211"/>
        <v>-938280</v>
      </c>
      <c r="J225" s="45">
        <f t="shared" si="211"/>
        <v>-1076968</v>
      </c>
      <c r="K225" s="45">
        <f>K105</f>
        <v>-1621385</v>
      </c>
      <c r="L225" s="159">
        <f>L105</f>
        <v>-1450000</v>
      </c>
      <c r="M225" s="159">
        <f>M105</f>
        <v>-1150000</v>
      </c>
      <c r="N225" s="159"/>
      <c r="V225" s="30"/>
    </row>
    <row r="226" spans="1:22" outlineLevel="1">
      <c r="A226" s="54" t="s">
        <v>151</v>
      </c>
      <c r="B226" s="50"/>
      <c r="C226" s="53">
        <f t="shared" ref="C226:I226" si="212">C196</f>
        <v>0</v>
      </c>
      <c r="D226" s="53">
        <f t="shared" si="212"/>
        <v>40238</v>
      </c>
      <c r="E226" s="53">
        <f t="shared" si="212"/>
        <v>84591</v>
      </c>
      <c r="F226" s="53">
        <f t="shared" si="212"/>
        <v>-65341</v>
      </c>
      <c r="G226" s="53">
        <f t="shared" si="212"/>
        <v>3175</v>
      </c>
      <c r="H226" s="53">
        <f t="shared" si="212"/>
        <v>149969</v>
      </c>
      <c r="I226" s="53">
        <f t="shared" si="212"/>
        <v>-91745</v>
      </c>
      <c r="J226" s="53">
        <f>J196</f>
        <v>139653</v>
      </c>
      <c r="K226" s="53">
        <f t="shared" ref="K226:L226" si="213">K196</f>
        <v>-343051</v>
      </c>
      <c r="L226" s="167">
        <f t="shared" si="213"/>
        <v>147780</v>
      </c>
      <c r="M226" s="167">
        <f t="shared" ref="M226" si="214">M196</f>
        <v>15999</v>
      </c>
      <c r="N226" s="167"/>
      <c r="V226" s="11"/>
    </row>
    <row r="227" spans="1:22" outlineLevel="1">
      <c r="A227" s="54" t="s">
        <v>165</v>
      </c>
      <c r="B227" s="50"/>
      <c r="C227" s="45">
        <f t="shared" ref="C227:J227" si="215">C223+C224+C225+C226</f>
        <v>-84969.085506091302</v>
      </c>
      <c r="D227" s="45">
        <f t="shared" si="215"/>
        <v>-169748.39511579281</v>
      </c>
      <c r="E227" s="45">
        <f t="shared" si="215"/>
        <v>-232820.21404805913</v>
      </c>
      <c r="F227" s="45">
        <f t="shared" si="215"/>
        <v>-424086.24926948862</v>
      </c>
      <c r="G227" s="45">
        <f t="shared" si="215"/>
        <v>-105705.2046979866</v>
      </c>
      <c r="H227" s="45">
        <f t="shared" si="215"/>
        <v>-243103.84703029372</v>
      </c>
      <c r="I227" s="45">
        <f t="shared" si="215"/>
        <v>-533394.86967734201</v>
      </c>
      <c r="J227" s="45">
        <f t="shared" si="215"/>
        <v>-545422.51807191782</v>
      </c>
      <c r="K227" s="45">
        <f>K223+K224+K225+K226</f>
        <v>-1592732.1786073251</v>
      </c>
      <c r="L227" s="159">
        <f t="shared" ref="L227" si="216">L223+L224+L225+L226</f>
        <v>-258745.31162011833</v>
      </c>
      <c r="M227" s="159">
        <f>M223+M224+M225+M226</f>
        <v>-7939.3107858600561</v>
      </c>
      <c r="N227" s="159">
        <f>M227*(1+F233)/(F234-F233)</f>
        <v>-293754.49907682196</v>
      </c>
      <c r="V227" s="30"/>
    </row>
    <row r="228" spans="1:22" outlineLevel="1">
      <c r="A228" s="55"/>
      <c r="B228" s="50"/>
      <c r="C228" s="50"/>
      <c r="D228" s="50"/>
      <c r="E228" s="50"/>
      <c r="F228" s="50"/>
      <c r="G228" s="50"/>
      <c r="H228" s="50"/>
      <c r="I228" s="50"/>
      <c r="J228" s="50"/>
      <c r="K228" s="62"/>
      <c r="L228" s="170"/>
      <c r="M228" s="170"/>
      <c r="N228" s="170"/>
    </row>
    <row r="229" spans="1:22" outlineLevel="1">
      <c r="A229" s="55" t="s">
        <v>165</v>
      </c>
      <c r="B229" s="50"/>
      <c r="C229" s="50"/>
      <c r="D229" s="50"/>
      <c r="E229" s="50"/>
      <c r="F229" s="50"/>
      <c r="G229" s="50"/>
      <c r="H229" s="50"/>
      <c r="I229" s="50"/>
      <c r="J229" s="50"/>
      <c r="K229" s="50"/>
      <c r="L229" s="162"/>
      <c r="M229" s="162"/>
      <c r="N229" s="162"/>
    </row>
    <row r="230" spans="1:22" outlineLevel="1">
      <c r="A230" s="55" t="s">
        <v>166</v>
      </c>
      <c r="B230" s="50"/>
      <c r="C230" s="50"/>
      <c r="D230" s="50"/>
      <c r="E230" s="50"/>
      <c r="F230" s="50"/>
      <c r="G230" s="50"/>
      <c r="H230" s="50"/>
      <c r="I230" s="50"/>
      <c r="J230" s="50"/>
      <c r="K230" s="63"/>
      <c r="L230" s="171">
        <f>L227/(1+$F$234)^1</f>
        <v>-226969.57159659499</v>
      </c>
      <c r="M230" s="171">
        <f>M227/(1+$F$234)^2</f>
        <v>-6109.0418481533197</v>
      </c>
      <c r="N230" s="171">
        <f>N227/(1+$F$234)^2</f>
        <v>-226034.54838167274</v>
      </c>
    </row>
    <row r="231" spans="1:22" outlineLevel="1">
      <c r="A231" s="55"/>
      <c r="B231" s="50"/>
      <c r="C231" s="50"/>
      <c r="D231" s="50"/>
      <c r="E231" s="50"/>
      <c r="F231" s="50"/>
      <c r="G231" s="50"/>
      <c r="H231" s="50"/>
      <c r="I231" s="50"/>
      <c r="J231" s="50"/>
      <c r="K231" s="50"/>
      <c r="L231" s="162"/>
      <c r="M231" s="162"/>
      <c r="N231" s="162"/>
    </row>
    <row r="232" spans="1:22" outlineLevel="1">
      <c r="A232" s="55" t="s">
        <v>197</v>
      </c>
      <c r="B232" s="50"/>
      <c r="C232" s="50"/>
      <c r="D232" s="50"/>
      <c r="E232" s="50"/>
      <c r="F232" s="46">
        <v>0.13500000000000001</v>
      </c>
      <c r="G232" s="94"/>
      <c r="H232" s="50"/>
      <c r="I232" s="50"/>
      <c r="J232" s="50"/>
      <c r="K232" s="50"/>
      <c r="L232" s="162"/>
      <c r="M232" s="162"/>
      <c r="N232" s="162"/>
    </row>
    <row r="233" spans="1:22" outlineLevel="1">
      <c r="A233" s="55" t="s">
        <v>167</v>
      </c>
      <c r="B233" s="50"/>
      <c r="C233" s="50"/>
      <c r="D233" s="50"/>
      <c r="E233" s="50"/>
      <c r="F233" s="60">
        <v>0.11</v>
      </c>
      <c r="G233" s="50"/>
      <c r="H233" s="50"/>
      <c r="I233" s="50"/>
      <c r="J233" s="50"/>
      <c r="K233" s="50"/>
      <c r="L233" s="162"/>
      <c r="M233" s="162"/>
      <c r="N233" s="162"/>
    </row>
    <row r="234" spans="1:22" outlineLevel="1">
      <c r="A234" s="55" t="s">
        <v>168</v>
      </c>
      <c r="B234" s="50"/>
      <c r="C234" s="50"/>
      <c r="D234" s="50"/>
      <c r="E234" s="50"/>
      <c r="F234" s="64">
        <v>0.14000000000000001</v>
      </c>
      <c r="G234" s="50"/>
      <c r="H234" s="50"/>
      <c r="I234" s="50"/>
      <c r="J234" s="50"/>
      <c r="K234" s="50"/>
      <c r="L234" s="162"/>
      <c r="M234" s="162"/>
      <c r="N234" s="162"/>
    </row>
    <row r="235" spans="1:22" outlineLevel="1">
      <c r="A235" s="55"/>
      <c r="B235" s="50"/>
      <c r="C235" s="50"/>
      <c r="D235" s="50"/>
      <c r="E235" s="50"/>
      <c r="F235" s="50"/>
      <c r="G235" s="50"/>
      <c r="H235" s="50"/>
      <c r="I235" s="50"/>
      <c r="J235" s="50"/>
      <c r="K235" s="50"/>
      <c r="L235" s="162"/>
      <c r="M235" s="162"/>
      <c r="N235" s="162"/>
    </row>
    <row r="236" spans="1:22" outlineLevel="1">
      <c r="A236" s="55" t="s">
        <v>166</v>
      </c>
      <c r="B236" s="50"/>
      <c r="C236" s="50"/>
      <c r="D236" s="50"/>
      <c r="E236" s="50"/>
      <c r="F236" s="63">
        <f>SUM(L230:N230)</f>
        <v>-459113.16182642104</v>
      </c>
      <c r="G236" s="50"/>
      <c r="H236" s="50"/>
      <c r="I236" s="50"/>
      <c r="J236" s="50"/>
      <c r="K236" s="50"/>
      <c r="L236" s="162"/>
      <c r="M236" s="162"/>
      <c r="N236" s="162"/>
    </row>
    <row r="237" spans="1:22" outlineLevel="1">
      <c r="A237" s="55" t="s">
        <v>169</v>
      </c>
      <c r="B237" s="50"/>
      <c r="C237" s="50"/>
      <c r="D237" s="50"/>
      <c r="E237" s="50"/>
      <c r="F237" s="53">
        <f>K245</f>
        <v>5286256</v>
      </c>
      <c r="G237" s="53"/>
      <c r="H237" s="53"/>
      <c r="I237" s="53"/>
      <c r="J237" s="53"/>
      <c r="K237" s="53"/>
      <c r="L237" s="167"/>
      <c r="M237" s="167"/>
      <c r="N237" s="167"/>
      <c r="V237" s="11"/>
    </row>
    <row r="238" spans="1:22" outlineLevel="1">
      <c r="A238" s="55" t="s">
        <v>170</v>
      </c>
      <c r="B238" s="50"/>
      <c r="C238" s="50"/>
      <c r="D238" s="50"/>
      <c r="E238" s="50"/>
      <c r="F238" s="63">
        <f>F236-F237</f>
        <v>-5745369.1618264206</v>
      </c>
      <c r="G238" s="50"/>
      <c r="H238" s="50"/>
      <c r="I238" s="50"/>
      <c r="J238" s="50"/>
      <c r="K238" s="50"/>
      <c r="L238" s="162"/>
      <c r="M238" s="162"/>
      <c r="N238" s="162"/>
    </row>
    <row r="239" spans="1:22" outlineLevel="1">
      <c r="A239" s="55" t="s">
        <v>171</v>
      </c>
      <c r="B239" s="50"/>
      <c r="C239" s="50"/>
      <c r="D239" s="50"/>
      <c r="E239" s="50"/>
      <c r="F239" s="65">
        <f>F269</f>
        <v>117189</v>
      </c>
      <c r="G239" s="50"/>
      <c r="H239" s="50"/>
      <c r="I239" s="50"/>
      <c r="J239" s="50"/>
      <c r="K239" s="50"/>
      <c r="L239" s="162"/>
      <c r="M239" s="162"/>
      <c r="N239" s="162"/>
    </row>
    <row r="240" spans="1:22" outlineLevel="1">
      <c r="A240" s="55" t="s">
        <v>172</v>
      </c>
      <c r="B240" s="50"/>
      <c r="C240" s="50"/>
      <c r="D240" s="50"/>
      <c r="E240" s="50"/>
      <c r="F240" s="66">
        <f>F238/F239</f>
        <v>-49.026522641428976</v>
      </c>
      <c r="G240" s="50"/>
      <c r="H240" s="50"/>
      <c r="I240" s="50"/>
      <c r="J240" s="50"/>
      <c r="K240" s="50"/>
      <c r="L240" s="162"/>
      <c r="M240" s="162"/>
      <c r="N240" s="162"/>
    </row>
    <row r="241" spans="1:22" outlineLevel="1">
      <c r="A241" s="146" t="s">
        <v>182</v>
      </c>
      <c r="B241" s="146"/>
      <c r="C241" s="50"/>
      <c r="D241" s="50"/>
      <c r="E241" s="50"/>
      <c r="F241" s="50">
        <v>16.010999999999999</v>
      </c>
      <c r="G241" s="50"/>
      <c r="H241" s="50"/>
      <c r="I241" s="50"/>
      <c r="J241" s="50"/>
      <c r="K241" s="50"/>
      <c r="L241" s="162"/>
      <c r="M241" s="162"/>
      <c r="N241" s="162"/>
    </row>
    <row r="242" spans="1:22" outlineLevel="1">
      <c r="A242" s="146" t="s">
        <v>193</v>
      </c>
      <c r="B242" s="146"/>
      <c r="C242" s="50"/>
      <c r="D242" s="50"/>
      <c r="E242" s="50"/>
      <c r="F242" s="67">
        <f>+F240/F241-1</f>
        <v>-4.0620525039928159</v>
      </c>
      <c r="G242" s="50"/>
      <c r="H242" s="50"/>
      <c r="I242" s="50"/>
      <c r="J242" s="50"/>
      <c r="K242" s="50"/>
      <c r="L242" s="162"/>
      <c r="M242" s="162"/>
      <c r="N242" s="162"/>
    </row>
    <row r="243" spans="1:22">
      <c r="A243" s="56"/>
      <c r="B243" s="50"/>
      <c r="C243" s="50"/>
      <c r="D243" s="50"/>
      <c r="E243" s="50"/>
      <c r="F243" s="50"/>
      <c r="G243" s="50"/>
      <c r="H243" s="50"/>
      <c r="I243" s="50"/>
      <c r="J243" s="50"/>
      <c r="K243" s="50"/>
      <c r="L243" s="162"/>
      <c r="M243" s="162"/>
      <c r="N243" s="162"/>
    </row>
    <row r="244" spans="1:22">
      <c r="A244" s="57" t="s">
        <v>173</v>
      </c>
      <c r="B244" s="50"/>
      <c r="C244" s="138">
        <v>70.19</v>
      </c>
      <c r="D244" s="138">
        <v>71.19</v>
      </c>
      <c r="E244" s="138">
        <v>72.19</v>
      </c>
      <c r="F244" s="138">
        <v>73.19</v>
      </c>
      <c r="G244" s="138">
        <v>32.65</v>
      </c>
      <c r="H244" s="138">
        <v>44.54</v>
      </c>
      <c r="I244" s="138">
        <v>31.65</v>
      </c>
      <c r="J244" s="138">
        <v>27.95</v>
      </c>
      <c r="K244" s="138">
        <v>24</v>
      </c>
      <c r="L244" s="172">
        <v>30</v>
      </c>
      <c r="M244" s="172">
        <v>24</v>
      </c>
      <c r="N244" s="162"/>
    </row>
    <row r="245" spans="1:22">
      <c r="A245" s="56" t="s">
        <v>169</v>
      </c>
      <c r="B245" s="50"/>
      <c r="C245" s="62">
        <f>C148+C151+C150-C133</f>
        <v>903440</v>
      </c>
      <c r="D245" s="62">
        <f t="shared" ref="D245:E245" si="217">D148+D151+D150-D133</f>
        <v>718385</v>
      </c>
      <c r="E245" s="62">
        <f t="shared" si="217"/>
        <v>952259</v>
      </c>
      <c r="F245" s="62">
        <f t="shared" ref="F245:M245" si="218">F148+F151+F150-F133</f>
        <v>1151139</v>
      </c>
      <c r="G245" s="62">
        <f t="shared" si="218"/>
        <v>1547142</v>
      </c>
      <c r="H245" s="62">
        <f t="shared" si="218"/>
        <v>1537207</v>
      </c>
      <c r="I245" s="62">
        <f t="shared" si="218"/>
        <v>2175668</v>
      </c>
      <c r="J245" s="62">
        <f t="shared" si="218"/>
        <v>1110586</v>
      </c>
      <c r="K245" s="62">
        <f>K148+K151+K150-K133</f>
        <v>5286256</v>
      </c>
      <c r="L245" s="170">
        <f t="shared" si="218"/>
        <v>5160682</v>
      </c>
      <c r="M245" s="170">
        <f t="shared" si="218"/>
        <v>5382881</v>
      </c>
      <c r="N245" s="167"/>
      <c r="V245" s="11"/>
    </row>
    <row r="246" spans="1:22">
      <c r="A246" s="56" t="s">
        <v>174</v>
      </c>
      <c r="B246" s="50"/>
      <c r="C246" s="62">
        <f t="shared" ref="C246:L246" si="219">C244*C44</f>
        <v>3470544.55</v>
      </c>
      <c r="D246" s="62">
        <f t="shared" si="219"/>
        <v>3801261.2399999998</v>
      </c>
      <c r="E246" s="62">
        <f t="shared" si="219"/>
        <v>4218639.22</v>
      </c>
      <c r="F246" s="62">
        <f t="shared" si="219"/>
        <v>4387154.9799999995</v>
      </c>
      <c r="G246" s="62">
        <f t="shared" si="219"/>
        <v>2012284.7999999998</v>
      </c>
      <c r="H246" s="62">
        <f t="shared" si="219"/>
        <v>2959415.76</v>
      </c>
      <c r="I246" s="62">
        <f t="shared" si="219"/>
        <v>2323015.0499999998</v>
      </c>
      <c r="J246" s="62">
        <f t="shared" si="219"/>
        <v>2121824.25</v>
      </c>
      <c r="K246" s="62">
        <f t="shared" si="219"/>
        <v>2812536</v>
      </c>
      <c r="L246" s="170">
        <f t="shared" si="219"/>
        <v>3836202</v>
      </c>
      <c r="M246" s="170">
        <f>M244*M44</f>
        <v>3246000</v>
      </c>
      <c r="N246" s="173"/>
      <c r="V246" s="36"/>
    </row>
    <row r="247" spans="1:22">
      <c r="A247" s="56" t="s">
        <v>175</v>
      </c>
      <c r="B247" s="50"/>
      <c r="C247" s="62">
        <f t="shared" ref="C247:E247" si="220">C246+C245</f>
        <v>4373984.55</v>
      </c>
      <c r="D247" s="62">
        <f t="shared" si="220"/>
        <v>4519646.24</v>
      </c>
      <c r="E247" s="62">
        <f t="shared" si="220"/>
        <v>5170898.22</v>
      </c>
      <c r="F247" s="62">
        <f>F246+F245</f>
        <v>5538293.9799999995</v>
      </c>
      <c r="G247" s="62">
        <f t="shared" ref="G247:M247" si="221">G246+G245</f>
        <v>3559426.8</v>
      </c>
      <c r="H247" s="62">
        <f t="shared" si="221"/>
        <v>4496622.76</v>
      </c>
      <c r="I247" s="62">
        <f t="shared" si="221"/>
        <v>4498683.05</v>
      </c>
      <c r="J247" s="62">
        <f t="shared" si="221"/>
        <v>3232410.25</v>
      </c>
      <c r="K247" s="62">
        <f t="shared" si="221"/>
        <v>8098792</v>
      </c>
      <c r="L247" s="170">
        <f t="shared" si="221"/>
        <v>8996884</v>
      </c>
      <c r="M247" s="170">
        <f t="shared" si="221"/>
        <v>8628881</v>
      </c>
      <c r="N247" s="173"/>
      <c r="V247" s="36"/>
    </row>
    <row r="248" spans="1:22">
      <c r="A248" s="56" t="s">
        <v>159</v>
      </c>
      <c r="B248" s="50"/>
      <c r="C248" s="62">
        <f t="shared" ref="C248:E248" si="222">C214</f>
        <v>2075235</v>
      </c>
      <c r="D248" s="62">
        <f t="shared" si="222"/>
        <v>2499038</v>
      </c>
      <c r="E248" s="62">
        <f t="shared" si="222"/>
        <v>2876206</v>
      </c>
      <c r="F248" s="62">
        <f t="shared" ref="F248:M248" si="223">F214</f>
        <v>3168106</v>
      </c>
      <c r="G248" s="62">
        <f t="shared" si="223"/>
        <v>3974980</v>
      </c>
      <c r="H248" s="62">
        <f t="shared" si="223"/>
        <v>4345081</v>
      </c>
      <c r="I248" s="62">
        <f t="shared" si="223"/>
        <v>5308466</v>
      </c>
      <c r="J248" s="62">
        <f t="shared" si="223"/>
        <v>5424764</v>
      </c>
      <c r="K248" s="62">
        <f>K214</f>
        <v>13132450</v>
      </c>
      <c r="L248" s="170">
        <f>L214</f>
        <v>13410440</v>
      </c>
      <c r="M248" s="170">
        <f t="shared" si="223"/>
        <v>13794204</v>
      </c>
      <c r="N248" s="167"/>
      <c r="V248" s="11"/>
    </row>
    <row r="249" spans="1:22">
      <c r="A249" s="56" t="s">
        <v>235</v>
      </c>
      <c r="B249" s="62">
        <f>B29</f>
        <v>83109</v>
      </c>
      <c r="C249" s="62">
        <f t="shared" ref="C249:M249" si="224">C29</f>
        <v>41088</v>
      </c>
      <c r="D249" s="62">
        <f t="shared" si="224"/>
        <v>36422</v>
      </c>
      <c r="E249" s="62">
        <f t="shared" si="224"/>
        <v>-92212</v>
      </c>
      <c r="F249" s="62">
        <f t="shared" si="224"/>
        <v>-60678</v>
      </c>
      <c r="G249" s="62">
        <f t="shared" si="224"/>
        <v>38483</v>
      </c>
      <c r="H249" s="62">
        <f t="shared" si="224"/>
        <v>58226</v>
      </c>
      <c r="I249" s="62">
        <f t="shared" si="224"/>
        <v>8095</v>
      </c>
      <c r="J249" s="62">
        <f t="shared" si="224"/>
        <v>-156014</v>
      </c>
      <c r="K249" s="62">
        <f t="shared" si="224"/>
        <v>-889764</v>
      </c>
      <c r="L249" s="170">
        <f t="shared" si="224"/>
        <v>-95450</v>
      </c>
      <c r="M249" s="170">
        <f t="shared" si="224"/>
        <v>73835.599999999627</v>
      </c>
      <c r="N249" s="167"/>
      <c r="V249" s="11"/>
    </row>
    <row r="250" spans="1:22">
      <c r="A250" s="56" t="s">
        <v>233</v>
      </c>
      <c r="B250" s="62">
        <f t="shared" ref="B250:K250" si="225">B99+B201</f>
        <v>221433</v>
      </c>
      <c r="C250" s="62">
        <f t="shared" si="225"/>
        <v>283164</v>
      </c>
      <c r="D250" s="62">
        <f t="shared" si="225"/>
        <v>282344</v>
      </c>
      <c r="E250" s="62">
        <f t="shared" si="225"/>
        <v>163440</v>
      </c>
      <c r="F250" s="62">
        <f t="shared" si="225"/>
        <v>257935</v>
      </c>
      <c r="G250" s="62">
        <f t="shared" si="225"/>
        <v>380661</v>
      </c>
      <c r="H250" s="62">
        <f t="shared" si="225"/>
        <v>455328</v>
      </c>
      <c r="I250" s="62">
        <f t="shared" si="225"/>
        <v>503542</v>
      </c>
      <c r="J250" s="62">
        <f t="shared" si="225"/>
        <v>344363</v>
      </c>
      <c r="K250" s="62">
        <f t="shared" si="225"/>
        <v>267760</v>
      </c>
      <c r="L250" s="170">
        <f>L99+L201</f>
        <v>1013550</v>
      </c>
      <c r="M250" s="170">
        <f>M99+M201</f>
        <v>1223148.5999999996</v>
      </c>
      <c r="N250" s="159"/>
      <c r="V250" s="30"/>
    </row>
    <row r="251" spans="1:22">
      <c r="A251" s="56" t="s">
        <v>234</v>
      </c>
      <c r="B251" s="62">
        <f>B250+SUM(B100:B103)+B105</f>
        <v>-56867</v>
      </c>
      <c r="C251" s="62">
        <f t="shared" ref="C251:L251" si="226">C250+SUM(C100:C103)+C105</f>
        <v>-61639</v>
      </c>
      <c r="D251" s="62">
        <f t="shared" si="226"/>
        <v>-61180</v>
      </c>
      <c r="E251" s="62">
        <f t="shared" si="226"/>
        <v>-176938</v>
      </c>
      <c r="F251" s="62">
        <f t="shared" si="226"/>
        <v>-305852</v>
      </c>
      <c r="G251" s="62">
        <f t="shared" si="226"/>
        <v>-232360</v>
      </c>
      <c r="H251" s="62">
        <f t="shared" si="226"/>
        <v>-58901</v>
      </c>
      <c r="I251" s="62">
        <f t="shared" si="226"/>
        <v>-422061</v>
      </c>
      <c r="J251" s="62">
        <f t="shared" si="226"/>
        <v>-1955869</v>
      </c>
      <c r="K251" s="62">
        <f t="shared" si="226"/>
        <v>-765034</v>
      </c>
      <c r="L251" s="170">
        <f t="shared" si="226"/>
        <v>-665450</v>
      </c>
      <c r="M251" s="170">
        <f>M250+SUM(M100:M103)+M105</f>
        <v>-121351.40000000037</v>
      </c>
      <c r="N251" s="159"/>
      <c r="V251" s="30"/>
    </row>
    <row r="252" spans="1:22" s="40" customFormat="1">
      <c r="A252" s="68" t="s">
        <v>176</v>
      </c>
      <c r="B252" s="68"/>
      <c r="C252" s="82">
        <f t="shared" ref="C252:M252" si="227">C250/C20</f>
        <v>0.19977705658247497</v>
      </c>
      <c r="D252" s="82">
        <f t="shared" si="227"/>
        <v>0.18107099339447189</v>
      </c>
      <c r="E252" s="82">
        <f t="shared" si="227"/>
        <v>0.10249592374263138</v>
      </c>
      <c r="F252" s="82">
        <f t="shared" si="227"/>
        <v>0.1247147277826129</v>
      </c>
      <c r="G252" s="82">
        <f t="shared" si="227"/>
        <v>0.16483826267700169</v>
      </c>
      <c r="H252" s="82">
        <f t="shared" si="227"/>
        <v>0.20182084127476618</v>
      </c>
      <c r="I252" s="82">
        <f t="shared" si="227"/>
        <v>0.18064935064935064</v>
      </c>
      <c r="J252" s="82">
        <f t="shared" si="227"/>
        <v>0.13472203747897188</v>
      </c>
      <c r="K252" s="82">
        <f t="shared" si="227"/>
        <v>6.2505252346047896E-2</v>
      </c>
      <c r="L252" s="163">
        <f t="shared" si="227"/>
        <v>0.22271418840229404</v>
      </c>
      <c r="M252" s="163">
        <f t="shared" si="227"/>
        <v>0.25407112495756295</v>
      </c>
      <c r="N252" s="174"/>
      <c r="O252" s="175"/>
      <c r="P252" s="175"/>
      <c r="Q252" s="175"/>
      <c r="R252" s="175"/>
      <c r="S252" s="175"/>
      <c r="T252" s="175"/>
      <c r="U252" s="175"/>
      <c r="V252" s="41"/>
    </row>
    <row r="253" spans="1:22" s="42" customFormat="1">
      <c r="A253" s="69" t="s">
        <v>177</v>
      </c>
      <c r="B253" s="69"/>
      <c r="C253" s="93"/>
      <c r="D253" s="93">
        <f t="shared" ref="D253:F253" si="228">(D252-C252)/ABS(C252)</f>
        <v>-9.3634692131328717E-2</v>
      </c>
      <c r="E253" s="93">
        <f t="shared" si="228"/>
        <v>-0.43394620076259777</v>
      </c>
      <c r="F253" s="93">
        <f t="shared" si="228"/>
        <v>0.21677744078655498</v>
      </c>
      <c r="G253" s="93">
        <f>(G252-F252)/ABS(F252)</f>
        <v>0.32172250709897798</v>
      </c>
      <c r="H253" s="93">
        <f t="shared" ref="H253:M253" si="229">(H252-G252)/ABS(G252)</f>
        <v>0.22435676036110225</v>
      </c>
      <c r="I253" s="93">
        <f t="shared" si="229"/>
        <v>-0.1049024000281116</v>
      </c>
      <c r="J253" s="93">
        <f t="shared" si="229"/>
        <v>-0.25423458764336199</v>
      </c>
      <c r="K253" s="93">
        <f t="shared" si="229"/>
        <v>-0.53604285152082831</v>
      </c>
      <c r="L253" s="176">
        <f t="shared" si="229"/>
        <v>2.5631275779718679</v>
      </c>
      <c r="M253" s="176">
        <f t="shared" si="229"/>
        <v>0.14079451686584116</v>
      </c>
      <c r="N253" s="177"/>
      <c r="O253" s="178"/>
      <c r="P253" s="178"/>
      <c r="Q253" s="178"/>
      <c r="R253" s="178"/>
      <c r="S253" s="178"/>
      <c r="T253" s="178"/>
      <c r="U253" s="178"/>
      <c r="V253" s="43"/>
    </row>
    <row r="254" spans="1:22">
      <c r="A254" s="56" t="s">
        <v>178</v>
      </c>
      <c r="B254" s="50"/>
      <c r="C254" s="94">
        <f t="shared" ref="C254:E254" si="230">C216</f>
        <v>2.4502725953402232E-2</v>
      </c>
      <c r="D254" s="94">
        <f t="shared" si="230"/>
        <v>1.2494649894962464E-2</v>
      </c>
      <c r="E254" s="94">
        <f t="shared" si="230"/>
        <v>-2.135772404621197E-2</v>
      </c>
      <c r="F254" s="94">
        <f t="shared" ref="F254:M254" si="231">F216</f>
        <v>-1.2046392787832413E-2</v>
      </c>
      <c r="G254" s="94">
        <f t="shared" si="231"/>
        <v>6.1109186788867724E-2</v>
      </c>
      <c r="H254" s="94">
        <f t="shared" si="231"/>
        <v>8.5306011486796889E-3</v>
      </c>
      <c r="I254" s="94">
        <f t="shared" si="231"/>
        <v>2.2287612328270186E-4</v>
      </c>
      <c r="J254" s="94">
        <f t="shared" si="231"/>
        <v>-1.9998016148152765E-2</v>
      </c>
      <c r="K254" s="94">
        <f t="shared" si="231"/>
        <v>-5.9838048392137431E-2</v>
      </c>
      <c r="L254" s="179">
        <f t="shared" si="231"/>
        <v>-4.8861418134019683E-3</v>
      </c>
      <c r="M254" s="179">
        <f t="shared" si="231"/>
        <v>-1.6855855391046857E-3</v>
      </c>
      <c r="N254" s="180"/>
      <c r="V254" s="35"/>
    </row>
    <row r="255" spans="1:22">
      <c r="A255" s="56" t="s">
        <v>236</v>
      </c>
      <c r="B255" s="50"/>
      <c r="C255" s="70">
        <f>C247/D249</f>
        <v>120.09182774147493</v>
      </c>
      <c r="D255" s="70">
        <f t="shared" ref="D255:K255" si="232">D247/E249</f>
        <v>-49.013645078731621</v>
      </c>
      <c r="E255" s="70">
        <f t="shared" si="232"/>
        <v>-85.218666073370898</v>
      </c>
      <c r="F255" s="70">
        <f t="shared" si="232"/>
        <v>143.91533872099367</v>
      </c>
      <c r="G255" s="70">
        <f t="shared" si="232"/>
        <v>61.131226599800776</v>
      </c>
      <c r="H255" s="70">
        <f t="shared" si="232"/>
        <v>555.4815021618283</v>
      </c>
      <c r="I255" s="70">
        <f t="shared" si="232"/>
        <v>-28.835124091427691</v>
      </c>
      <c r="J255" s="70">
        <f t="shared" si="232"/>
        <v>-3.6328849560108072</v>
      </c>
      <c r="K255" s="70">
        <f t="shared" si="232"/>
        <v>-84.848528025144049</v>
      </c>
      <c r="L255" s="181">
        <f>L247/M249</f>
        <v>121.8502185937413</v>
      </c>
      <c r="M255" s="181"/>
      <c r="N255" s="180"/>
      <c r="V255" s="35"/>
    </row>
    <row r="256" spans="1:22">
      <c r="A256" s="56" t="s">
        <v>237</v>
      </c>
      <c r="B256" s="50"/>
      <c r="C256" s="92">
        <f t="shared" ref="C256:E256" si="233">C247/D250</f>
        <v>15.491685851301957</v>
      </c>
      <c r="D256" s="92">
        <f t="shared" si="233"/>
        <v>27.653244248653941</v>
      </c>
      <c r="E256" s="92">
        <f t="shared" si="233"/>
        <v>20.047291837090739</v>
      </c>
      <c r="F256" s="92">
        <f>F247/G250</f>
        <v>14.549149978589872</v>
      </c>
      <c r="G256" s="92">
        <f t="shared" ref="G256:J256" si="234">G247/H250</f>
        <v>7.8172807294960993</v>
      </c>
      <c r="H256" s="92">
        <f t="shared" si="234"/>
        <v>8.9299855026988801</v>
      </c>
      <c r="I256" s="92">
        <f t="shared" si="234"/>
        <v>13.063781678054843</v>
      </c>
      <c r="J256" s="92">
        <f t="shared" si="234"/>
        <v>12.072043060950104</v>
      </c>
      <c r="K256" s="92">
        <f>K247/L250</f>
        <v>7.9905204479305407</v>
      </c>
      <c r="L256" s="182">
        <f>L247/M250</f>
        <v>7.3555118323317403</v>
      </c>
      <c r="M256" s="181"/>
      <c r="N256" s="181"/>
    </row>
    <row r="257" spans="1:22">
      <c r="A257" s="56" t="s">
        <v>245</v>
      </c>
      <c r="B257" s="50"/>
      <c r="C257" s="92"/>
      <c r="D257" s="92"/>
      <c r="E257" s="92"/>
      <c r="F257" s="92"/>
      <c r="G257" s="92"/>
      <c r="H257" s="92"/>
      <c r="I257" s="92"/>
      <c r="J257" s="92"/>
      <c r="K257" s="92"/>
      <c r="L257" s="92"/>
      <c r="M257" s="92"/>
      <c r="N257" s="181"/>
    </row>
    <row r="258" spans="1:22">
      <c r="A258" s="56" t="s">
        <v>179</v>
      </c>
      <c r="B258" s="50"/>
      <c r="C258" s="92">
        <f t="shared" ref="C258:E258" si="235">C247/C248</f>
        <v>2.107705657431568</v>
      </c>
      <c r="D258" s="92">
        <f t="shared" si="235"/>
        <v>1.8085544277437959</v>
      </c>
      <c r="E258" s="92">
        <f t="shared" si="235"/>
        <v>1.7978191478635397</v>
      </c>
      <c r="F258" s="92">
        <f>F247/F248</f>
        <v>1.7481403652529302</v>
      </c>
      <c r="G258" s="92">
        <f t="shared" ref="G258:L258" si="236">G247/G248</f>
        <v>0.89545778846686019</v>
      </c>
      <c r="H258" s="92">
        <f t="shared" si="236"/>
        <v>1.0348766248546344</v>
      </c>
      <c r="I258" s="92">
        <f t="shared" si="236"/>
        <v>0.84745443410582266</v>
      </c>
      <c r="J258" s="92">
        <f t="shared" si="236"/>
        <v>0.59586191214954232</v>
      </c>
      <c r="K258" s="92">
        <f t="shared" si="236"/>
        <v>0.61670076794505213</v>
      </c>
      <c r="L258" s="182">
        <f t="shared" si="236"/>
        <v>0.67088656300613547</v>
      </c>
      <c r="M258" s="181"/>
      <c r="N258" s="181"/>
    </row>
    <row r="259" spans="1:22">
      <c r="A259" s="56" t="s">
        <v>180</v>
      </c>
      <c r="B259" s="50"/>
      <c r="C259" s="47">
        <f t="shared" ref="C259:E259" si="237">C107/C244</f>
        <v>-2.333581915840844E-2</v>
      </c>
      <c r="D259" s="47">
        <f t="shared" si="237"/>
        <v>-1.9959691062958883E-2</v>
      </c>
      <c r="E259" s="47">
        <f t="shared" si="237"/>
        <v>-3.6273782141531409E-2</v>
      </c>
      <c r="F259" s="47">
        <f t="shared" ref="F259:L259" si="238">F107/F244</f>
        <v>-7.1048550010421568E-2</v>
      </c>
      <c r="G259" s="47">
        <f t="shared" si="238"/>
        <v>-0.12769961786721246</v>
      </c>
      <c r="H259" s="47">
        <f t="shared" si="238"/>
        <v>-3.3801604138243825E-2</v>
      </c>
      <c r="I259" s="47">
        <f t="shared" si="238"/>
        <v>-0.18634145310423195</v>
      </c>
      <c r="J259" s="47">
        <f t="shared" si="238"/>
        <v>-0.33419685914137331</v>
      </c>
      <c r="K259" s="47">
        <f t="shared" si="238"/>
        <v>-0.33178135319867907</v>
      </c>
      <c r="L259" s="161">
        <f t="shared" si="238"/>
        <v>-0.20447750730282374</v>
      </c>
      <c r="M259" s="161"/>
      <c r="N259" s="161"/>
      <c r="V259" s="31"/>
    </row>
    <row r="260" spans="1:22">
      <c r="A260" s="56"/>
      <c r="B260" s="50"/>
      <c r="C260" s="50"/>
      <c r="D260" s="50"/>
      <c r="E260" s="50"/>
      <c r="F260" s="50"/>
      <c r="G260" s="50"/>
      <c r="H260" s="50"/>
      <c r="I260" s="50"/>
      <c r="J260" s="50"/>
      <c r="K260" s="50"/>
      <c r="L260" s="162"/>
      <c r="M260" s="162"/>
      <c r="N260" s="162"/>
    </row>
    <row r="261" spans="1:22">
      <c r="A261" s="55"/>
      <c r="B261" s="50"/>
      <c r="C261" s="50"/>
      <c r="D261" s="50"/>
      <c r="E261" s="50"/>
      <c r="F261" s="50"/>
      <c r="G261" s="50"/>
      <c r="H261" s="50"/>
      <c r="I261" s="50"/>
      <c r="J261" s="50"/>
      <c r="K261" s="50"/>
      <c r="L261" s="162"/>
      <c r="M261" s="162"/>
      <c r="N261" s="162"/>
    </row>
    <row r="262" spans="1:22">
      <c r="A262" s="139" t="s">
        <v>188</v>
      </c>
      <c r="B262" s="140"/>
      <c r="C262" s="50"/>
      <c r="D262" s="50"/>
      <c r="E262" s="50"/>
      <c r="F262" s="45">
        <f>M250</f>
        <v>1223148.5999999996</v>
      </c>
      <c r="G262" s="50"/>
      <c r="H262" s="50"/>
      <c r="I262" s="50"/>
      <c r="J262" s="50"/>
      <c r="K262" s="50"/>
      <c r="L262" s="162"/>
      <c r="M262" s="162"/>
      <c r="N262" s="162"/>
    </row>
    <row r="263" spans="1:22">
      <c r="A263" s="139" t="s">
        <v>181</v>
      </c>
      <c r="B263" s="140"/>
      <c r="C263" s="50"/>
      <c r="D263" s="50"/>
      <c r="E263" s="50"/>
      <c r="F263" s="50">
        <v>8</v>
      </c>
      <c r="G263" s="50"/>
      <c r="H263" s="50"/>
      <c r="I263" s="50"/>
      <c r="J263" s="50"/>
      <c r="K263" s="50"/>
      <c r="L263" s="162"/>
      <c r="M263" s="162"/>
      <c r="N263" s="162"/>
    </row>
    <row r="264" spans="1:22">
      <c r="A264" s="139" t="s">
        <v>175</v>
      </c>
      <c r="B264" s="140"/>
      <c r="C264" s="50"/>
      <c r="D264" s="50"/>
      <c r="E264" s="50"/>
      <c r="F264" s="65">
        <f>F262*F263</f>
        <v>9785188.799999997</v>
      </c>
      <c r="G264" s="50"/>
      <c r="H264" s="50"/>
      <c r="I264" s="50"/>
      <c r="J264" s="50"/>
      <c r="K264" s="50"/>
      <c r="L264" s="162"/>
      <c r="M264" s="162"/>
      <c r="N264" s="162"/>
    </row>
    <row r="265" spans="1:22">
      <c r="A265" s="139" t="s">
        <v>169</v>
      </c>
      <c r="B265" s="140"/>
      <c r="C265" s="50"/>
      <c r="D265" s="50"/>
      <c r="E265" s="50"/>
      <c r="F265" s="53">
        <f>K245</f>
        <v>5286256</v>
      </c>
      <c r="G265" s="50"/>
      <c r="H265" s="50"/>
      <c r="I265" s="50"/>
      <c r="J265" s="50"/>
      <c r="K265" s="50"/>
      <c r="L265" s="162"/>
      <c r="M265" s="162"/>
      <c r="N265" s="162"/>
    </row>
    <row r="266" spans="1:22">
      <c r="A266" s="143" t="s">
        <v>189</v>
      </c>
      <c r="B266" s="143"/>
      <c r="C266" s="50"/>
      <c r="D266" s="50"/>
      <c r="E266" s="50"/>
      <c r="F266" s="70">
        <v>0.11</v>
      </c>
      <c r="G266" s="50"/>
      <c r="H266" s="50"/>
      <c r="I266" s="50"/>
      <c r="J266" s="50"/>
      <c r="K266" s="50"/>
      <c r="L266" s="162"/>
      <c r="M266" s="162"/>
      <c r="N266" s="162"/>
    </row>
    <row r="267" spans="1:22">
      <c r="A267" s="143" t="s">
        <v>190</v>
      </c>
      <c r="B267" s="143"/>
      <c r="C267" s="50"/>
      <c r="D267" s="50"/>
      <c r="E267" s="50"/>
      <c r="F267" s="65">
        <f>2026-2024</f>
        <v>2</v>
      </c>
      <c r="G267" s="50"/>
      <c r="H267" s="50"/>
      <c r="I267" s="50"/>
      <c r="J267" s="50"/>
      <c r="K267" s="50"/>
      <c r="L267" s="162"/>
      <c r="M267" s="162"/>
      <c r="N267" s="162"/>
    </row>
    <row r="268" spans="1:22">
      <c r="A268" s="143" t="s">
        <v>191</v>
      </c>
      <c r="B268" s="143"/>
      <c r="C268" s="50"/>
      <c r="D268" s="50"/>
      <c r="E268" s="50"/>
      <c r="F268" s="65">
        <f>(F264-F265)/((1+F266)^F267)</f>
        <v>3651434.7861374859</v>
      </c>
      <c r="G268" s="50"/>
      <c r="H268" s="50"/>
      <c r="I268" s="50"/>
      <c r="J268" s="50"/>
      <c r="K268" s="50"/>
      <c r="L268" s="162"/>
      <c r="M268" s="162"/>
      <c r="N268" s="162"/>
    </row>
    <row r="269" spans="1:22">
      <c r="A269" s="143" t="s">
        <v>171</v>
      </c>
      <c r="B269" s="143"/>
      <c r="C269" s="50"/>
      <c r="D269" s="50"/>
      <c r="E269" s="50"/>
      <c r="F269" s="65">
        <f>K44</f>
        <v>117189</v>
      </c>
      <c r="G269" s="50"/>
      <c r="H269" s="50"/>
      <c r="I269" s="50"/>
      <c r="J269" s="50"/>
      <c r="K269" s="50"/>
      <c r="L269" s="162"/>
      <c r="M269" s="162"/>
      <c r="N269" s="162"/>
    </row>
    <row r="270" spans="1:22">
      <c r="A270" s="143" t="s">
        <v>192</v>
      </c>
      <c r="B270" s="143"/>
      <c r="C270" s="50"/>
      <c r="D270" s="50"/>
      <c r="E270" s="50"/>
      <c r="F270" s="92">
        <f>F268/F269</f>
        <v>31.158511346094649</v>
      </c>
      <c r="G270" s="50"/>
      <c r="H270" s="50"/>
      <c r="I270" s="50"/>
      <c r="J270" s="50"/>
      <c r="K270" s="50"/>
      <c r="L270" s="162"/>
      <c r="M270" s="162"/>
      <c r="N270" s="162"/>
    </row>
    <row r="271" spans="1:22">
      <c r="A271" s="143" t="s">
        <v>182</v>
      </c>
      <c r="B271" s="143"/>
      <c r="C271" s="50"/>
      <c r="D271" s="50"/>
      <c r="E271" s="50"/>
      <c r="F271" s="50">
        <v>23</v>
      </c>
      <c r="G271" s="50"/>
      <c r="H271" s="50"/>
      <c r="I271" s="50"/>
      <c r="J271" s="50"/>
      <c r="K271" s="50"/>
      <c r="L271" s="162"/>
      <c r="M271" s="162"/>
      <c r="N271" s="162"/>
    </row>
    <row r="272" spans="1:22">
      <c r="A272" s="143" t="s">
        <v>193</v>
      </c>
      <c r="B272" s="143"/>
      <c r="C272" s="50"/>
      <c r="D272" s="50"/>
      <c r="E272" s="50"/>
      <c r="F272" s="67">
        <f>+F270/F271-1</f>
        <v>0.35471788461281073</v>
      </c>
      <c r="G272" s="50"/>
      <c r="H272" s="50"/>
      <c r="I272" s="50"/>
      <c r="J272" s="50"/>
      <c r="K272" s="50"/>
      <c r="L272" s="162"/>
      <c r="M272" s="162"/>
      <c r="N272" s="162"/>
    </row>
  </sheetData>
  <mergeCells count="15">
    <mergeCell ref="A1:A2"/>
    <mergeCell ref="A266:B266"/>
    <mergeCell ref="A267:B267"/>
    <mergeCell ref="A242:B242"/>
    <mergeCell ref="A241:B241"/>
    <mergeCell ref="A268:B268"/>
    <mergeCell ref="A269:B269"/>
    <mergeCell ref="A270:B270"/>
    <mergeCell ref="A271:B271"/>
    <mergeCell ref="A272:B272"/>
    <mergeCell ref="AO1:AR1"/>
    <mergeCell ref="AI1:AM1"/>
    <mergeCell ref="AD1:AG1"/>
    <mergeCell ref="Y1:AB1"/>
    <mergeCell ref="B1:N1"/>
  </mergeCells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40F78-1038-DE47-9705-7BFBB91DB019}">
  <dimension ref="A1:AL24"/>
  <sheetViews>
    <sheetView zoomScale="7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E27" sqref="AE27"/>
    </sheetView>
  </sheetViews>
  <sheetFormatPr baseColWidth="10" defaultRowHeight="16"/>
  <cols>
    <col min="1" max="1" width="36.33203125" bestFit="1" customWidth="1"/>
    <col min="2" max="13" width="12.6640625" bestFit="1" customWidth="1"/>
    <col min="14" max="14" width="6.83203125" bestFit="1" customWidth="1"/>
    <col min="16" max="16" width="11" bestFit="1" customWidth="1"/>
    <col min="18" max="21" width="11" bestFit="1" customWidth="1"/>
    <col min="23" max="23" width="11" bestFit="1" customWidth="1"/>
    <col min="24" max="26" width="12.6640625" bestFit="1" customWidth="1"/>
    <col min="28" max="28" width="11" bestFit="1" customWidth="1"/>
    <col min="29" max="32" width="12.6640625" bestFit="1" customWidth="1"/>
    <col min="34" max="34" width="11" bestFit="1" customWidth="1"/>
    <col min="35" max="37" width="12.6640625" bestFit="1" customWidth="1"/>
  </cols>
  <sheetData>
    <row r="1" spans="1:38">
      <c r="A1" s="3" t="s">
        <v>204</v>
      </c>
      <c r="B1" s="122">
        <v>2015</v>
      </c>
      <c r="C1" s="122">
        <f>B1+1</f>
        <v>2016</v>
      </c>
      <c r="D1" s="122">
        <f t="shared" ref="D1:K1" si="0">C1+1</f>
        <v>2017</v>
      </c>
      <c r="E1" s="122">
        <f t="shared" si="0"/>
        <v>2018</v>
      </c>
      <c r="F1" s="122">
        <f t="shared" si="0"/>
        <v>2019</v>
      </c>
      <c r="G1" s="122">
        <f t="shared" si="0"/>
        <v>2020</v>
      </c>
      <c r="H1" s="122">
        <f t="shared" si="0"/>
        <v>2021</v>
      </c>
      <c r="I1" s="122">
        <f t="shared" si="0"/>
        <v>2022</v>
      </c>
      <c r="J1" s="122">
        <f t="shared" si="0"/>
        <v>2023</v>
      </c>
      <c r="K1" s="122">
        <f t="shared" si="0"/>
        <v>2024</v>
      </c>
      <c r="L1" s="122" t="s">
        <v>198</v>
      </c>
      <c r="M1" s="122" t="s">
        <v>199</v>
      </c>
      <c r="N1" s="122" t="s">
        <v>202</v>
      </c>
      <c r="O1" s="3"/>
      <c r="P1" s="3">
        <v>2022</v>
      </c>
      <c r="Q1" s="3"/>
      <c r="R1" s="147">
        <v>2023</v>
      </c>
      <c r="S1" s="147"/>
      <c r="T1" s="147"/>
      <c r="U1" s="147"/>
      <c r="V1" s="125"/>
      <c r="W1" s="147">
        <v>2024</v>
      </c>
      <c r="X1" s="147"/>
      <c r="Y1" s="147"/>
      <c r="Z1" s="147"/>
      <c r="AA1" s="122"/>
      <c r="AB1" s="148" t="s">
        <v>198</v>
      </c>
      <c r="AC1" s="148"/>
      <c r="AD1" s="148"/>
      <c r="AE1" s="148"/>
      <c r="AF1" s="148"/>
      <c r="AG1" s="122"/>
      <c r="AH1" s="148" t="s">
        <v>199</v>
      </c>
      <c r="AI1" s="148"/>
      <c r="AJ1" s="148"/>
      <c r="AK1" s="148"/>
    </row>
    <row r="2" spans="1:38">
      <c r="A2" s="3"/>
      <c r="O2" s="4"/>
      <c r="P2" s="72" t="s">
        <v>223</v>
      </c>
      <c r="Q2" s="3"/>
      <c r="R2" s="6" t="s">
        <v>220</v>
      </c>
      <c r="S2" s="6" t="s">
        <v>221</v>
      </c>
      <c r="T2" s="6" t="s">
        <v>222</v>
      </c>
      <c r="U2" s="6" t="s">
        <v>223</v>
      </c>
      <c r="V2" s="6"/>
      <c r="W2" s="6" t="s">
        <v>220</v>
      </c>
      <c r="X2" s="6" t="s">
        <v>221</v>
      </c>
      <c r="Y2" s="6" t="s">
        <v>222</v>
      </c>
      <c r="Z2" s="6" t="s">
        <v>223</v>
      </c>
      <c r="AB2" s="99" t="s">
        <v>220</v>
      </c>
      <c r="AC2" s="6" t="s">
        <v>220</v>
      </c>
      <c r="AD2" s="105" t="s">
        <v>221</v>
      </c>
      <c r="AE2" s="105" t="s">
        <v>222</v>
      </c>
      <c r="AF2" s="105" t="s">
        <v>223</v>
      </c>
      <c r="AH2" s="105" t="s">
        <v>220</v>
      </c>
      <c r="AI2" s="105" t="s">
        <v>221</v>
      </c>
      <c r="AJ2" s="105" t="s">
        <v>222</v>
      </c>
      <c r="AK2" s="105" t="s">
        <v>223</v>
      </c>
    </row>
    <row r="3" spans="1:38">
      <c r="A3" s="3" t="s">
        <v>219</v>
      </c>
      <c r="O3" s="4"/>
      <c r="P3" s="3"/>
      <c r="Q3" s="3"/>
      <c r="R3" s="6"/>
      <c r="S3" s="6"/>
      <c r="T3" s="6"/>
      <c r="U3" s="6"/>
      <c r="V3" s="6"/>
      <c r="W3" s="6"/>
      <c r="X3" s="6"/>
      <c r="Y3" s="6"/>
      <c r="AB3" s="99"/>
      <c r="AD3" s="99"/>
      <c r="AE3" s="99"/>
      <c r="AF3" s="99"/>
      <c r="AH3" s="99"/>
      <c r="AI3" s="99"/>
      <c r="AJ3" s="99"/>
      <c r="AK3" s="99"/>
    </row>
    <row r="4" spans="1:38">
      <c r="A4" s="2" t="s">
        <v>205</v>
      </c>
      <c r="W4">
        <v>151112</v>
      </c>
      <c r="AB4" s="99"/>
      <c r="AC4">
        <v>257155</v>
      </c>
      <c r="AD4" s="99"/>
      <c r="AE4" s="99"/>
      <c r="AF4" s="99"/>
      <c r="AH4" s="99"/>
      <c r="AI4" s="99"/>
      <c r="AJ4" s="99"/>
      <c r="AK4" s="99"/>
    </row>
    <row r="5" spans="1:38">
      <c r="A5" s="2" t="s">
        <v>206</v>
      </c>
      <c r="W5">
        <v>82624</v>
      </c>
      <c r="AB5" s="99"/>
      <c r="AC5">
        <v>183873</v>
      </c>
      <c r="AD5" s="99"/>
      <c r="AE5" s="99"/>
      <c r="AF5" s="99"/>
      <c r="AH5" s="99"/>
      <c r="AI5" s="99"/>
      <c r="AJ5" s="99"/>
      <c r="AK5" s="99"/>
    </row>
    <row r="6" spans="1:38">
      <c r="A6" s="2" t="s">
        <v>207</v>
      </c>
      <c r="W6">
        <v>45345</v>
      </c>
      <c r="AB6" s="99"/>
      <c r="AC6">
        <v>123947</v>
      </c>
      <c r="AD6" s="99"/>
      <c r="AE6" s="99"/>
      <c r="AF6" s="99"/>
      <c r="AH6" s="99"/>
      <c r="AI6" s="99"/>
      <c r="AJ6" s="99"/>
      <c r="AK6" s="99"/>
    </row>
    <row r="7" spans="1:38">
      <c r="A7" s="2" t="s">
        <v>208</v>
      </c>
      <c r="W7">
        <v>214692</v>
      </c>
      <c r="AB7" s="99"/>
      <c r="AC7">
        <v>201636</v>
      </c>
      <c r="AD7" s="99"/>
      <c r="AE7" s="99"/>
      <c r="AF7" s="99"/>
      <c r="AH7" s="99"/>
      <c r="AI7" s="99"/>
      <c r="AJ7" s="99"/>
      <c r="AK7" s="99"/>
    </row>
    <row r="8" spans="1:38">
      <c r="A8" s="121" t="s">
        <v>210</v>
      </c>
      <c r="W8">
        <f>SUM(W4:W7)</f>
        <v>493773</v>
      </c>
      <c r="AB8" s="99"/>
      <c r="AC8">
        <f>SUM(AC4:AC7)</f>
        <v>766611</v>
      </c>
      <c r="AD8" s="99"/>
      <c r="AE8" s="99"/>
      <c r="AF8" s="99"/>
      <c r="AH8" s="99"/>
      <c r="AI8" s="99"/>
      <c r="AJ8" s="99"/>
      <c r="AK8" s="99"/>
    </row>
    <row r="9" spans="1:38">
      <c r="A9" s="121" t="s">
        <v>215</v>
      </c>
      <c r="W9">
        <v>66487</v>
      </c>
      <c r="AB9" s="99"/>
      <c r="AC9">
        <v>60176</v>
      </c>
      <c r="AD9" s="99"/>
      <c r="AE9" s="99"/>
      <c r="AF9" s="99"/>
      <c r="AH9" s="99"/>
      <c r="AI9" s="99"/>
      <c r="AJ9" s="99"/>
      <c r="AK9" s="99"/>
    </row>
    <row r="10" spans="1:38">
      <c r="A10" s="123" t="s">
        <v>216</v>
      </c>
      <c r="B10" s="124">
        <f>B23+B21</f>
        <v>1035400</v>
      </c>
      <c r="C10" s="124">
        <f t="shared" ref="C10:AK10" si="1">C23+C21</f>
        <v>1166700</v>
      </c>
      <c r="D10" s="124">
        <f t="shared" si="1"/>
        <v>1314700</v>
      </c>
      <c r="E10" s="124">
        <f t="shared" si="1"/>
        <v>1361400</v>
      </c>
      <c r="F10" s="124">
        <f t="shared" si="1"/>
        <v>1639800</v>
      </c>
      <c r="G10" s="124">
        <f t="shared" si="1"/>
        <v>1964700</v>
      </c>
      <c r="H10" s="124">
        <f t="shared" si="1"/>
        <v>1935200</v>
      </c>
      <c r="I10" s="124">
        <f t="shared" si="1"/>
        <v>2275300</v>
      </c>
      <c r="J10" s="124">
        <f t="shared" si="1"/>
        <v>1943500</v>
      </c>
      <c r="K10" s="124">
        <f t="shared" si="1"/>
        <v>3505900</v>
      </c>
      <c r="L10" s="124">
        <f t="shared" si="1"/>
        <v>3735900</v>
      </c>
      <c r="M10" s="124">
        <f t="shared" si="1"/>
        <v>3966000</v>
      </c>
      <c r="N10" s="124">
        <f t="shared" si="1"/>
        <v>0</v>
      </c>
      <c r="P10" s="124">
        <f t="shared" si="1"/>
        <v>487700</v>
      </c>
      <c r="R10" s="124">
        <f t="shared" si="1"/>
        <v>462300</v>
      </c>
      <c r="S10" s="124">
        <f t="shared" si="1"/>
        <v>483500</v>
      </c>
      <c r="T10" s="124">
        <f t="shared" si="1"/>
        <v>484200</v>
      </c>
      <c r="U10" s="124">
        <f t="shared" si="1"/>
        <v>513500</v>
      </c>
      <c r="W10" s="124">
        <f>SUM(W8:W9)</f>
        <v>560260</v>
      </c>
      <c r="X10" s="124">
        <f t="shared" si="1"/>
        <v>950200</v>
      </c>
      <c r="Y10" s="124">
        <f t="shared" si="1"/>
        <v>962200</v>
      </c>
      <c r="Z10" s="124">
        <f t="shared" si="1"/>
        <v>962300</v>
      </c>
      <c r="AB10" s="126">
        <f t="shared" si="1"/>
        <v>670000</v>
      </c>
      <c r="AC10" s="124">
        <f>SUM(AC8:AC9)</f>
        <v>826787</v>
      </c>
      <c r="AD10" s="126">
        <f t="shared" si="1"/>
        <v>1028900</v>
      </c>
      <c r="AE10" s="126">
        <f t="shared" si="1"/>
        <v>1015000</v>
      </c>
      <c r="AF10" s="126">
        <f t="shared" si="1"/>
        <v>1022000</v>
      </c>
      <c r="AH10" s="126">
        <f t="shared" si="1"/>
        <v>710000</v>
      </c>
      <c r="AI10" s="126">
        <f t="shared" si="1"/>
        <v>1090000</v>
      </c>
      <c r="AJ10" s="126">
        <f t="shared" si="1"/>
        <v>1083000</v>
      </c>
      <c r="AK10" s="126">
        <f t="shared" si="1"/>
        <v>1083000</v>
      </c>
      <c r="AL10" s="124"/>
    </row>
    <row r="11" spans="1:38">
      <c r="A11" s="3" t="s">
        <v>218</v>
      </c>
      <c r="O11" s="4"/>
      <c r="P11" s="3"/>
      <c r="Q11" s="3"/>
      <c r="R11" s="6"/>
      <c r="S11" s="6"/>
      <c r="T11" s="6"/>
      <c r="U11" s="6"/>
      <c r="V11" s="6"/>
      <c r="W11" s="6"/>
      <c r="X11" s="6"/>
      <c r="Y11" s="6"/>
      <c r="AB11" s="99"/>
      <c r="AC11" s="99"/>
      <c r="AD11" s="99"/>
      <c r="AE11" s="99"/>
      <c r="AF11" s="99"/>
      <c r="AH11" s="99"/>
      <c r="AI11" s="99"/>
      <c r="AJ11" s="99"/>
      <c r="AK11" s="99"/>
    </row>
    <row r="12" spans="1:38">
      <c r="A12" s="121" t="s">
        <v>210</v>
      </c>
      <c r="W12">
        <v>49646</v>
      </c>
      <c r="AB12" s="99"/>
      <c r="AC12">
        <v>54110</v>
      </c>
      <c r="AD12" s="99"/>
      <c r="AE12" s="99"/>
      <c r="AF12" s="99"/>
      <c r="AH12" s="99"/>
      <c r="AI12" s="99"/>
      <c r="AJ12" s="99"/>
      <c r="AK12" s="99"/>
    </row>
    <row r="13" spans="1:38" ht="32">
      <c r="A13" s="2" t="s">
        <v>211</v>
      </c>
      <c r="W13">
        <v>56676</v>
      </c>
      <c r="AB13" s="99"/>
      <c r="AC13">
        <v>55507</v>
      </c>
      <c r="AD13" s="99"/>
      <c r="AE13" s="99"/>
      <c r="AF13" s="99"/>
      <c r="AH13" s="99"/>
      <c r="AI13" s="99"/>
      <c r="AJ13" s="99"/>
      <c r="AK13" s="99"/>
    </row>
    <row r="14" spans="1:38">
      <c r="A14" s="2" t="s">
        <v>212</v>
      </c>
      <c r="W14">
        <v>72387</v>
      </c>
      <c r="AB14" s="99"/>
      <c r="AC14">
        <v>73306</v>
      </c>
      <c r="AD14" s="99"/>
      <c r="AE14" s="99"/>
      <c r="AF14" s="99"/>
      <c r="AH14" s="99"/>
      <c r="AI14" s="99"/>
      <c r="AJ14" s="99"/>
      <c r="AK14" s="99"/>
    </row>
    <row r="15" spans="1:38">
      <c r="A15" s="2" t="s">
        <v>213</v>
      </c>
      <c r="W15">
        <v>37384</v>
      </c>
      <c r="AB15" s="99"/>
      <c r="AC15">
        <v>71410</v>
      </c>
      <c r="AD15" s="99"/>
      <c r="AE15" s="99"/>
      <c r="AF15" s="99"/>
      <c r="AH15" s="99"/>
      <c r="AI15" s="99"/>
      <c r="AJ15" s="99"/>
      <c r="AK15" s="99"/>
    </row>
    <row r="16" spans="1:38">
      <c r="A16" s="2" t="s">
        <v>214</v>
      </c>
      <c r="W16">
        <v>3438</v>
      </c>
      <c r="AB16" s="99"/>
      <c r="AC16">
        <v>45340</v>
      </c>
      <c r="AD16" s="99"/>
      <c r="AE16" s="99"/>
      <c r="AF16" s="99"/>
      <c r="AH16" s="99"/>
      <c r="AI16" s="99"/>
      <c r="AJ16" s="99"/>
      <c r="AK16" s="99"/>
    </row>
    <row r="17" spans="1:37">
      <c r="A17" s="121" t="s">
        <v>215</v>
      </c>
      <c r="W17">
        <f>SUM(W13:W16)</f>
        <v>169885</v>
      </c>
      <c r="AB17" s="99"/>
      <c r="AC17">
        <f>SUM(AC13:AC16)</f>
        <v>245563</v>
      </c>
      <c r="AD17" s="99"/>
      <c r="AE17" s="99"/>
      <c r="AF17" s="99"/>
      <c r="AH17" s="99"/>
      <c r="AI17" s="99"/>
      <c r="AJ17" s="99"/>
      <c r="AK17" s="99"/>
    </row>
    <row r="18" spans="1:37" ht="32">
      <c r="A18" s="123" t="s">
        <v>217</v>
      </c>
      <c r="B18" s="124">
        <f>B22</f>
        <v>347100</v>
      </c>
      <c r="C18" s="124">
        <f t="shared" ref="C18:N18" si="2">C22</f>
        <v>250700</v>
      </c>
      <c r="D18" s="124">
        <f t="shared" si="2"/>
        <v>244600</v>
      </c>
      <c r="E18" s="124">
        <f t="shared" si="2"/>
        <v>233200</v>
      </c>
      <c r="F18" s="124">
        <f t="shared" si="2"/>
        <v>428400</v>
      </c>
      <c r="G18" s="124">
        <f t="shared" si="2"/>
        <v>344600</v>
      </c>
      <c r="H18" s="124">
        <f t="shared" si="2"/>
        <v>320900</v>
      </c>
      <c r="I18" s="124">
        <f t="shared" si="2"/>
        <v>512100</v>
      </c>
      <c r="J18" s="124">
        <f t="shared" si="2"/>
        <v>612600</v>
      </c>
      <c r="K18" s="124">
        <f t="shared" si="2"/>
        <v>777900</v>
      </c>
      <c r="L18" s="124">
        <f t="shared" si="2"/>
        <v>815000</v>
      </c>
      <c r="M18" s="124">
        <f t="shared" si="2"/>
        <v>839200</v>
      </c>
      <c r="N18" s="124">
        <f t="shared" si="2"/>
        <v>0</v>
      </c>
      <c r="R18" s="124">
        <f t="shared" ref="R18:U18" si="3">R22</f>
        <v>112800</v>
      </c>
      <c r="S18" s="124">
        <f t="shared" si="3"/>
        <v>180000</v>
      </c>
      <c r="T18" s="124">
        <f t="shared" si="3"/>
        <v>167200</v>
      </c>
      <c r="U18" s="124">
        <f t="shared" si="3"/>
        <v>152600</v>
      </c>
      <c r="W18" s="124">
        <f>W17+W12</f>
        <v>219531</v>
      </c>
      <c r="X18" s="124">
        <f t="shared" ref="X18:AK18" si="4">X22</f>
        <v>275200</v>
      </c>
      <c r="Y18" s="124">
        <f t="shared" si="4"/>
        <v>166400</v>
      </c>
      <c r="Z18" s="124">
        <f t="shared" si="4"/>
        <v>187700</v>
      </c>
      <c r="AB18" s="126">
        <f t="shared" si="4"/>
        <v>155000</v>
      </c>
      <c r="AC18" s="124">
        <f>AC17+AC12</f>
        <v>299673</v>
      </c>
      <c r="AD18" s="126">
        <f t="shared" si="4"/>
        <v>290000</v>
      </c>
      <c r="AE18" s="126">
        <f t="shared" si="4"/>
        <v>175000</v>
      </c>
      <c r="AF18" s="126">
        <f t="shared" si="4"/>
        <v>195000</v>
      </c>
      <c r="AH18" s="126">
        <f t="shared" si="4"/>
        <v>160000</v>
      </c>
      <c r="AI18" s="126">
        <f t="shared" si="4"/>
        <v>291200</v>
      </c>
      <c r="AJ18" s="126">
        <f t="shared" si="4"/>
        <v>188000</v>
      </c>
      <c r="AK18" s="126">
        <f t="shared" si="4"/>
        <v>200000</v>
      </c>
    </row>
    <row r="19" spans="1:37">
      <c r="A19" s="123"/>
      <c r="AB19" s="99"/>
      <c r="AD19" s="99"/>
      <c r="AE19" s="99"/>
      <c r="AF19" s="99"/>
      <c r="AH19" s="99"/>
      <c r="AI19" s="99"/>
      <c r="AJ19" s="99"/>
      <c r="AK19" s="99"/>
    </row>
    <row r="20" spans="1:37">
      <c r="A20" s="122" t="s">
        <v>209</v>
      </c>
      <c r="AB20" s="99"/>
      <c r="AD20" s="99"/>
      <c r="AE20" s="99"/>
      <c r="AF20" s="99"/>
      <c r="AH20" s="99"/>
      <c r="AI20" s="99"/>
      <c r="AJ20" s="99"/>
      <c r="AK20" s="99"/>
    </row>
    <row r="21" spans="1:37">
      <c r="A21" s="71" t="s">
        <v>114</v>
      </c>
      <c r="B21" s="19">
        <f>499.9*1000</f>
        <v>499900</v>
      </c>
      <c r="C21" s="19">
        <f>559.2*1000</f>
        <v>559200</v>
      </c>
      <c r="D21" s="19">
        <f>629.6*1000</f>
        <v>629600</v>
      </c>
      <c r="E21" s="19">
        <f>589.3*1000</f>
        <v>589300</v>
      </c>
      <c r="F21" s="19">
        <f>684.2*1000</f>
        <v>684200</v>
      </c>
      <c r="G21" s="19">
        <f>826.6*1000</f>
        <v>826600</v>
      </c>
      <c r="H21" s="19">
        <f>868.9*1000</f>
        <v>868900</v>
      </c>
      <c r="I21" s="19">
        <f>1188.6*1000</f>
        <v>1188600</v>
      </c>
      <c r="J21" s="19">
        <f>SUM(R21:U21)</f>
        <v>1210700</v>
      </c>
      <c r="K21" s="19">
        <f>SUM(W21:Z21)</f>
        <v>2141700</v>
      </c>
      <c r="L21" s="19">
        <f>SUM(AB21:AF21)</f>
        <v>2253000</v>
      </c>
      <c r="M21" s="19">
        <f>SUM(AH21:AK21)</f>
        <v>2343000</v>
      </c>
      <c r="N21" s="19"/>
      <c r="O21" s="20"/>
      <c r="P21" s="20">
        <f>304.9*1000</f>
        <v>304900</v>
      </c>
      <c r="Q21" s="20"/>
      <c r="R21" s="20">
        <f>312.1*1000</f>
        <v>312100</v>
      </c>
      <c r="S21" s="20">
        <f>300.5*1000</f>
        <v>300500</v>
      </c>
      <c r="T21" s="20">
        <f>302.4*1000</f>
        <v>302400</v>
      </c>
      <c r="U21" s="20">
        <f>295.7*1000</f>
        <v>295700</v>
      </c>
      <c r="V21" s="20"/>
      <c r="W21" s="20">
        <f>398.5*1000</f>
        <v>398500</v>
      </c>
      <c r="X21" s="20">
        <f>585.3*1000</f>
        <v>585300</v>
      </c>
      <c r="Y21" s="20">
        <f>581.4*1000</f>
        <v>581400</v>
      </c>
      <c r="Z21" s="21">
        <f>576.5*1000</f>
        <v>576500</v>
      </c>
      <c r="AA21" s="21"/>
      <c r="AB21" s="100">
        <v>415000</v>
      </c>
      <c r="AC21" s="18"/>
      <c r="AD21" s="100">
        <v>630000</v>
      </c>
      <c r="AE21" s="100">
        <v>606000</v>
      </c>
      <c r="AF21" s="100">
        <v>602000</v>
      </c>
      <c r="AG21" s="18"/>
      <c r="AH21" s="100">
        <v>432000</v>
      </c>
      <c r="AI21" s="100">
        <v>650000</v>
      </c>
      <c r="AJ21" s="100">
        <v>633000</v>
      </c>
      <c r="AK21" s="100">
        <v>628000</v>
      </c>
    </row>
    <row r="22" spans="1:37">
      <c r="A22" s="71" t="s">
        <v>115</v>
      </c>
      <c r="B22" s="19">
        <f>347.1*1000</f>
        <v>347100</v>
      </c>
      <c r="C22" s="19">
        <f>250.7*1000</f>
        <v>250700</v>
      </c>
      <c r="D22" s="19">
        <f>244.6*1000</f>
        <v>244600</v>
      </c>
      <c r="E22" s="19">
        <f>233.2*1000</f>
        <v>233200</v>
      </c>
      <c r="F22" s="19">
        <f>428.4*1000</f>
        <v>428400</v>
      </c>
      <c r="G22" s="19">
        <f>344.6*1000</f>
        <v>344600</v>
      </c>
      <c r="H22" s="19">
        <f>320.9*1000</f>
        <v>320900</v>
      </c>
      <c r="I22" s="19">
        <f>512.1*1000</f>
        <v>512100</v>
      </c>
      <c r="J22" s="19">
        <f t="shared" ref="J22:J23" si="5">SUM(R22:U22)</f>
        <v>612600</v>
      </c>
      <c r="K22" s="19">
        <f t="shared" ref="K22" si="6">SUM(W22:Z22)</f>
        <v>777900</v>
      </c>
      <c r="L22" s="19">
        <f>SUM(AB22:AF22)</f>
        <v>815000</v>
      </c>
      <c r="M22" s="19">
        <f>SUM(AH22:AK22)</f>
        <v>839200</v>
      </c>
      <c r="N22" s="19"/>
      <c r="O22" s="20"/>
      <c r="P22" s="20">
        <f>119*1000</f>
        <v>119000</v>
      </c>
      <c r="Q22" s="20"/>
      <c r="R22" s="20">
        <f>112.8*1000</f>
        <v>112800</v>
      </c>
      <c r="S22" s="20">
        <f>180*1000</f>
        <v>180000</v>
      </c>
      <c r="T22" s="20">
        <f>167.2*1000</f>
        <v>167200</v>
      </c>
      <c r="U22" s="20">
        <f>152.6*1000</f>
        <v>152600</v>
      </c>
      <c r="V22" s="20"/>
      <c r="W22" s="20">
        <f>148.6*1000</f>
        <v>148600</v>
      </c>
      <c r="X22" s="20">
        <f>275.2*1000</f>
        <v>275200</v>
      </c>
      <c r="Y22" s="20">
        <f>166.4*1000</f>
        <v>166400</v>
      </c>
      <c r="Z22" s="21">
        <f>187.7*1000</f>
        <v>187700</v>
      </c>
      <c r="AA22" s="21"/>
      <c r="AB22" s="100">
        <v>155000</v>
      </c>
      <c r="AC22" s="18"/>
      <c r="AD22" s="100">
        <v>290000</v>
      </c>
      <c r="AE22" s="100">
        <v>175000</v>
      </c>
      <c r="AF22" s="100">
        <v>195000</v>
      </c>
      <c r="AG22" s="18"/>
      <c r="AH22" s="100">
        <v>160000</v>
      </c>
      <c r="AI22" s="100">
        <v>291200</v>
      </c>
      <c r="AJ22" s="100">
        <v>188000</v>
      </c>
      <c r="AK22" s="100">
        <v>200000</v>
      </c>
    </row>
    <row r="23" spans="1:37">
      <c r="A23" s="71" t="s">
        <v>116</v>
      </c>
      <c r="B23" s="19">
        <f>535.5*1000</f>
        <v>535500</v>
      </c>
      <c r="C23" s="19">
        <f>607.5*1000</f>
        <v>607500</v>
      </c>
      <c r="D23" s="19">
        <f>685.1*1000</f>
        <v>685100</v>
      </c>
      <c r="E23" s="19">
        <f>772.1*1000</f>
        <v>772100</v>
      </c>
      <c r="F23" s="19">
        <f>955.6*1000</f>
        <v>955600</v>
      </c>
      <c r="G23" s="19">
        <f>1138.1*1000</f>
        <v>1138100</v>
      </c>
      <c r="H23" s="19">
        <f>1066.3*1000</f>
        <v>1066300</v>
      </c>
      <c r="I23" s="19">
        <f>1086.7*1000</f>
        <v>1086700</v>
      </c>
      <c r="J23" s="19">
        <f t="shared" si="5"/>
        <v>732800</v>
      </c>
      <c r="K23" s="19">
        <f>SUM(W23:Z23)</f>
        <v>1364200</v>
      </c>
      <c r="L23" s="19">
        <f>SUM(AB23:AF23)</f>
        <v>1482900</v>
      </c>
      <c r="M23" s="19">
        <f>SUM(AH23:AK23)</f>
        <v>1623000</v>
      </c>
      <c r="N23" s="19"/>
      <c r="O23" s="20"/>
      <c r="P23" s="20">
        <f>(277.8-95)*1000</f>
        <v>182800</v>
      </c>
      <c r="Q23" s="20"/>
      <c r="R23" s="20">
        <f>(253.3-103.1)*1000</f>
        <v>150200.00000000003</v>
      </c>
      <c r="S23" s="20">
        <f>(264.2-81.2)*1000</f>
        <v>183000</v>
      </c>
      <c r="T23" s="20">
        <f>(244.5-62.7)*1000</f>
        <v>181800</v>
      </c>
      <c r="U23" s="20">
        <f>217.8*1000</f>
        <v>217800</v>
      </c>
      <c r="V23" s="20"/>
      <c r="W23" s="20">
        <f>232.7*1000</f>
        <v>232700</v>
      </c>
      <c r="X23" s="20">
        <f>364.9*1000</f>
        <v>364900</v>
      </c>
      <c r="Y23" s="20">
        <f>380.8*1000</f>
        <v>380800</v>
      </c>
      <c r="Z23" s="21">
        <f>385.8*1000</f>
        <v>385800</v>
      </c>
      <c r="AA23" s="21"/>
      <c r="AB23" s="100">
        <v>255000</v>
      </c>
      <c r="AC23" s="18"/>
      <c r="AD23" s="100">
        <v>398900</v>
      </c>
      <c r="AE23" s="100">
        <v>409000</v>
      </c>
      <c r="AF23" s="100">
        <v>420000</v>
      </c>
      <c r="AG23" s="18"/>
      <c r="AH23" s="100">
        <v>278000</v>
      </c>
      <c r="AI23" s="100">
        <v>440000</v>
      </c>
      <c r="AJ23" s="100">
        <v>450000</v>
      </c>
      <c r="AK23" s="100">
        <v>455000</v>
      </c>
    </row>
    <row r="24" spans="1:37" ht="17">
      <c r="A24" s="77" t="s">
        <v>35</v>
      </c>
      <c r="B24" s="119">
        <f t="shared" ref="B24:L24" si="7">B21+B22+B23</f>
        <v>1382500</v>
      </c>
      <c r="C24" s="119">
        <f t="shared" si="7"/>
        <v>1417400</v>
      </c>
      <c r="D24" s="119">
        <f t="shared" si="7"/>
        <v>1559300</v>
      </c>
      <c r="E24" s="119">
        <f t="shared" si="7"/>
        <v>1594600</v>
      </c>
      <c r="F24" s="119">
        <f t="shared" si="7"/>
        <v>2068200</v>
      </c>
      <c r="G24" s="119">
        <f t="shared" si="7"/>
        <v>2309300</v>
      </c>
      <c r="H24" s="119">
        <f t="shared" si="7"/>
        <v>2256100</v>
      </c>
      <c r="I24" s="119">
        <f t="shared" si="7"/>
        <v>2787400</v>
      </c>
      <c r="J24" s="119">
        <f t="shared" si="7"/>
        <v>2556100</v>
      </c>
      <c r="K24" s="119">
        <f t="shared" si="7"/>
        <v>4283800</v>
      </c>
      <c r="L24" s="119">
        <f t="shared" si="7"/>
        <v>4550900</v>
      </c>
      <c r="M24" s="120">
        <f>SUM(AH24:AK24)</f>
        <v>4805200</v>
      </c>
      <c r="N24" s="79"/>
      <c r="P24" s="78">
        <f>P21+P22+P23</f>
        <v>606700</v>
      </c>
      <c r="Q24" s="20"/>
      <c r="R24" s="78">
        <f>R21+R22+R23</f>
        <v>575100</v>
      </c>
      <c r="S24" s="78">
        <f>S21+S22+S23</f>
        <v>663500</v>
      </c>
      <c r="T24" s="78">
        <f>T21+T22+T23</f>
        <v>651400</v>
      </c>
      <c r="U24" s="78">
        <f>U21+U22+U23</f>
        <v>666100</v>
      </c>
      <c r="V24" s="80"/>
      <c r="W24" s="78">
        <f>W21+W22+W23</f>
        <v>779800</v>
      </c>
      <c r="X24" s="78">
        <f>X21+X22+X23</f>
        <v>1225400</v>
      </c>
      <c r="Y24" s="78">
        <f>Y21+Y22+Y23</f>
        <v>1128600</v>
      </c>
      <c r="Z24" s="78">
        <f>Z21+Z22+Z23</f>
        <v>1150000</v>
      </c>
      <c r="AB24" s="78">
        <f>AB21+AB22+AB23</f>
        <v>825000</v>
      </c>
      <c r="AC24" s="79">
        <v>1126460</v>
      </c>
      <c r="AD24" s="78">
        <f>AD21+AD22+AD23</f>
        <v>1318900</v>
      </c>
      <c r="AE24" s="78">
        <f>AE21+AE22+AE23</f>
        <v>1190000</v>
      </c>
      <c r="AF24" s="78">
        <f>AF21+AF22+AF23</f>
        <v>1217000</v>
      </c>
      <c r="AG24" s="18"/>
      <c r="AH24" s="78">
        <f>AH21+AH22+AH23</f>
        <v>870000</v>
      </c>
      <c r="AI24" s="78">
        <f>AI21+AI22+AI23</f>
        <v>1381200</v>
      </c>
      <c r="AJ24" s="78">
        <f>AJ21+AJ22+AJ23</f>
        <v>1271000</v>
      </c>
      <c r="AK24" s="78">
        <f>AK21+AK22+AK23</f>
        <v>1283000</v>
      </c>
    </row>
  </sheetData>
  <mergeCells count="4">
    <mergeCell ref="W1:Z1"/>
    <mergeCell ref="R1:U1"/>
    <mergeCell ref="AB1:AF1"/>
    <mergeCell ref="AH1:AK1"/>
  </mergeCells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9A092-A24E-BF4B-B5F2-50E8E5E1E255}">
  <dimension ref="A1:I41"/>
  <sheetViews>
    <sheetView zoomScale="81" workbookViewId="0"/>
  </sheetViews>
  <sheetFormatPr baseColWidth="10" defaultRowHeight="16"/>
  <cols>
    <col min="2" max="3" width="14" customWidth="1"/>
    <col min="4" max="4" width="16" customWidth="1"/>
    <col min="6" max="6" width="14" customWidth="1"/>
    <col min="7" max="7" width="11.33203125" customWidth="1"/>
    <col min="8" max="8" width="12.5" customWidth="1"/>
    <col min="9" max="9" width="14" customWidth="1"/>
  </cols>
  <sheetData>
    <row r="1" spans="1:9" ht="80">
      <c r="A1" s="1" t="s">
        <v>50</v>
      </c>
      <c r="B1" s="2" t="s">
        <v>108</v>
      </c>
      <c r="C1" s="2" t="s">
        <v>107</v>
      </c>
      <c r="D1" s="2" t="s">
        <v>106</v>
      </c>
      <c r="E1" s="2" t="s">
        <v>105</v>
      </c>
      <c r="F1" s="2" t="s">
        <v>59</v>
      </c>
      <c r="G1" s="2" t="s">
        <v>52</v>
      </c>
      <c r="H1" s="2" t="s">
        <v>51</v>
      </c>
      <c r="I1" s="2" t="s">
        <v>1</v>
      </c>
    </row>
    <row r="2" spans="1:9" ht="32">
      <c r="A2" s="3" t="s">
        <v>2</v>
      </c>
      <c r="I2" s="4" t="s">
        <v>3</v>
      </c>
    </row>
    <row r="3" spans="1:9" ht="48">
      <c r="A3" s="4" t="s">
        <v>4</v>
      </c>
      <c r="B3" s="5">
        <v>42088</v>
      </c>
      <c r="C3" s="5">
        <v>130098</v>
      </c>
      <c r="D3" s="5">
        <v>71446</v>
      </c>
      <c r="E3" s="5">
        <v>261701</v>
      </c>
      <c r="F3" s="5">
        <v>304309</v>
      </c>
      <c r="G3" s="5">
        <v>295949</v>
      </c>
      <c r="H3" s="5">
        <v>310459</v>
      </c>
      <c r="I3" s="5">
        <v>1348854</v>
      </c>
    </row>
    <row r="4" spans="1:9" ht="32">
      <c r="A4" s="4" t="s">
        <v>150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6">
        <v>30532</v>
      </c>
    </row>
    <row r="5" spans="1:9" ht="48">
      <c r="A5" s="4" t="s">
        <v>5</v>
      </c>
      <c r="B5" s="6">
        <v>286724</v>
      </c>
      <c r="C5" s="6">
        <v>263721</v>
      </c>
      <c r="D5" s="6">
        <v>267665</v>
      </c>
      <c r="E5" s="6">
        <v>300307</v>
      </c>
      <c r="F5" s="6">
        <v>330698</v>
      </c>
      <c r="G5" s="6">
        <v>238652</v>
      </c>
      <c r="H5" s="6">
        <v>359269</v>
      </c>
      <c r="I5" s="6">
        <v>419934</v>
      </c>
    </row>
    <row r="6" spans="1:9">
      <c r="A6" s="4" t="s">
        <v>6</v>
      </c>
      <c r="B6" s="6">
        <v>145161</v>
      </c>
      <c r="C6" s="6">
        <v>163201</v>
      </c>
      <c r="D6" s="6">
        <v>196307</v>
      </c>
      <c r="E6" s="6">
        <v>234518</v>
      </c>
      <c r="F6" s="6">
        <v>294416</v>
      </c>
      <c r="G6" s="6">
        <v>336672</v>
      </c>
      <c r="H6" s="6">
        <v>341890</v>
      </c>
      <c r="I6" s="6">
        <v>268563</v>
      </c>
    </row>
    <row r="7" spans="1:9" ht="80">
      <c r="A7" s="4" t="s">
        <v>7</v>
      </c>
      <c r="B7" s="6">
        <v>47583</v>
      </c>
      <c r="C7" s="6">
        <v>57836</v>
      </c>
      <c r="D7" s="6">
        <v>77135</v>
      </c>
      <c r="E7" s="6">
        <v>90646</v>
      </c>
      <c r="F7" s="6">
        <v>116281</v>
      </c>
      <c r="G7" s="6">
        <v>119960</v>
      </c>
      <c r="H7" s="6">
        <v>147854</v>
      </c>
      <c r="I7" s="6">
        <v>176629</v>
      </c>
    </row>
    <row r="8" spans="1:9" ht="48">
      <c r="A8" s="4" t="s">
        <v>8</v>
      </c>
      <c r="B8" s="6">
        <f t="shared" ref="B8:F8" si="0">SUM(B3:B7)</f>
        <v>521556</v>
      </c>
      <c r="C8" s="6">
        <f t="shared" si="0"/>
        <v>614856</v>
      </c>
      <c r="D8" s="6">
        <f t="shared" si="0"/>
        <v>612553</v>
      </c>
      <c r="E8" s="6">
        <f t="shared" si="0"/>
        <v>887172</v>
      </c>
      <c r="F8" s="6">
        <f t="shared" si="0"/>
        <v>1045704</v>
      </c>
      <c r="G8" s="6">
        <f t="shared" ref="G8:I8" si="1">SUM(G3:G7)</f>
        <v>991233</v>
      </c>
      <c r="H8" s="6">
        <f t="shared" si="1"/>
        <v>1159472</v>
      </c>
      <c r="I8" s="6">
        <f t="shared" si="1"/>
        <v>2244512</v>
      </c>
    </row>
    <row r="9" spans="1:9" ht="80">
      <c r="A9" s="4" t="s">
        <v>9</v>
      </c>
      <c r="B9" s="6">
        <v>898197</v>
      </c>
      <c r="C9" s="6">
        <v>1108270</v>
      </c>
      <c r="D9" s="6">
        <v>1239987</v>
      </c>
      <c r="E9" s="6">
        <v>1215663</v>
      </c>
      <c r="F9" s="6">
        <v>2586735</v>
      </c>
      <c r="G9" s="6">
        <v>3050483</v>
      </c>
      <c r="H9" s="6">
        <v>3741912</v>
      </c>
      <c r="I9" s="6">
        <v>4378283</v>
      </c>
    </row>
    <row r="10" spans="1:9" ht="48">
      <c r="A10" s="4" t="s">
        <v>10</v>
      </c>
      <c r="B10" s="5">
        <v>486910</v>
      </c>
      <c r="C10" s="5">
        <v>540608</v>
      </c>
      <c r="D10" s="6">
        <v>722488</v>
      </c>
      <c r="E10" s="6">
        <v>909627</v>
      </c>
      <c r="F10" s="6">
        <v>308441</v>
      </c>
      <c r="G10" s="6">
        <v>340456</v>
      </c>
      <c r="H10" s="6">
        <v>356176</v>
      </c>
      <c r="I10" s="6">
        <v>281757</v>
      </c>
    </row>
    <row r="11" spans="1:9" ht="64">
      <c r="A11" s="4" t="s">
        <v>11</v>
      </c>
      <c r="B11" s="6">
        <v>33604</v>
      </c>
      <c r="C11" s="6">
        <v>41677</v>
      </c>
      <c r="D11" s="6">
        <v>31862</v>
      </c>
      <c r="E11" s="6">
        <v>22301</v>
      </c>
      <c r="F11" s="6">
        <v>14439</v>
      </c>
      <c r="G11" s="6">
        <v>9568</v>
      </c>
      <c r="H11" s="6">
        <v>236043</v>
      </c>
      <c r="I11" s="6">
        <v>201205</v>
      </c>
    </row>
    <row r="12" spans="1:9">
      <c r="A12" s="4" t="s">
        <v>12</v>
      </c>
      <c r="B12" s="6">
        <v>117040</v>
      </c>
      <c r="C12" s="6">
        <v>119876</v>
      </c>
      <c r="D12" s="6">
        <v>121085</v>
      </c>
      <c r="E12" s="6">
        <v>121719</v>
      </c>
      <c r="F12" s="6">
        <v>121197</v>
      </c>
      <c r="G12" s="6">
        <v>122300</v>
      </c>
      <c r="H12" s="6">
        <v>190113</v>
      </c>
      <c r="I12" s="6">
        <v>158542</v>
      </c>
    </row>
    <row r="13" spans="1:9">
      <c r="A13" s="4" t="s">
        <v>13</v>
      </c>
      <c r="B13" s="6">
        <v>340005</v>
      </c>
      <c r="C13" s="6">
        <v>529366</v>
      </c>
      <c r="D13" s="6">
        <v>686134</v>
      </c>
      <c r="E13" s="6">
        <v>758805</v>
      </c>
      <c r="F13" s="6">
        <v>807352</v>
      </c>
      <c r="G13" s="6">
        <v>835427</v>
      </c>
      <c r="H13" s="6">
        <v>705630</v>
      </c>
      <c r="I13" s="6">
        <v>466038</v>
      </c>
    </row>
    <row r="14" spans="1:9">
      <c r="A14" s="4" t="s">
        <v>14</v>
      </c>
      <c r="B14" s="6">
        <f t="shared" ref="B14:C14" si="2">SUM(B8:B13)</f>
        <v>2397312</v>
      </c>
      <c r="C14" s="6">
        <f t="shared" si="2"/>
        <v>2954653</v>
      </c>
      <c r="D14" s="6">
        <f>SUM(D8:D13)</f>
        <v>3414109</v>
      </c>
      <c r="E14" s="6">
        <f t="shared" ref="E14:H14" si="3">SUM(E8:E13)</f>
        <v>3915287</v>
      </c>
      <c r="F14" s="6">
        <v>4883868</v>
      </c>
      <c r="G14" s="6">
        <f t="shared" si="3"/>
        <v>5349467</v>
      </c>
      <c r="H14" s="6">
        <f t="shared" si="3"/>
        <v>6389346</v>
      </c>
      <c r="I14" s="6">
        <v>7730337</v>
      </c>
    </row>
    <row r="15" spans="1:9" ht="32">
      <c r="A15" s="3" t="s">
        <v>15</v>
      </c>
      <c r="I15" s="4" t="s">
        <v>3</v>
      </c>
    </row>
    <row r="16" spans="1:9" ht="32">
      <c r="A16" s="4" t="s">
        <v>16</v>
      </c>
      <c r="B16" s="6">
        <v>95645</v>
      </c>
      <c r="C16" s="6">
        <v>100270</v>
      </c>
      <c r="D16" s="6">
        <v>157481</v>
      </c>
      <c r="E16" s="6">
        <v>157275</v>
      </c>
      <c r="F16" s="6">
        <v>183601</v>
      </c>
      <c r="G16" s="6">
        <v>145134</v>
      </c>
      <c r="H16" s="6">
        <v>219088</v>
      </c>
      <c r="I16" s="6">
        <v>271548</v>
      </c>
    </row>
    <row r="17" spans="1:9" ht="48">
      <c r="A17" s="4" t="s">
        <v>17</v>
      </c>
      <c r="B17" s="6">
        <v>184344</v>
      </c>
      <c r="C17" s="6">
        <v>225247</v>
      </c>
      <c r="D17" s="6">
        <v>263676</v>
      </c>
      <c r="E17" s="6">
        <v>308268</v>
      </c>
      <c r="F17" s="6">
        <v>391190</v>
      </c>
      <c r="G17" s="6">
        <v>532831</v>
      </c>
      <c r="H17" s="6">
        <v>516422</v>
      </c>
      <c r="I17" s="6">
        <v>647232</v>
      </c>
    </row>
    <row r="18" spans="1:9" ht="64">
      <c r="A18" s="4" t="s">
        <v>18</v>
      </c>
      <c r="B18" s="6"/>
      <c r="C18" s="6"/>
      <c r="D18" s="6">
        <v>45300</v>
      </c>
      <c r="E18" s="6">
        <v>19937</v>
      </c>
      <c r="F18" s="6">
        <v>29788</v>
      </c>
      <c r="G18" s="6">
        <v>30472</v>
      </c>
      <c r="H18" s="6">
        <v>34911</v>
      </c>
      <c r="I18" s="6">
        <v>37939</v>
      </c>
    </row>
    <row r="19" spans="1:9" ht="48">
      <c r="A19" s="4" t="s">
        <v>19</v>
      </c>
      <c r="B19" s="6">
        <f t="shared" ref="B19:H19" si="4">B18+B17+B16</f>
        <v>279989</v>
      </c>
      <c r="C19" s="6">
        <f t="shared" si="4"/>
        <v>325517</v>
      </c>
      <c r="D19" s="6">
        <f t="shared" si="4"/>
        <v>466457</v>
      </c>
      <c r="E19" s="6">
        <f t="shared" si="4"/>
        <v>485480</v>
      </c>
      <c r="F19" s="6">
        <f t="shared" si="4"/>
        <v>604579</v>
      </c>
      <c r="G19" s="6">
        <f t="shared" si="4"/>
        <v>708437</v>
      </c>
      <c r="H19" s="6">
        <f t="shared" si="4"/>
        <v>770421</v>
      </c>
      <c r="I19" s="6">
        <f>I18+I17+I16</f>
        <v>956719</v>
      </c>
    </row>
    <row r="20" spans="1:9">
      <c r="A20" s="4" t="s">
        <v>20</v>
      </c>
      <c r="B20" s="6">
        <v>575304</v>
      </c>
      <c r="C20" s="6">
        <v>575380</v>
      </c>
      <c r="D20" s="6">
        <v>690886</v>
      </c>
      <c r="E20" s="6">
        <v>1282898</v>
      </c>
      <c r="F20" s="6">
        <v>1285497</v>
      </c>
      <c r="G20" s="6">
        <v>1683264</v>
      </c>
      <c r="H20" s="6">
        <v>1686225</v>
      </c>
      <c r="I20" s="6">
        <v>1689186</v>
      </c>
    </row>
    <row r="21" spans="1:9" ht="32">
      <c r="A21" s="4" t="s">
        <v>21</v>
      </c>
      <c r="B21" s="6">
        <v>370224</v>
      </c>
      <c r="C21" s="6">
        <v>273103</v>
      </c>
      <c r="D21" s="6">
        <v>287519</v>
      </c>
      <c r="E21" s="6">
        <v>110005</v>
      </c>
      <c r="F21" s="6">
        <v>536166</v>
      </c>
      <c r="G21" s="6">
        <v>119420</v>
      </c>
      <c r="H21" s="6">
        <v>764991</v>
      </c>
      <c r="I21" s="6">
        <v>732315</v>
      </c>
    </row>
    <row r="22" spans="1:9" ht="64">
      <c r="A22" s="4" t="s">
        <v>22</v>
      </c>
      <c r="B22" s="6">
        <v>0</v>
      </c>
      <c r="C22" s="6">
        <v>0</v>
      </c>
      <c r="D22" s="6">
        <v>0</v>
      </c>
      <c r="E22" s="6">
        <v>0</v>
      </c>
      <c r="F22" s="6">
        <v>286550</v>
      </c>
      <c r="G22" s="6">
        <v>313762</v>
      </c>
      <c r="H22" s="6">
        <v>327664</v>
      </c>
      <c r="I22" s="6">
        <v>273006</v>
      </c>
    </row>
    <row r="23" spans="1:9" ht="32">
      <c r="A23" s="4" t="s">
        <v>23</v>
      </c>
      <c r="B23" s="6">
        <v>37371</v>
      </c>
      <c r="C23" s="6">
        <v>42722</v>
      </c>
      <c r="D23" s="6">
        <v>121240</v>
      </c>
      <c r="E23" s="6">
        <v>120826</v>
      </c>
      <c r="F23" s="6">
        <v>120934</v>
      </c>
      <c r="G23" s="6">
        <v>137350</v>
      </c>
      <c r="H23" s="6">
        <v>157451</v>
      </c>
      <c r="I23" s="6">
        <v>218542</v>
      </c>
    </row>
    <row r="24" spans="1:9" ht="32">
      <c r="A24" s="4" t="s">
        <v>24</v>
      </c>
      <c r="B24" s="6">
        <f t="shared" ref="B24:G24" si="5">B23+B22+B21+B20+B19</f>
        <v>1262888</v>
      </c>
      <c r="C24" s="6">
        <f t="shared" si="5"/>
        <v>1216722</v>
      </c>
      <c r="D24" s="6">
        <f t="shared" si="5"/>
        <v>1566102</v>
      </c>
      <c r="E24" s="6">
        <f t="shared" si="5"/>
        <v>1999209</v>
      </c>
      <c r="F24" s="6">
        <f t="shared" si="5"/>
        <v>2833726</v>
      </c>
      <c r="G24" s="6">
        <f t="shared" si="5"/>
        <v>2962233</v>
      </c>
      <c r="H24" s="6">
        <f>H23+H22+H21+H20+H19</f>
        <v>3706752</v>
      </c>
      <c r="I24" s="6">
        <f>I23+I22+I21+I20+I19</f>
        <v>3869768</v>
      </c>
    </row>
    <row r="25" spans="1:9" ht="80">
      <c r="A25" s="4" t="s">
        <v>53</v>
      </c>
      <c r="B25" s="4" t="s">
        <v>25</v>
      </c>
      <c r="C25" s="4" t="s">
        <v>25</v>
      </c>
      <c r="D25" s="4" t="s">
        <v>25</v>
      </c>
      <c r="E25" s="4" t="s">
        <v>25</v>
      </c>
      <c r="F25" s="4" t="s">
        <v>25</v>
      </c>
      <c r="G25" s="4" t="s">
        <v>25</v>
      </c>
      <c r="H25" s="4" t="s">
        <v>25</v>
      </c>
      <c r="I25" s="6"/>
    </row>
    <row r="26" spans="1:9" ht="48">
      <c r="A26" s="3" t="s">
        <v>26</v>
      </c>
      <c r="B26" s="6"/>
      <c r="C26" s="6"/>
      <c r="I26" s="6"/>
    </row>
    <row r="27" spans="1:9" ht="224">
      <c r="A27" s="4" t="s">
        <v>54</v>
      </c>
      <c r="B27" s="6">
        <v>0</v>
      </c>
      <c r="C27" s="6">
        <v>0</v>
      </c>
      <c r="D27" s="4">
        <v>0</v>
      </c>
      <c r="E27" s="4">
        <v>0</v>
      </c>
      <c r="F27" s="4">
        <v>0</v>
      </c>
      <c r="G27" s="6">
        <v>0</v>
      </c>
      <c r="H27" s="6">
        <v>0</v>
      </c>
      <c r="I27" s="6"/>
    </row>
    <row r="28" spans="1:9" ht="256">
      <c r="A28" s="4" t="s">
        <v>55</v>
      </c>
      <c r="B28" s="6">
        <v>5</v>
      </c>
      <c r="C28" s="6">
        <v>6</v>
      </c>
      <c r="D28" s="6">
        <v>6</v>
      </c>
      <c r="E28" s="6">
        <v>6</v>
      </c>
      <c r="F28" s="6">
        <v>6</v>
      </c>
      <c r="G28" s="6">
        <v>7</v>
      </c>
      <c r="H28" s="6">
        <v>7</v>
      </c>
      <c r="I28" s="6"/>
    </row>
    <row r="29" spans="1:9" ht="32">
      <c r="A29" s="4" t="s">
        <v>27</v>
      </c>
      <c r="B29" s="6">
        <v>855387</v>
      </c>
      <c r="C29" s="6">
        <v>1439645</v>
      </c>
      <c r="D29" s="6">
        <v>1535635</v>
      </c>
      <c r="E29" s="6">
        <v>1656819</v>
      </c>
      <c r="F29" s="6">
        <v>1788456</v>
      </c>
      <c r="G29" s="6">
        <v>2092595</v>
      </c>
      <c r="H29" s="6">
        <v>2421950</v>
      </c>
      <c r="I29" s="6"/>
    </row>
    <row r="30" spans="1:9" ht="32">
      <c r="A30" s="4" t="s">
        <v>28</v>
      </c>
      <c r="B30" s="6">
        <v>273704</v>
      </c>
      <c r="C30" s="6">
        <v>297471</v>
      </c>
      <c r="D30" s="6">
        <v>285960</v>
      </c>
      <c r="E30" s="6">
        <v>245585</v>
      </c>
      <c r="F30" s="6">
        <v>245373</v>
      </c>
      <c r="G30" s="6">
        <v>249064</v>
      </c>
      <c r="H30" s="6">
        <v>233530</v>
      </c>
    </row>
    <row r="31" spans="1:9" ht="80">
      <c r="A31" s="4" t="s">
        <v>56</v>
      </c>
      <c r="B31" s="6">
        <v>7</v>
      </c>
      <c r="C31" s="6">
        <v>-2504</v>
      </c>
      <c r="D31" s="6">
        <v>15565</v>
      </c>
      <c r="E31" s="6">
        <v>5338</v>
      </c>
      <c r="F31" s="6">
        <v>-6048</v>
      </c>
      <c r="G31" s="6">
        <v>9803</v>
      </c>
      <c r="H31" s="6">
        <v>-21621</v>
      </c>
    </row>
    <row r="32" spans="1:9" ht="64">
      <c r="A32" s="4" t="s">
        <v>29</v>
      </c>
      <c r="B32" s="6">
        <v>1129103</v>
      </c>
      <c r="C32" s="6">
        <v>1734618</v>
      </c>
      <c r="D32" s="6">
        <v>1837166</v>
      </c>
      <c r="E32" s="6">
        <v>1907748</v>
      </c>
      <c r="F32" s="6">
        <v>2027787</v>
      </c>
      <c r="G32" s="6">
        <v>2351469</v>
      </c>
      <c r="H32" s="6">
        <v>2633866</v>
      </c>
    </row>
    <row r="33" spans="1:8" ht="48">
      <c r="A33" s="4" t="s">
        <v>30</v>
      </c>
      <c r="B33" s="6">
        <v>5321</v>
      </c>
      <c r="C33" s="6">
        <v>3313</v>
      </c>
      <c r="D33" s="6">
        <v>10841</v>
      </c>
      <c r="E33" s="6">
        <v>8330</v>
      </c>
      <c r="F33" s="6">
        <v>22355</v>
      </c>
      <c r="G33" s="6">
        <v>35765</v>
      </c>
      <c r="H33" s="6">
        <v>48728</v>
      </c>
    </row>
    <row r="34" spans="1:8">
      <c r="A34" s="4" t="s">
        <v>31</v>
      </c>
      <c r="B34" s="6">
        <v>1134424</v>
      </c>
      <c r="C34" s="6">
        <v>1737931</v>
      </c>
      <c r="D34" s="6">
        <v>1848007</v>
      </c>
      <c r="E34" s="6">
        <v>1916078</v>
      </c>
      <c r="F34" s="6">
        <v>2050142</v>
      </c>
      <c r="G34" s="6">
        <v>2387234</v>
      </c>
      <c r="H34" s="6">
        <v>2682594</v>
      </c>
    </row>
    <row r="35" spans="1:8" ht="48">
      <c r="A35" s="4" t="s">
        <v>32</v>
      </c>
      <c r="B35" s="6">
        <v>2397312</v>
      </c>
      <c r="C35" s="6">
        <v>2954653</v>
      </c>
      <c r="D35" s="6">
        <v>3414109</v>
      </c>
      <c r="E35" s="6">
        <v>3915287</v>
      </c>
      <c r="F35" s="5">
        <v>4883868</v>
      </c>
      <c r="G35" s="5">
        <v>5349467</v>
      </c>
      <c r="H35" s="5">
        <v>6389346</v>
      </c>
    </row>
    <row r="36" spans="1:8">
      <c r="A36" s="4"/>
      <c r="H36" s="5"/>
    </row>
    <row r="38" spans="1:8">
      <c r="B38" s="6"/>
      <c r="C38" s="6"/>
      <c r="D38" s="6"/>
      <c r="E38" s="6"/>
    </row>
    <row r="41" spans="1:8">
      <c r="B41" s="5"/>
      <c r="C41" s="5"/>
      <c r="D41" s="5"/>
      <c r="E41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F7F08-9789-8640-B02F-AB56DB5AED75}">
  <dimension ref="A1:AK80"/>
  <sheetViews>
    <sheetView zoomScaleNormal="75" workbookViewId="0">
      <pane xSplit="1" ySplit="2" topLeftCell="I3" activePane="bottomRight" state="frozen"/>
      <selection pane="topRight" activeCell="B1" sqref="B1"/>
      <selection pane="bottomLeft" activeCell="A3" sqref="A3"/>
      <selection pane="bottomRight" activeCell="N10" sqref="N10"/>
    </sheetView>
  </sheetViews>
  <sheetFormatPr baseColWidth="10" defaultRowHeight="16" outlineLevelRow="1"/>
  <cols>
    <col min="1" max="1" width="35.33203125" customWidth="1"/>
    <col min="2" max="3" width="14" customWidth="1"/>
    <col min="4" max="4" width="16" customWidth="1"/>
    <col min="5" max="6" width="14" customWidth="1"/>
    <col min="7" max="7" width="12" customWidth="1"/>
    <col min="8" max="8" width="13.33203125" customWidth="1"/>
    <col min="9" max="9" width="11.6640625" customWidth="1"/>
    <col min="10" max="14" width="12.6640625" customWidth="1"/>
    <col min="15" max="15" width="14.33203125" bestFit="1" customWidth="1"/>
    <col min="16" max="16" width="14.33203125" customWidth="1"/>
    <col min="17" max="17" width="12.1640625" customWidth="1"/>
    <col min="18" max="20" width="14.33203125" bestFit="1" customWidth="1"/>
    <col min="21" max="21" width="14.33203125" customWidth="1"/>
    <col min="22" max="22" width="12.33203125" customWidth="1"/>
    <col min="23" max="23" width="13" customWidth="1"/>
    <col min="24" max="24" width="11.83203125" customWidth="1"/>
    <col min="25" max="26" width="12" customWidth="1"/>
    <col min="27" max="27" width="11.5" bestFit="1" customWidth="1"/>
    <col min="28" max="30" width="11.5" customWidth="1"/>
    <col min="31" max="32" width="11.33203125" customWidth="1"/>
    <col min="34" max="34" width="12" customWidth="1"/>
    <col min="35" max="35" width="11" customWidth="1"/>
    <col min="36" max="36" width="12.33203125" customWidth="1"/>
  </cols>
  <sheetData>
    <row r="1" spans="1:37">
      <c r="A1" s="144" t="s">
        <v>57</v>
      </c>
      <c r="B1" s="142" t="s">
        <v>58</v>
      </c>
      <c r="C1" s="142"/>
      <c r="D1" s="142"/>
      <c r="E1" s="142"/>
      <c r="F1" s="142"/>
      <c r="G1" s="142"/>
      <c r="H1" s="142"/>
      <c r="I1" s="142"/>
      <c r="J1" s="142"/>
      <c r="K1" s="2"/>
      <c r="L1" s="2"/>
      <c r="M1" s="2"/>
      <c r="N1" s="2"/>
      <c r="O1" s="27"/>
      <c r="P1" s="27"/>
      <c r="Q1" s="144">
        <v>2023</v>
      </c>
      <c r="R1" s="144"/>
      <c r="S1" s="144"/>
      <c r="T1" s="144"/>
      <c r="U1" s="27"/>
      <c r="V1" s="144">
        <v>2024</v>
      </c>
      <c r="W1" s="144"/>
      <c r="X1" s="144"/>
      <c r="Y1" s="144"/>
      <c r="AA1" s="149" t="s">
        <v>198</v>
      </c>
      <c r="AB1" s="149"/>
      <c r="AC1" s="149"/>
      <c r="AD1" s="149"/>
      <c r="AE1" s="149"/>
      <c r="AG1" s="149" t="s">
        <v>199</v>
      </c>
      <c r="AH1" s="149"/>
      <c r="AI1" s="149"/>
      <c r="AJ1" s="149"/>
    </row>
    <row r="2" spans="1:37" ht="32">
      <c r="A2" s="150"/>
      <c r="B2" s="2" t="s">
        <v>109</v>
      </c>
      <c r="C2" s="2" t="s">
        <v>108</v>
      </c>
      <c r="D2" s="2" t="s">
        <v>107</v>
      </c>
      <c r="E2" s="2" t="s">
        <v>106</v>
      </c>
      <c r="F2" s="2" t="s">
        <v>105</v>
      </c>
      <c r="G2" s="2" t="s">
        <v>59</v>
      </c>
      <c r="H2" s="2" t="s">
        <v>52</v>
      </c>
      <c r="I2" s="2" t="s">
        <v>51</v>
      </c>
      <c r="J2" s="2" t="s">
        <v>1</v>
      </c>
      <c r="K2" s="2" t="s">
        <v>111</v>
      </c>
      <c r="L2" s="2" t="s">
        <v>113</v>
      </c>
      <c r="M2" s="2" t="s">
        <v>186</v>
      </c>
      <c r="N2" s="2"/>
      <c r="O2" s="2" t="s">
        <v>51</v>
      </c>
      <c r="P2" s="2"/>
      <c r="Q2" s="2" t="s">
        <v>102</v>
      </c>
      <c r="R2" s="2" t="s">
        <v>100</v>
      </c>
      <c r="S2" s="2" t="s">
        <v>33</v>
      </c>
      <c r="T2" s="2" t="s">
        <v>1</v>
      </c>
      <c r="U2" s="2"/>
      <c r="V2" s="2" t="s">
        <v>101</v>
      </c>
      <c r="W2" s="2" t="s">
        <v>99</v>
      </c>
      <c r="X2" s="2" t="s">
        <v>0</v>
      </c>
      <c r="Y2" s="2" t="s">
        <v>111</v>
      </c>
      <c r="Z2" s="2"/>
      <c r="AA2" s="98" t="s">
        <v>117</v>
      </c>
      <c r="AB2" s="2" t="s">
        <v>203</v>
      </c>
      <c r="AC2" s="98" t="s">
        <v>118</v>
      </c>
      <c r="AD2" s="98" t="s">
        <v>119</v>
      </c>
      <c r="AE2" s="98" t="s">
        <v>113</v>
      </c>
      <c r="AF2" s="98"/>
      <c r="AG2" s="98" t="s">
        <v>121</v>
      </c>
      <c r="AH2" s="98" t="s">
        <v>184</v>
      </c>
      <c r="AI2" s="98" t="s">
        <v>185</v>
      </c>
      <c r="AJ2" s="98" t="s">
        <v>186</v>
      </c>
      <c r="AK2" s="2"/>
    </row>
    <row r="3" spans="1:37">
      <c r="A3" s="3" t="s">
        <v>34</v>
      </c>
      <c r="E3" s="6"/>
      <c r="F3" s="6"/>
      <c r="G3" s="6"/>
      <c r="H3" s="6"/>
      <c r="I3" s="6"/>
      <c r="J3" s="6"/>
      <c r="K3" s="4"/>
      <c r="L3" s="4"/>
      <c r="M3" s="4"/>
      <c r="N3" s="4"/>
      <c r="O3" s="3"/>
      <c r="P3" s="3"/>
      <c r="Q3" s="6"/>
      <c r="R3" s="6"/>
      <c r="S3" s="6"/>
      <c r="T3" s="6"/>
      <c r="U3" s="6"/>
      <c r="V3" s="6"/>
      <c r="W3" s="6"/>
      <c r="X3" s="6"/>
      <c r="AA3" s="99"/>
      <c r="AC3" s="99"/>
      <c r="AD3" s="99"/>
      <c r="AE3" s="99"/>
      <c r="AF3" s="99"/>
      <c r="AG3" s="99"/>
      <c r="AH3" s="99"/>
      <c r="AI3" s="99"/>
      <c r="AJ3" s="99"/>
    </row>
    <row r="4" spans="1:37" s="18" customFormat="1">
      <c r="A4" s="16" t="s">
        <v>114</v>
      </c>
      <c r="B4" s="19">
        <f>499.9*1000</f>
        <v>499900</v>
      </c>
      <c r="C4" s="19">
        <f>559.2*1000</f>
        <v>559200</v>
      </c>
      <c r="D4" s="19">
        <f>629.6*1000</f>
        <v>629600</v>
      </c>
      <c r="E4" s="19">
        <f>589.3*1000</f>
        <v>589300</v>
      </c>
      <c r="F4" s="19">
        <f>684.2*1000</f>
        <v>684200</v>
      </c>
      <c r="G4" s="19">
        <f>826.6*1000</f>
        <v>826600</v>
      </c>
      <c r="H4" s="19">
        <f>868.9*1000</f>
        <v>868900</v>
      </c>
      <c r="I4" s="19">
        <f>1188.6*1000</f>
        <v>1188600</v>
      </c>
      <c r="J4" s="19">
        <f>SUM(Q4:T4)</f>
        <v>1210700</v>
      </c>
      <c r="K4" s="19">
        <f>SUM(V4:Y4)</f>
        <v>2141700</v>
      </c>
      <c r="L4" s="19">
        <f>SUM(AA4:AE4)</f>
        <v>2233000</v>
      </c>
      <c r="M4" s="19">
        <f>SUM(AG4:AJ4)</f>
        <v>2331000</v>
      </c>
      <c r="N4" s="20"/>
      <c r="O4" s="20">
        <f>304.9*1000</f>
        <v>304900</v>
      </c>
      <c r="P4" s="20"/>
      <c r="Q4" s="20">
        <f>312.1*1000</f>
        <v>312100</v>
      </c>
      <c r="R4" s="20">
        <f>300.5*1000</f>
        <v>300500</v>
      </c>
      <c r="S4" s="20">
        <f>302.4*1000</f>
        <v>302400</v>
      </c>
      <c r="T4" s="20">
        <f>295.7*1000</f>
        <v>295700</v>
      </c>
      <c r="U4" s="20"/>
      <c r="V4" s="20">
        <f>398.5*1000</f>
        <v>398500</v>
      </c>
      <c r="W4" s="20">
        <f>585.3*1000</f>
        <v>585300</v>
      </c>
      <c r="X4" s="20">
        <f>581.4*1000</f>
        <v>581400</v>
      </c>
      <c r="Y4" s="21">
        <f>576.5*1000</f>
        <v>576500</v>
      </c>
      <c r="Z4" s="21"/>
      <c r="AA4" s="100">
        <v>415000</v>
      </c>
      <c r="AC4" s="100">
        <v>610000</v>
      </c>
      <c r="AD4" s="100">
        <v>606000</v>
      </c>
      <c r="AE4" s="100">
        <v>602000</v>
      </c>
      <c r="AF4" s="100"/>
      <c r="AG4" s="100">
        <v>432000</v>
      </c>
      <c r="AH4" s="100">
        <v>638000</v>
      </c>
      <c r="AI4" s="100">
        <v>633000</v>
      </c>
      <c r="AJ4" s="100">
        <v>628000</v>
      </c>
    </row>
    <row r="5" spans="1:37" s="18" customFormat="1" ht="15">
      <c r="A5" s="16"/>
      <c r="B5" s="19"/>
      <c r="C5" s="9">
        <f>(C4-B4)/ABS(B4)</f>
        <v>0.11862372474494899</v>
      </c>
      <c r="D5" s="9">
        <f t="shared" ref="D5:K5" si="0">(D4-C4)/ABS(C4)</f>
        <v>0.12589413447782546</v>
      </c>
      <c r="E5" s="9">
        <f t="shared" si="0"/>
        <v>-6.4008894536213473E-2</v>
      </c>
      <c r="F5" s="9">
        <f t="shared" si="0"/>
        <v>0.16103852027829629</v>
      </c>
      <c r="G5" s="9">
        <f t="shared" si="0"/>
        <v>0.20812627886582871</v>
      </c>
      <c r="H5" s="9">
        <f t="shared" si="0"/>
        <v>5.1173481732397774E-2</v>
      </c>
      <c r="I5" s="9">
        <f t="shared" si="0"/>
        <v>0.36793647140062147</v>
      </c>
      <c r="J5" s="9">
        <f t="shared" si="0"/>
        <v>1.8593303045599866E-2</v>
      </c>
      <c r="K5" s="9">
        <f t="shared" si="0"/>
        <v>0.76897662509292142</v>
      </c>
      <c r="L5" s="9">
        <f>(L4-K4)/ABS(K4)</f>
        <v>4.2629686697483307E-2</v>
      </c>
      <c r="M5" s="9">
        <f>(M4-L4)/ABS(L4)</f>
        <v>4.3887147335423198E-2</v>
      </c>
      <c r="N5" s="20"/>
      <c r="O5" s="20"/>
      <c r="P5" s="20"/>
      <c r="Q5" s="20"/>
      <c r="R5" s="20"/>
      <c r="S5" s="20"/>
      <c r="T5" s="9">
        <f>(T4-O4)/ABS(O4)</f>
        <v>-3.0173827484421122E-2</v>
      </c>
      <c r="U5" s="9"/>
      <c r="V5" s="9">
        <f>(V4-Q4)/ABS(Q4)</f>
        <v>0.27683434796539569</v>
      </c>
      <c r="W5" s="9">
        <f>(W4-R4)/ABS(R4)</f>
        <v>0.94775374376039934</v>
      </c>
      <c r="X5" s="9">
        <f>(X4-S4)/ABS(S4)</f>
        <v>0.92261904761904767</v>
      </c>
      <c r="Y5" s="9">
        <f>(Y4-T4)/ABS(T4)</f>
        <v>0.94961109232330065</v>
      </c>
      <c r="Z5" s="9"/>
      <c r="AA5" s="101">
        <f>(AA4-V4)/ABS(V4)</f>
        <v>4.1405269761606023E-2</v>
      </c>
      <c r="AB5" s="112"/>
      <c r="AC5" s="101">
        <f>(AC4-W4)/ABS(W4)</f>
        <v>4.2200580898684434E-2</v>
      </c>
      <c r="AD5" s="101">
        <f>(AD4-X4)/ABS(X4)</f>
        <v>4.2311661506707947E-2</v>
      </c>
      <c r="AE5" s="101">
        <f t="shared" ref="AE5" si="1">(AE4-Y4)/ABS(Y4)</f>
        <v>4.4232437120555072E-2</v>
      </c>
      <c r="AF5" s="101"/>
      <c r="AG5" s="101">
        <f>(AG4-AA4)/ABS(AA4)</f>
        <v>4.0963855421686748E-2</v>
      </c>
      <c r="AH5" s="101">
        <f>(AH4-AC4)/ABS(AC4)</f>
        <v>4.5901639344262293E-2</v>
      </c>
      <c r="AI5" s="101">
        <f>(AI4-AD4)/ABS(AD4)</f>
        <v>4.4554455445544552E-2</v>
      </c>
      <c r="AJ5" s="101">
        <f>(AJ4-AE4)/ABS(AE4)</f>
        <v>4.3189368770764118E-2</v>
      </c>
    </row>
    <row r="6" spans="1:37" s="18" customFormat="1" ht="15">
      <c r="A6" s="16"/>
      <c r="B6" s="17">
        <f>B4/B13</f>
        <v>0.36159132007233274</v>
      </c>
      <c r="C6" s="17">
        <f t="shared" ref="C6:J6" si="2">C4/C13</f>
        <v>0.3945251869620432</v>
      </c>
      <c r="D6" s="17">
        <f t="shared" si="2"/>
        <v>0.40377092284999677</v>
      </c>
      <c r="E6" s="17">
        <f t="shared" si="2"/>
        <v>0.36955976420418912</v>
      </c>
      <c r="F6" s="17">
        <f t="shared" si="2"/>
        <v>0.330819069722464</v>
      </c>
      <c r="G6" s="17">
        <f t="shared" si="2"/>
        <v>0.35794396570389297</v>
      </c>
      <c r="H6" s="17">
        <f t="shared" si="2"/>
        <v>0.38513363769336467</v>
      </c>
      <c r="I6" s="17">
        <f t="shared" si="2"/>
        <v>0.42641888498242092</v>
      </c>
      <c r="J6" s="17">
        <f t="shared" si="2"/>
        <v>0.47365126559993742</v>
      </c>
      <c r="K6" s="17">
        <f>K4/K13</f>
        <v>0.4999533124795742</v>
      </c>
      <c r="L6" s="17">
        <f>L4/L13</f>
        <v>0.49424524125719344</v>
      </c>
      <c r="M6" s="17">
        <f>M4/M13</f>
        <v>0.48743256241897037</v>
      </c>
      <c r="N6" s="20"/>
      <c r="O6" s="17">
        <f>O4/O13</f>
        <v>0.50255480468106151</v>
      </c>
      <c r="P6" s="17"/>
      <c r="Q6" s="17">
        <f t="shared" ref="Q6:Y6" si="3">Q4/Q13</f>
        <v>0.54268822813423756</v>
      </c>
      <c r="R6" s="17">
        <f t="shared" si="3"/>
        <v>0.45290128108515448</v>
      </c>
      <c r="S6" s="17">
        <f t="shared" si="3"/>
        <v>0.46423088731961926</v>
      </c>
      <c r="T6" s="17">
        <f t="shared" si="3"/>
        <v>0.44392733823750186</v>
      </c>
      <c r="U6" s="17"/>
      <c r="V6" s="17">
        <f t="shared" si="3"/>
        <v>0.51102846883816366</v>
      </c>
      <c r="W6" s="17">
        <f t="shared" si="3"/>
        <v>0.47763995430063655</v>
      </c>
      <c r="X6" s="17">
        <f t="shared" si="3"/>
        <v>0.51515151515151514</v>
      </c>
      <c r="Y6" s="17">
        <f t="shared" si="3"/>
        <v>0.5013043478260869</v>
      </c>
      <c r="Z6" s="17"/>
      <c r="AA6" s="102">
        <f t="shared" ref="AA6:AE6" si="4">AA4/AA13</f>
        <v>0.50609756097560976</v>
      </c>
      <c r="AB6" s="113"/>
      <c r="AC6" s="102">
        <f t="shared" si="4"/>
        <v>0.47104247104247104</v>
      </c>
      <c r="AD6" s="102">
        <f t="shared" si="4"/>
        <v>0.50881612090680106</v>
      </c>
      <c r="AE6" s="102">
        <f t="shared" si="4"/>
        <v>0.49669966996699672</v>
      </c>
      <c r="AF6" s="102"/>
      <c r="AG6" s="102">
        <f t="shared" ref="AG6:AJ6" si="5">AG4/AG13</f>
        <v>0.4982698961937716</v>
      </c>
      <c r="AH6" s="102">
        <f t="shared" si="5"/>
        <v>0.46596552731522056</v>
      </c>
      <c r="AI6" s="102">
        <f t="shared" si="5"/>
        <v>0.50118764845605701</v>
      </c>
      <c r="AJ6" s="102">
        <f t="shared" si="5"/>
        <v>0.48947778643803586</v>
      </c>
    </row>
    <row r="7" spans="1:37" s="18" customFormat="1">
      <c r="A7" s="16" t="s">
        <v>115</v>
      </c>
      <c r="B7" s="19">
        <f>347.1*1000</f>
        <v>347100</v>
      </c>
      <c r="C7" s="19">
        <f>250.7*1000</f>
        <v>250700</v>
      </c>
      <c r="D7" s="19">
        <f>244.6*1000</f>
        <v>244600</v>
      </c>
      <c r="E7" s="19">
        <f>233.2*1000</f>
        <v>233200</v>
      </c>
      <c r="F7" s="19">
        <f>428.4*1000</f>
        <v>428400</v>
      </c>
      <c r="G7" s="19">
        <f>344.6*1000</f>
        <v>344600</v>
      </c>
      <c r="H7" s="19">
        <f>320.9*1000</f>
        <v>320900</v>
      </c>
      <c r="I7" s="19">
        <f>512.1*1000</f>
        <v>512100</v>
      </c>
      <c r="J7" s="19">
        <f>SUM(Q7:T7)</f>
        <v>612600</v>
      </c>
      <c r="K7" s="19">
        <f>SUM(V7:Y7)</f>
        <v>777900</v>
      </c>
      <c r="L7" s="19">
        <f>SUM(AA7:AE7)</f>
        <v>815000</v>
      </c>
      <c r="M7" s="19">
        <f>SUM(AG7:AJ7)</f>
        <v>839200</v>
      </c>
      <c r="N7" s="20"/>
      <c r="O7" s="20">
        <f>119*1000</f>
        <v>119000</v>
      </c>
      <c r="P7" s="20"/>
      <c r="Q7" s="20">
        <f>112.8*1000</f>
        <v>112800</v>
      </c>
      <c r="R7" s="20">
        <f>180*1000</f>
        <v>180000</v>
      </c>
      <c r="S7" s="20">
        <f>167.2*1000</f>
        <v>167200</v>
      </c>
      <c r="T7" s="20">
        <f>152.6*1000</f>
        <v>152600</v>
      </c>
      <c r="U7" s="20"/>
      <c r="V7" s="20">
        <f>148.6*1000</f>
        <v>148600</v>
      </c>
      <c r="W7" s="20">
        <f>275.2*1000</f>
        <v>275200</v>
      </c>
      <c r="X7" s="20">
        <f>166.4*1000</f>
        <v>166400</v>
      </c>
      <c r="Y7" s="21">
        <f>187.7*1000</f>
        <v>187700</v>
      </c>
      <c r="Z7" s="21"/>
      <c r="AA7" s="100">
        <v>155000</v>
      </c>
      <c r="AC7" s="100">
        <v>290000</v>
      </c>
      <c r="AD7" s="100">
        <v>175000</v>
      </c>
      <c r="AE7" s="100">
        <v>195000</v>
      </c>
      <c r="AF7" s="100"/>
      <c r="AG7" s="100">
        <v>160000</v>
      </c>
      <c r="AH7" s="100">
        <v>299200</v>
      </c>
      <c r="AI7" s="100">
        <v>180000</v>
      </c>
      <c r="AJ7" s="100">
        <v>200000</v>
      </c>
    </row>
    <row r="8" spans="1:37" s="18" customFormat="1" ht="15">
      <c r="A8" s="16"/>
      <c r="B8" s="19"/>
      <c r="C8" s="9">
        <f>(C7-B7)/ABS(B7)</f>
        <v>-0.27772976087582829</v>
      </c>
      <c r="D8" s="9">
        <f t="shared" ref="D8:K8" si="6">(D7-C7)/ABS(C7)</f>
        <v>-2.4331870761866773E-2</v>
      </c>
      <c r="E8" s="9">
        <f t="shared" si="6"/>
        <v>-4.6606704824202781E-2</v>
      </c>
      <c r="F8" s="9">
        <f t="shared" si="6"/>
        <v>0.83704974271012011</v>
      </c>
      <c r="G8" s="9">
        <f t="shared" si="6"/>
        <v>-0.19561157796451914</v>
      </c>
      <c r="H8" s="9">
        <f t="shared" si="6"/>
        <v>-6.877539175856065E-2</v>
      </c>
      <c r="I8" s="9">
        <f t="shared" si="6"/>
        <v>0.59582424431287007</v>
      </c>
      <c r="J8" s="9">
        <f t="shared" si="6"/>
        <v>0.19625073227885179</v>
      </c>
      <c r="K8" s="9">
        <f t="shared" si="6"/>
        <v>0.26983349657198824</v>
      </c>
      <c r="L8" s="9">
        <f>(L7-K7)/ABS(K7)</f>
        <v>4.7692505463427175E-2</v>
      </c>
      <c r="M8" s="9">
        <f>(M7-L7)/ABS(L7)</f>
        <v>2.9693251533742332E-2</v>
      </c>
      <c r="N8" s="20"/>
      <c r="O8" s="20"/>
      <c r="P8" s="20"/>
      <c r="Q8" s="20"/>
      <c r="R8" s="20"/>
      <c r="S8" s="20"/>
      <c r="T8" s="9">
        <f>(T7-O7)/ABS(O7)</f>
        <v>0.28235294117647058</v>
      </c>
      <c r="U8" s="9"/>
      <c r="V8" s="9">
        <f>(V7-Q7)/ABS(Q7)</f>
        <v>0.31737588652482268</v>
      </c>
      <c r="W8" s="9">
        <f>(W7-R7)/ABS(R7)</f>
        <v>0.52888888888888885</v>
      </c>
      <c r="X8" s="9">
        <f>(X7-S7)/ABS(S7)</f>
        <v>-4.7846889952153108E-3</v>
      </c>
      <c r="Y8" s="9">
        <f>(Y7-T7)/ABS(T7)</f>
        <v>0.23001310615989515</v>
      </c>
      <c r="Z8" s="9"/>
      <c r="AA8" s="103">
        <f>(AA7-V7)/ABS(V7)</f>
        <v>4.306864064602961E-2</v>
      </c>
      <c r="AB8" s="114"/>
      <c r="AC8" s="103">
        <f>(AC7-W7)/ABS(W7)</f>
        <v>5.3779069767441859E-2</v>
      </c>
      <c r="AD8" s="103">
        <f>(AD7-X7)/ABS(X7)</f>
        <v>5.1682692307692304E-2</v>
      </c>
      <c r="AE8" s="103">
        <f t="shared" ref="AE8" si="7">(AE7-Y7)/ABS(Y7)</f>
        <v>3.8891848694725624E-2</v>
      </c>
      <c r="AF8" s="103"/>
      <c r="AG8" s="103">
        <f>(AG7-AA7)/ABS(AA7)</f>
        <v>3.2258064516129031E-2</v>
      </c>
      <c r="AH8" s="103">
        <f t="shared" ref="AH8" si="8">(AH7-AC7)/ABS(AC7)</f>
        <v>3.1724137931034485E-2</v>
      </c>
      <c r="AI8" s="103">
        <f t="shared" ref="AI8" si="9">(AI7-AD7)/ABS(AD7)</f>
        <v>2.8571428571428571E-2</v>
      </c>
      <c r="AJ8" s="103">
        <f t="shared" ref="AJ8" si="10">(AJ7-AE7)/ABS(AE7)</f>
        <v>2.564102564102564E-2</v>
      </c>
    </row>
    <row r="9" spans="1:37" s="18" customFormat="1" ht="15">
      <c r="A9" s="16"/>
      <c r="B9" s="17">
        <f>B7/B13</f>
        <v>0.25106690777576851</v>
      </c>
      <c r="C9" s="17">
        <f t="shared" ref="C9:K9" si="11">C7/C13</f>
        <v>0.17687314801749682</v>
      </c>
      <c r="D9" s="17">
        <f t="shared" si="11"/>
        <v>0.15686526005258769</v>
      </c>
      <c r="E9" s="17">
        <f t="shared" si="11"/>
        <v>0.14624357205568794</v>
      </c>
      <c r="F9" s="17">
        <f t="shared" si="11"/>
        <v>0.20713664055700609</v>
      </c>
      <c r="G9" s="17">
        <f t="shared" si="11"/>
        <v>0.14922270817996797</v>
      </c>
      <c r="H9" s="17">
        <f t="shared" si="11"/>
        <v>0.14223660298745622</v>
      </c>
      <c r="I9" s="17">
        <f t="shared" si="11"/>
        <v>0.18371959532180526</v>
      </c>
      <c r="J9" s="17">
        <f t="shared" si="11"/>
        <v>0.23966198505535777</v>
      </c>
      <c r="K9" s="17">
        <f t="shared" si="11"/>
        <v>0.18159111069611092</v>
      </c>
      <c r="L9" s="17">
        <f>L7/L13</f>
        <v>0.18038955289951306</v>
      </c>
      <c r="M9" s="17">
        <f>M7/M13</f>
        <v>0.17548408682196479</v>
      </c>
      <c r="N9" s="20"/>
      <c r="O9" s="17">
        <f>O7/O13</f>
        <v>0.19614306906213944</v>
      </c>
      <c r="P9" s="17"/>
      <c r="Q9" s="17">
        <f t="shared" ref="Q9:AE9" si="12">Q7/Q13</f>
        <v>0.1961398017736046</v>
      </c>
      <c r="R9" s="17">
        <f t="shared" si="12"/>
        <v>0.27128862094951017</v>
      </c>
      <c r="S9" s="17">
        <f t="shared" si="12"/>
        <v>0.25667792447037152</v>
      </c>
      <c r="T9" s="17">
        <f t="shared" si="12"/>
        <v>0.22909473052094281</v>
      </c>
      <c r="U9" s="17"/>
      <c r="V9" s="17">
        <f t="shared" si="12"/>
        <v>0.19056168248268787</v>
      </c>
      <c r="W9" s="17">
        <f t="shared" si="12"/>
        <v>0.2245797290680594</v>
      </c>
      <c r="X9" s="17">
        <f t="shared" si="12"/>
        <v>0.14743930533404218</v>
      </c>
      <c r="Y9" s="17">
        <f t="shared" si="12"/>
        <v>0.16321739130434781</v>
      </c>
      <c r="Z9" s="17"/>
      <c r="AA9" s="102">
        <f t="shared" si="12"/>
        <v>0.18902439024390244</v>
      </c>
      <c r="AB9" s="113"/>
      <c r="AC9" s="102">
        <f t="shared" si="12"/>
        <v>0.22393822393822393</v>
      </c>
      <c r="AD9" s="102">
        <f t="shared" si="12"/>
        <v>0.14693534844668346</v>
      </c>
      <c r="AE9" s="102">
        <f t="shared" si="12"/>
        <v>0.1608910891089109</v>
      </c>
      <c r="AF9" s="102"/>
      <c r="AG9" s="102">
        <f t="shared" ref="AG9:AJ9" si="13">AG7/AG13</f>
        <v>0.1845444059976932</v>
      </c>
      <c r="AH9" s="102">
        <f t="shared" si="13"/>
        <v>0.21852176453403446</v>
      </c>
      <c r="AI9" s="102">
        <f t="shared" si="13"/>
        <v>0.14251781472684086</v>
      </c>
      <c r="AJ9" s="102">
        <f t="shared" si="13"/>
        <v>0.1558846453624318</v>
      </c>
    </row>
    <row r="10" spans="1:37" s="18" customFormat="1">
      <c r="A10" s="16" t="s">
        <v>116</v>
      </c>
      <c r="B10" s="19">
        <f>535.5*1000</f>
        <v>535500</v>
      </c>
      <c r="C10" s="19">
        <f>607.5*1000</f>
        <v>607500</v>
      </c>
      <c r="D10" s="19">
        <f>685.1*1000</f>
        <v>685100</v>
      </c>
      <c r="E10" s="19">
        <f>772.1*1000</f>
        <v>772100</v>
      </c>
      <c r="F10" s="19">
        <f>955.6*1000</f>
        <v>955600</v>
      </c>
      <c r="G10" s="19">
        <f>1138.1*1000</f>
        <v>1138100</v>
      </c>
      <c r="H10" s="19">
        <f>1066.3*1000</f>
        <v>1066300</v>
      </c>
      <c r="I10" s="19">
        <f>1086.7*1000</f>
        <v>1086700</v>
      </c>
      <c r="J10" s="19">
        <f>SUM(Q10:T10)</f>
        <v>732800</v>
      </c>
      <c r="K10" s="19">
        <f>SUM(V10:Y10)</f>
        <v>1364200</v>
      </c>
      <c r="L10" s="19">
        <f>SUM(AA10:AE10)</f>
        <v>1470000</v>
      </c>
      <c r="M10" s="19">
        <f>SUM(AG10:AJ10)</f>
        <v>1612000</v>
      </c>
      <c r="N10" s="20"/>
      <c r="O10" s="20">
        <f>(277.8-95)*1000</f>
        <v>182800</v>
      </c>
      <c r="P10" s="20"/>
      <c r="Q10" s="20">
        <f>(253.3-103.1)*1000</f>
        <v>150200.00000000003</v>
      </c>
      <c r="R10" s="20">
        <f>(264.2-81.2)*1000</f>
        <v>183000</v>
      </c>
      <c r="S10" s="20">
        <f>(244.5-62.7)*1000</f>
        <v>181800</v>
      </c>
      <c r="T10" s="20">
        <f>217.8*1000</f>
        <v>217800</v>
      </c>
      <c r="U10" s="20"/>
      <c r="V10" s="20">
        <f>232.7*1000</f>
        <v>232700</v>
      </c>
      <c r="W10" s="20">
        <f>364.9*1000</f>
        <v>364900</v>
      </c>
      <c r="X10" s="20">
        <f>380.8*1000</f>
        <v>380800</v>
      </c>
      <c r="Y10" s="21">
        <f>385.8*1000</f>
        <v>385800</v>
      </c>
      <c r="Z10" s="21"/>
      <c r="AA10" s="100">
        <v>250000</v>
      </c>
      <c r="AC10" s="100">
        <v>395000</v>
      </c>
      <c r="AD10" s="100">
        <v>410000</v>
      </c>
      <c r="AE10" s="100">
        <v>415000</v>
      </c>
      <c r="AF10" s="100"/>
      <c r="AG10" s="100">
        <v>275000</v>
      </c>
      <c r="AH10" s="100">
        <v>432000</v>
      </c>
      <c r="AI10" s="100">
        <v>450000</v>
      </c>
      <c r="AJ10" s="100">
        <v>455000</v>
      </c>
    </row>
    <row r="11" spans="1:37" s="18" customFormat="1" ht="15">
      <c r="A11" s="16"/>
      <c r="B11" s="19"/>
      <c r="C11" s="9">
        <f>(C10-B10)/ABS(B10)</f>
        <v>0.13445378151260504</v>
      </c>
      <c r="D11" s="9">
        <f t="shared" ref="D11:K11" si="14">(D10-C10)/ABS(C10)</f>
        <v>0.12773662551440329</v>
      </c>
      <c r="E11" s="9">
        <f t="shared" si="14"/>
        <v>0.12698876076485185</v>
      </c>
      <c r="F11" s="9">
        <f t="shared" si="14"/>
        <v>0.23766351508871908</v>
      </c>
      <c r="G11" s="9">
        <f t="shared" si="14"/>
        <v>0.19097948932607786</v>
      </c>
      <c r="H11" s="9">
        <f t="shared" si="14"/>
        <v>-6.3087602143924087E-2</v>
      </c>
      <c r="I11" s="9">
        <f t="shared" si="14"/>
        <v>1.91315764794148E-2</v>
      </c>
      <c r="J11" s="9">
        <f t="shared" si="14"/>
        <v>-0.32566485690622987</v>
      </c>
      <c r="K11" s="9">
        <f t="shared" si="14"/>
        <v>0.86162663755458513</v>
      </c>
      <c r="L11" s="9">
        <f>(L10-K10)/ABS(K10)</f>
        <v>7.7554610760885503E-2</v>
      </c>
      <c r="M11" s="9">
        <f>(M10-L10)/ABS(L10)</f>
        <v>9.6598639455782315E-2</v>
      </c>
      <c r="N11" s="20"/>
      <c r="O11" s="20"/>
      <c r="P11" s="20"/>
      <c r="Q11" s="20"/>
      <c r="R11" s="20"/>
      <c r="S11" s="20"/>
      <c r="T11" s="9">
        <f>(T10-O10)/ABS(O10)</f>
        <v>0.19146608315098468</v>
      </c>
      <c r="U11" s="9"/>
      <c r="V11" s="9">
        <f>(V10-Q10)/ABS(Q10)</f>
        <v>0.54926764314247645</v>
      </c>
      <c r="W11" s="9">
        <f>(W10-R10)/ABS(R10)</f>
        <v>0.9939890710382514</v>
      </c>
      <c r="X11" s="9">
        <f>(X10-S10)/ABS(S10)</f>
        <v>1.0946094609460946</v>
      </c>
      <c r="Y11" s="9">
        <f>(Y10-T10)/ABS(T10)</f>
        <v>0.77134986225895319</v>
      </c>
      <c r="Z11" s="9"/>
      <c r="AA11" s="103">
        <f>(AA10-V10)/ABS(V10)</f>
        <v>7.4344649763644174E-2</v>
      </c>
      <c r="AB11" s="114"/>
      <c r="AC11" s="103">
        <f>(AC10-W10)/ABS(W10)</f>
        <v>8.2488352973417375E-2</v>
      </c>
      <c r="AD11" s="103">
        <f>(AD10-X10)/ABS(X10)</f>
        <v>7.6680672268907568E-2</v>
      </c>
      <c r="AE11" s="103">
        <f t="shared" ref="AE11" si="15">(AE10-Y10)/ABS(Y10)</f>
        <v>7.5686884396060139E-2</v>
      </c>
      <c r="AF11" s="103"/>
      <c r="AG11" s="103">
        <f>(AG10-AA10)/ABS(AA10)</f>
        <v>0.1</v>
      </c>
      <c r="AH11" s="103">
        <f t="shared" ref="AH11" si="16">(AH10-AC10)/ABS(AC10)</f>
        <v>9.3670886075949367E-2</v>
      </c>
      <c r="AI11" s="103">
        <f t="shared" ref="AI11" si="17">(AI10-AD10)/ABS(AD10)</f>
        <v>9.7560975609756101E-2</v>
      </c>
      <c r="AJ11" s="103">
        <f t="shared" ref="AJ11" si="18">(AJ10-AE10)/ABS(AE10)</f>
        <v>9.6385542168674704E-2</v>
      </c>
    </row>
    <row r="12" spans="1:37" s="18" customFormat="1" ht="15">
      <c r="A12" s="16"/>
      <c r="B12" s="17">
        <f>B10/B13</f>
        <v>0.38734177215189874</v>
      </c>
      <c r="C12" s="17">
        <f t="shared" ref="C12:L12" si="19">C10/C13</f>
        <v>0.42860166502045999</v>
      </c>
      <c r="D12" s="17">
        <f t="shared" si="19"/>
        <v>0.43936381709741551</v>
      </c>
      <c r="E12" s="17">
        <f t="shared" si="19"/>
        <v>0.48419666374012293</v>
      </c>
      <c r="F12" s="17">
        <f t="shared" si="19"/>
        <v>0.46204428972052991</v>
      </c>
      <c r="G12" s="17">
        <f t="shared" si="19"/>
        <v>0.49283332611613911</v>
      </c>
      <c r="H12" s="17">
        <f t="shared" si="19"/>
        <v>0.47262975931917911</v>
      </c>
      <c r="I12" s="17">
        <f t="shared" si="19"/>
        <v>0.38986151969577382</v>
      </c>
      <c r="J12" s="17">
        <f t="shared" si="19"/>
        <v>0.28668674934470484</v>
      </c>
      <c r="K12" s="17">
        <f t="shared" si="19"/>
        <v>0.31845557682431486</v>
      </c>
      <c r="L12" s="17">
        <f t="shared" si="19"/>
        <v>0.32536520584329348</v>
      </c>
      <c r="M12" s="17">
        <f t="shared" ref="M12" si="20">M10/M13</f>
        <v>0.33708335075906487</v>
      </c>
      <c r="N12" s="20"/>
      <c r="O12" s="17">
        <f>O10/O13</f>
        <v>0.30130212625679909</v>
      </c>
      <c r="P12" s="17"/>
      <c r="Q12" s="17">
        <f t="shared" ref="Q12:X12" si="21">Q10/Q13</f>
        <v>0.26117197009215792</v>
      </c>
      <c r="R12" s="17">
        <f t="shared" si="21"/>
        <v>0.27581009796533534</v>
      </c>
      <c r="S12" s="17">
        <f t="shared" si="21"/>
        <v>0.27909118821000922</v>
      </c>
      <c r="T12" s="17">
        <f t="shared" si="21"/>
        <v>0.32697793124155533</v>
      </c>
      <c r="U12" s="17"/>
      <c r="V12" s="17">
        <f t="shared" si="21"/>
        <v>0.29840984867914849</v>
      </c>
      <c r="W12" s="17">
        <f t="shared" si="21"/>
        <v>0.29778031663130405</v>
      </c>
      <c r="X12" s="17">
        <f t="shared" si="21"/>
        <v>0.33740917951444266</v>
      </c>
      <c r="Y12" s="17">
        <f>Y10/Y13</f>
        <v>0.33547826086956523</v>
      </c>
      <c r="Z12" s="17"/>
      <c r="AA12" s="102">
        <f t="shared" ref="AA12:AE12" si="22">AA10/AA13</f>
        <v>0.3048780487804878</v>
      </c>
      <c r="AB12" s="113"/>
      <c r="AC12" s="102">
        <f t="shared" si="22"/>
        <v>0.30501930501930502</v>
      </c>
      <c r="AD12" s="102">
        <f t="shared" si="22"/>
        <v>0.34424853064651556</v>
      </c>
      <c r="AE12" s="102">
        <f t="shared" si="22"/>
        <v>0.34240924092409242</v>
      </c>
      <c r="AF12" s="102"/>
      <c r="AG12" s="102">
        <f t="shared" ref="AG12:AJ12" si="23">AG10/AG13</f>
        <v>0.31718569780853517</v>
      </c>
      <c r="AH12" s="102">
        <f t="shared" si="23"/>
        <v>0.31551270815074495</v>
      </c>
      <c r="AI12" s="102">
        <f t="shared" si="23"/>
        <v>0.35629453681710216</v>
      </c>
      <c r="AJ12" s="102">
        <f t="shared" si="23"/>
        <v>0.35463756819953235</v>
      </c>
    </row>
    <row r="13" spans="1:37">
      <c r="A13" s="4" t="s">
        <v>35</v>
      </c>
      <c r="B13" s="22">
        <f t="shared" ref="B13:K13" si="24">B4+B7+B10</f>
        <v>1382500</v>
      </c>
      <c r="C13" s="22">
        <f t="shared" si="24"/>
        <v>1417400</v>
      </c>
      <c r="D13" s="22">
        <f t="shared" si="24"/>
        <v>1559300</v>
      </c>
      <c r="E13" s="22">
        <f t="shared" si="24"/>
        <v>1594600</v>
      </c>
      <c r="F13" s="22">
        <f t="shared" si="24"/>
        <v>2068200</v>
      </c>
      <c r="G13" s="22">
        <f t="shared" si="24"/>
        <v>2309300</v>
      </c>
      <c r="H13" s="22">
        <f t="shared" si="24"/>
        <v>2256100</v>
      </c>
      <c r="I13" s="22">
        <f t="shared" si="24"/>
        <v>2787400</v>
      </c>
      <c r="J13" s="22">
        <f t="shared" si="24"/>
        <v>2556100</v>
      </c>
      <c r="K13" s="22">
        <f t="shared" si="24"/>
        <v>4283800</v>
      </c>
      <c r="L13" s="22">
        <f>L4+L7+L10</f>
        <v>4518000</v>
      </c>
      <c r="M13" s="19">
        <f>SUM(AG13:AJ13)</f>
        <v>4782200</v>
      </c>
      <c r="N13" s="22"/>
      <c r="O13" s="22">
        <f t="shared" ref="O13:Y13" si="25">O4+O7+O10</f>
        <v>606700</v>
      </c>
      <c r="P13" s="22"/>
      <c r="Q13" s="22">
        <f t="shared" si="25"/>
        <v>575100</v>
      </c>
      <c r="R13" s="22">
        <f t="shared" si="25"/>
        <v>663500</v>
      </c>
      <c r="S13" s="22">
        <f t="shared" si="25"/>
        <v>651400</v>
      </c>
      <c r="T13" s="22">
        <f t="shared" si="25"/>
        <v>666100</v>
      </c>
      <c r="U13" s="22"/>
      <c r="V13" s="22">
        <f t="shared" si="25"/>
        <v>779800</v>
      </c>
      <c r="W13" s="22">
        <f t="shared" si="25"/>
        <v>1225400</v>
      </c>
      <c r="X13" s="22">
        <f t="shared" si="25"/>
        <v>1128600</v>
      </c>
      <c r="Y13" s="22">
        <f t="shared" si="25"/>
        <v>1150000</v>
      </c>
      <c r="Z13" s="22"/>
      <c r="AA13" s="104">
        <f t="shared" ref="AA13:AG13" si="26">AA4+AA7+AA10</f>
        <v>820000</v>
      </c>
      <c r="AB13" s="22"/>
      <c r="AC13" s="104">
        <f t="shared" si="26"/>
        <v>1295000</v>
      </c>
      <c r="AD13" s="104">
        <f t="shared" si="26"/>
        <v>1191000</v>
      </c>
      <c r="AE13" s="104">
        <f t="shared" si="26"/>
        <v>1212000</v>
      </c>
      <c r="AF13" s="104"/>
      <c r="AG13" s="104">
        <f t="shared" si="26"/>
        <v>867000</v>
      </c>
      <c r="AH13" s="104">
        <f t="shared" ref="AH13:AJ13" si="27">AH4+AH7+AH10</f>
        <v>1369200</v>
      </c>
      <c r="AI13" s="104">
        <f t="shared" si="27"/>
        <v>1263000</v>
      </c>
      <c r="AJ13" s="104">
        <f t="shared" si="27"/>
        <v>1283000</v>
      </c>
    </row>
    <row r="14" spans="1:37">
      <c r="A14" s="4"/>
      <c r="B14" s="6"/>
      <c r="C14" s="9">
        <f>(C13-B13)/ABS(B13)</f>
        <v>2.5244122965641953E-2</v>
      </c>
      <c r="D14" s="9">
        <f t="shared" ref="D14:K14" si="28">(D13-C13)/ABS(C13)</f>
        <v>0.10011288274305066</v>
      </c>
      <c r="E14" s="9">
        <f t="shared" si="28"/>
        <v>2.2638363368178028E-2</v>
      </c>
      <c r="F14" s="9">
        <f t="shared" si="28"/>
        <v>0.29700238304276932</v>
      </c>
      <c r="G14" s="9">
        <f t="shared" si="28"/>
        <v>0.11657479934242336</v>
      </c>
      <c r="H14" s="9">
        <f t="shared" si="28"/>
        <v>-2.3037284025462262E-2</v>
      </c>
      <c r="I14" s="9">
        <f t="shared" si="28"/>
        <v>0.23549488054607509</v>
      </c>
      <c r="J14" s="9">
        <f t="shared" si="28"/>
        <v>-8.2980555356245961E-2</v>
      </c>
      <c r="K14" s="9">
        <f t="shared" si="28"/>
        <v>0.67591252298423377</v>
      </c>
      <c r="L14" s="9">
        <f>(L13-K13)/ABS(K13)</f>
        <v>5.4671086418600308E-2</v>
      </c>
      <c r="M14" s="9">
        <f t="shared" ref="M14" si="29">(M13-L13)/ABS(L13)</f>
        <v>5.8477202301903494E-2</v>
      </c>
      <c r="N14" s="9"/>
      <c r="O14" s="9"/>
      <c r="P14" s="9"/>
      <c r="Q14" s="9"/>
      <c r="R14" s="9"/>
      <c r="S14" s="9"/>
      <c r="T14" s="9">
        <f>(T13-O13)/ABS(O13)</f>
        <v>9.7906708422614147E-2</v>
      </c>
      <c r="U14" s="9"/>
      <c r="V14" s="9">
        <f>(V13-Q13)/ABS(Q13)</f>
        <v>0.3559380977221353</v>
      </c>
      <c r="W14" s="9">
        <f>(W13-R13)/ABS(R13)</f>
        <v>0.84687264506405424</v>
      </c>
      <c r="X14" s="9">
        <f>(X13-S13)/ABS(S13)</f>
        <v>0.73257599017500763</v>
      </c>
      <c r="Y14" s="9">
        <f>(Y13-T13)/ABS(T13)</f>
        <v>0.72646749737276684</v>
      </c>
      <c r="Z14" s="9"/>
      <c r="AA14" s="103">
        <f>(AA13-V13)/ABS(V13)</f>
        <v>5.1551679917927674E-2</v>
      </c>
      <c r="AB14" s="114"/>
      <c r="AC14" s="103">
        <f>(AC13-W13)/ABS(W13)</f>
        <v>5.6797780316631304E-2</v>
      </c>
      <c r="AD14" s="103">
        <f>(AD13-X13)/ABS(X13)</f>
        <v>5.5289739500265819E-2</v>
      </c>
      <c r="AE14" s="103">
        <f t="shared" ref="AE14" si="30">(AE13-Y13)/ABS(Y13)</f>
        <v>5.3913043478260869E-2</v>
      </c>
      <c r="AF14" s="103"/>
      <c r="AG14" s="103">
        <f>(AG13-AA13)/ABS(AA13)</f>
        <v>5.731707317073171E-2</v>
      </c>
      <c r="AH14" s="103">
        <f t="shared" ref="AH14" si="31">(AH13-AC13)/ABS(AC13)</f>
        <v>5.7297297297297295E-2</v>
      </c>
      <c r="AI14" s="103">
        <f t="shared" ref="AI14" si="32">(AI13-AD13)/ABS(AD13)</f>
        <v>6.0453400503778336E-2</v>
      </c>
      <c r="AJ14" s="103">
        <f t="shared" ref="AJ14" si="33">(AJ13-AE13)/ABS(AE13)</f>
        <v>5.8580858085808582E-2</v>
      </c>
    </row>
    <row r="15" spans="1:37">
      <c r="A15" s="3" t="s">
        <v>36</v>
      </c>
      <c r="B15" s="6"/>
      <c r="C15" s="6"/>
      <c r="D15" s="6"/>
      <c r="H15" s="6"/>
      <c r="I15" s="6"/>
      <c r="J15" s="6"/>
      <c r="K15" s="6"/>
      <c r="L15" s="6"/>
      <c r="M15" s="6"/>
      <c r="N15" s="6"/>
      <c r="O15" s="3"/>
      <c r="P15" s="3"/>
      <c r="Q15" s="4" t="s">
        <v>3</v>
      </c>
      <c r="R15" s="4" t="s">
        <v>3</v>
      </c>
      <c r="S15" s="4" t="s">
        <v>3</v>
      </c>
      <c r="T15" s="4"/>
      <c r="U15" s="4"/>
      <c r="V15" s="4" t="s">
        <v>3</v>
      </c>
      <c r="W15" s="4" t="s">
        <v>3</v>
      </c>
      <c r="X15" s="4" t="s">
        <v>3</v>
      </c>
      <c r="AA15" s="99"/>
      <c r="AC15" s="99"/>
      <c r="AD15" s="99"/>
      <c r="AE15" s="99"/>
      <c r="AF15" s="99"/>
      <c r="AG15" s="99"/>
      <c r="AH15" s="99"/>
      <c r="AI15" s="99"/>
      <c r="AJ15" s="99"/>
    </row>
    <row r="16" spans="1:37">
      <c r="A16" s="4" t="s">
        <v>103</v>
      </c>
      <c r="B16" s="6">
        <v>519483</v>
      </c>
      <c r="C16" s="6">
        <v>489246</v>
      </c>
      <c r="D16" s="6">
        <v>524026</v>
      </c>
      <c r="E16" s="6">
        <v>553677</v>
      </c>
      <c r="F16" s="6">
        <v>834472</v>
      </c>
      <c r="G16" s="6">
        <v>845757</v>
      </c>
      <c r="H16" s="6">
        <v>774893</v>
      </c>
      <c r="I16" s="6">
        <v>914323</v>
      </c>
      <c r="J16" s="6">
        <v>736446</v>
      </c>
      <c r="K16" s="5">
        <f>SUM(V16:Y16)</f>
        <v>973375</v>
      </c>
      <c r="L16" s="19">
        <f>SUM(AA16:AE16)</f>
        <v>1176632</v>
      </c>
      <c r="M16" s="19">
        <f>SUM(AG16:AJ16)</f>
        <v>1371000</v>
      </c>
      <c r="N16" s="6"/>
      <c r="O16" s="4">
        <v>222774</v>
      </c>
      <c r="P16" s="4"/>
      <c r="Q16" s="6">
        <v>149116</v>
      </c>
      <c r="R16" s="6">
        <v>174185</v>
      </c>
      <c r="S16" s="6">
        <v>205177</v>
      </c>
      <c r="T16" s="6">
        <v>207968</v>
      </c>
      <c r="U16" s="6"/>
      <c r="V16" s="6">
        <v>197078</v>
      </c>
      <c r="W16" s="6">
        <v>254020</v>
      </c>
      <c r="X16" s="6">
        <v>252519</v>
      </c>
      <c r="Y16" s="6">
        <v>269758</v>
      </c>
      <c r="Z16" s="6"/>
      <c r="AA16" s="105">
        <v>240758</v>
      </c>
      <c r="AB16" s="6"/>
      <c r="AC16" s="105">
        <v>300758</v>
      </c>
      <c r="AD16" s="105">
        <v>308058</v>
      </c>
      <c r="AE16" s="105">
        <v>327058</v>
      </c>
      <c r="AF16" s="105"/>
      <c r="AG16" s="105">
        <v>280000</v>
      </c>
      <c r="AH16" s="105">
        <v>356000</v>
      </c>
      <c r="AI16" s="105">
        <v>360000</v>
      </c>
      <c r="AJ16" s="105">
        <v>375000</v>
      </c>
    </row>
    <row r="17" spans="1:36">
      <c r="A17" s="4"/>
      <c r="B17" s="6"/>
      <c r="C17" s="9">
        <f>(C16-B16)/ABS(B16)</f>
        <v>-5.8205947066602759E-2</v>
      </c>
      <c r="D17" s="9">
        <f t="shared" ref="D17:K17" si="34">(D16-C16)/ABS(C16)</f>
        <v>7.1088981821006203E-2</v>
      </c>
      <c r="E17" s="9">
        <f t="shared" si="34"/>
        <v>5.6583070305671855E-2</v>
      </c>
      <c r="F17" s="9">
        <f t="shared" si="34"/>
        <v>0.50714586302122</v>
      </c>
      <c r="G17" s="9">
        <f t="shared" si="34"/>
        <v>1.3523521460276678E-2</v>
      </c>
      <c r="H17" s="9">
        <f t="shared" si="34"/>
        <v>-8.3787660048926585E-2</v>
      </c>
      <c r="I17" s="9">
        <f t="shared" si="34"/>
        <v>0.17993451999179241</v>
      </c>
      <c r="J17" s="9">
        <f t="shared" si="34"/>
        <v>-0.19454503496029302</v>
      </c>
      <c r="K17" s="9">
        <f t="shared" si="34"/>
        <v>0.32171944718282131</v>
      </c>
      <c r="L17" s="9">
        <f>(L16-K16)/ABS(K16)</f>
        <v>0.20881674585848209</v>
      </c>
      <c r="M17" s="9">
        <f>(M16-L16)/ABS(L16)</f>
        <v>0.16519013591335269</v>
      </c>
      <c r="N17" s="6"/>
      <c r="O17" s="4"/>
      <c r="P17" s="4"/>
      <c r="Q17" s="6"/>
      <c r="R17" s="6"/>
      <c r="S17" s="6"/>
      <c r="T17" s="9">
        <f>(T16-O16)/ABS(O16)</f>
        <v>-6.6461974916282876E-2</v>
      </c>
      <c r="U17" s="9"/>
      <c r="V17" s="9">
        <f>(V16-Q16)/ABS(Q16)</f>
        <v>0.3216422114327101</v>
      </c>
      <c r="W17" s="9">
        <f>(W16-R16)/ABS(R16)</f>
        <v>0.4583345293796825</v>
      </c>
      <c r="X17" s="9">
        <f>(X16-S16)/ABS(S16)</f>
        <v>0.23073736334969319</v>
      </c>
      <c r="Y17" s="9">
        <f>(Y16-T16)/ABS(T16)</f>
        <v>0.29711301738729035</v>
      </c>
      <c r="Z17" s="9"/>
      <c r="AA17" s="103">
        <f>(AA16-V16)/ABS(V16)</f>
        <v>0.22163813312495559</v>
      </c>
      <c r="AB17" s="114"/>
      <c r="AC17" s="103">
        <f>(AC16-W16)/ABS(W16)</f>
        <v>0.18399338634753168</v>
      </c>
      <c r="AD17" s="103">
        <f>(AD16-X16)/ABS(X16)</f>
        <v>0.21993988571157022</v>
      </c>
      <c r="AE17" s="103">
        <f t="shared" ref="AE17" si="35">(AE16-Y16)/ABS(Y16)</f>
        <v>0.21241260685503302</v>
      </c>
      <c r="AF17" s="103"/>
      <c r="AG17" s="103">
        <f t="shared" ref="AG17" si="36">(AG16-AA16)/ABS(AA16)</f>
        <v>0.16299354538582311</v>
      </c>
      <c r="AH17" s="103">
        <f t="shared" ref="AH17" si="37">(AH16-AC16)/ABS(AC16)</f>
        <v>0.18367591219518684</v>
      </c>
      <c r="AI17" s="103">
        <f t="shared" ref="AI17" si="38">(AI16-AD16)/ABS(AD16)</f>
        <v>0.16861110570087451</v>
      </c>
      <c r="AJ17" s="103">
        <f t="shared" ref="AJ17" si="39">(AJ16-AE16)/ABS(AE16)</f>
        <v>0.14658562089904542</v>
      </c>
    </row>
    <row r="18" spans="1:36">
      <c r="A18" s="4"/>
      <c r="B18" s="15">
        <f t="shared" ref="B18:L18" si="40">B16/B30</f>
        <v>0.39978959374045225</v>
      </c>
      <c r="C18" s="15">
        <f t="shared" si="40"/>
        <v>0.35547608391120616</v>
      </c>
      <c r="D18" s="15">
        <f t="shared" si="40"/>
        <v>0.34410241660855301</v>
      </c>
      <c r="E18" s="15">
        <f t="shared" si="40"/>
        <v>0.32823871302788932</v>
      </c>
      <c r="F18" s="15">
        <f t="shared" si="40"/>
        <v>0.39197737023915885</v>
      </c>
      <c r="G18" s="15">
        <f t="shared" si="40"/>
        <v>0.37244612841985947</v>
      </c>
      <c r="H18" s="15">
        <f t="shared" si="40"/>
        <v>0.35256479670809154</v>
      </c>
      <c r="I18" s="15">
        <f t="shared" si="40"/>
        <v>0.32897540931995589</v>
      </c>
      <c r="J18" s="15">
        <f t="shared" si="40"/>
        <v>0.27153947068596673</v>
      </c>
      <c r="K18" s="15">
        <f t="shared" si="40"/>
        <v>0.18778103250967867</v>
      </c>
      <c r="L18" s="15">
        <f t="shared" si="40"/>
        <v>0.23948959125860306</v>
      </c>
      <c r="M18" s="15">
        <f t="shared" ref="M18" si="41">M16/M30</f>
        <v>0.24415166822726656</v>
      </c>
      <c r="N18" s="15"/>
      <c r="O18" s="15">
        <f t="shared" ref="O18:AE18" si="42">O16/O30</f>
        <v>0.3083415571958682</v>
      </c>
      <c r="P18" s="15"/>
      <c r="Q18" s="15">
        <f t="shared" si="42"/>
        <v>0.23605733155610154</v>
      </c>
      <c r="R18" s="15">
        <f t="shared" si="42"/>
        <v>0.26436769397487231</v>
      </c>
      <c r="S18" s="15">
        <f t="shared" si="42"/>
        <v>0.30051336130822914</v>
      </c>
      <c r="T18" s="15">
        <f t="shared" si="42"/>
        <v>0.28149774428762669</v>
      </c>
      <c r="U18" s="15"/>
      <c r="V18" s="15">
        <f t="shared" si="42"/>
        <v>0.23995655704870408</v>
      </c>
      <c r="W18" s="15">
        <f t="shared" si="42"/>
        <v>0.12512795049658093</v>
      </c>
      <c r="X18" s="15">
        <f t="shared" si="42"/>
        <v>0.21537591570522416</v>
      </c>
      <c r="Y18" s="15">
        <f t="shared" si="42"/>
        <v>0.23260654745377757</v>
      </c>
      <c r="Z18" s="15"/>
      <c r="AA18" s="106">
        <f t="shared" si="42"/>
        <v>0.23206552175174489</v>
      </c>
      <c r="AB18" s="115"/>
      <c r="AC18" s="106">
        <f t="shared" si="42"/>
        <v>0.2402007489751308</v>
      </c>
      <c r="AD18" s="106">
        <f t="shared" si="42"/>
        <v>0.2399659748690757</v>
      </c>
      <c r="AE18" s="106">
        <f t="shared" si="42"/>
        <v>0.24411740337986665</v>
      </c>
      <c r="AF18" s="106"/>
      <c r="AG18" s="106">
        <f t="shared" ref="AG18:AJ18" si="43">AG16/AG30</f>
        <v>0.23317030842602546</v>
      </c>
      <c r="AH18" s="106">
        <f t="shared" si="43"/>
        <v>0.24690673028907506</v>
      </c>
      <c r="AI18" s="106">
        <f t="shared" si="43"/>
        <v>0.24392871589825732</v>
      </c>
      <c r="AJ18" s="106">
        <f t="shared" si="43"/>
        <v>0.25052744377830127</v>
      </c>
    </row>
    <row r="19" spans="1:36">
      <c r="A19" s="4" t="s">
        <v>104</v>
      </c>
      <c r="B19" s="6">
        <v>444431</v>
      </c>
      <c r="C19" s="6">
        <v>495099</v>
      </c>
      <c r="D19" s="6">
        <v>524949</v>
      </c>
      <c r="E19" s="5">
        <v>567137</v>
      </c>
      <c r="F19" s="5">
        <v>703249</v>
      </c>
      <c r="G19" s="5">
        <v>763930</v>
      </c>
      <c r="H19" s="5">
        <v>789391</v>
      </c>
      <c r="I19" s="5">
        <v>1025799</v>
      </c>
      <c r="J19" s="5">
        <v>1098308</v>
      </c>
      <c r="K19" s="5">
        <f>SUM(V19:Y19)</f>
        <v>1928721</v>
      </c>
      <c r="L19" s="19">
        <f>SUM(AA19:AE19)</f>
        <v>2365444</v>
      </c>
      <c r="M19" s="19">
        <f>SUM(AG19:AJ19)</f>
        <v>2772000</v>
      </c>
      <c r="N19" s="6"/>
      <c r="O19" s="4">
        <v>274808</v>
      </c>
      <c r="P19" s="4"/>
      <c r="Q19" s="5">
        <v>268665</v>
      </c>
      <c r="R19" s="5">
        <v>267703</v>
      </c>
      <c r="S19" s="5">
        <v>277856</v>
      </c>
      <c r="T19" s="5">
        <v>284084</v>
      </c>
      <c r="U19" s="5"/>
      <c r="V19" s="5">
        <v>347833</v>
      </c>
      <c r="W19" s="5">
        <v>512270</v>
      </c>
      <c r="X19" s="5">
        <v>514757</v>
      </c>
      <c r="Y19" s="5">
        <v>553861</v>
      </c>
      <c r="Z19" s="5"/>
      <c r="AA19" s="107">
        <v>483861</v>
      </c>
      <c r="AB19" s="5"/>
      <c r="AC19" s="107">
        <v>623861</v>
      </c>
      <c r="AD19" s="107">
        <v>613861</v>
      </c>
      <c r="AE19" s="107">
        <v>643861</v>
      </c>
      <c r="AF19" s="107"/>
      <c r="AG19" s="107">
        <v>580000</v>
      </c>
      <c r="AH19" s="107">
        <v>730000</v>
      </c>
      <c r="AI19" s="107">
        <v>733000</v>
      </c>
      <c r="AJ19" s="107">
        <v>729000</v>
      </c>
    </row>
    <row r="20" spans="1:36">
      <c r="A20" s="4"/>
      <c r="B20" s="6"/>
      <c r="C20" s="9">
        <f>(C19-B19)/ABS(B19)</f>
        <v>0.11400644869507302</v>
      </c>
      <c r="D20" s="9">
        <f t="shared" ref="D20:K20" si="44">(D19-C19)/ABS(C19)</f>
        <v>6.0290972108608579E-2</v>
      </c>
      <c r="E20" s="9">
        <f t="shared" si="44"/>
        <v>8.0365902211452928E-2</v>
      </c>
      <c r="F20" s="9">
        <f t="shared" si="44"/>
        <v>0.23999844834669576</v>
      </c>
      <c r="G20" s="9">
        <f t="shared" si="44"/>
        <v>8.6286649536650606E-2</v>
      </c>
      <c r="H20" s="9">
        <f t="shared" si="44"/>
        <v>3.3328969931800033E-2</v>
      </c>
      <c r="I20" s="9">
        <f t="shared" si="44"/>
        <v>0.29948149902899829</v>
      </c>
      <c r="J20" s="9">
        <f t="shared" si="44"/>
        <v>7.0685387683162099E-2</v>
      </c>
      <c r="K20" s="9">
        <f t="shared" si="44"/>
        <v>0.75608390360445343</v>
      </c>
      <c r="L20" s="9">
        <f>(L19-K19)/ABS(K19)</f>
        <v>0.22643140194978953</v>
      </c>
      <c r="M20" s="9">
        <f>(M19-L19)/ABS(L19)</f>
        <v>0.17187301834243382</v>
      </c>
      <c r="N20" s="6"/>
      <c r="O20" s="4"/>
      <c r="P20" s="4"/>
      <c r="Q20" s="5"/>
      <c r="R20" s="5"/>
      <c r="S20" s="5"/>
      <c r="T20" s="9">
        <f>(T19-O19)/ABS(O19)</f>
        <v>3.3754475852231375E-2</v>
      </c>
      <c r="U20" s="9"/>
      <c r="V20" s="9">
        <f>(V19-Q19)/ABS(Q19)</f>
        <v>0.29467180317495767</v>
      </c>
      <c r="W20" s="9">
        <f>(W19-R19)/ABS(R19)</f>
        <v>0.91357586579156758</v>
      </c>
      <c r="X20" s="9">
        <f>(X19-S19)/ABS(S19)</f>
        <v>0.85260350685247033</v>
      </c>
      <c r="Y20" s="9">
        <f>(Y19-T19)/ABS(T19)</f>
        <v>0.94963813519944806</v>
      </c>
      <c r="Z20" s="9"/>
      <c r="AA20" s="103">
        <f>(AA19-V19)/ABS(V19)</f>
        <v>0.39107272742954236</v>
      </c>
      <c r="AB20" s="114"/>
      <c r="AC20" s="103">
        <f>(AC19-W19)/ABS(W19)</f>
        <v>0.21783629726511411</v>
      </c>
      <c r="AD20" s="103">
        <f>(AD19-X19)/ABS(X19)</f>
        <v>0.192525793724029</v>
      </c>
      <c r="AE20" s="103">
        <f t="shared" ref="AE20" si="45">(AE19-Y19)/ABS(Y19)</f>
        <v>0.16249564421398149</v>
      </c>
      <c r="AF20" s="103"/>
      <c r="AG20" s="103">
        <f t="shared" ref="AG20" si="46">(AG19-AA19)/ABS(AA19)</f>
        <v>0.19869135970867666</v>
      </c>
      <c r="AH20" s="103">
        <f t="shared" ref="AH20" si="47">(AH19-AC19)/ABS(AC19)</f>
        <v>0.17013244937574235</v>
      </c>
      <c r="AI20" s="103">
        <f t="shared" ref="AI20" si="48">(AI19-AD19)/ABS(AD19)</f>
        <v>0.19408139627700732</v>
      </c>
      <c r="AJ20" s="103">
        <f t="shared" ref="AJ20" si="49">(AJ19-AE19)/ABS(AE19)</f>
        <v>0.13223195689752912</v>
      </c>
    </row>
    <row r="21" spans="1:36">
      <c r="A21" s="4"/>
      <c r="B21" s="15">
        <f t="shared" ref="B21:L21" si="50">B19/B30</f>
        <v>0.34203022800681243</v>
      </c>
      <c r="C21" s="15">
        <f t="shared" si="50"/>
        <v>0.35972875336406279</v>
      </c>
      <c r="D21" s="15">
        <f t="shared" si="50"/>
        <v>0.34470850586849372</v>
      </c>
      <c r="E21" s="15">
        <f t="shared" si="50"/>
        <v>0.3362182626161066</v>
      </c>
      <c r="F21" s="15">
        <f t="shared" si="50"/>
        <v>0.33033785872182436</v>
      </c>
      <c r="G21" s="15">
        <f t="shared" si="50"/>
        <v>0.3364119609814441</v>
      </c>
      <c r="H21" s="15">
        <f t="shared" si="50"/>
        <v>0.35916117120453672</v>
      </c>
      <c r="I21" s="15">
        <f t="shared" si="50"/>
        <v>0.3690847172224711</v>
      </c>
      <c r="J21" s="15">
        <f t="shared" si="50"/>
        <v>0.40496380314396813</v>
      </c>
      <c r="K21" s="15">
        <f t="shared" si="50"/>
        <v>0.37208395613519962</v>
      </c>
      <c r="L21" s="15">
        <f t="shared" si="50"/>
        <v>0.48145827812358921</v>
      </c>
      <c r="M21" s="15">
        <f t="shared" ref="M21" si="51">M19/M30</f>
        <v>0.49364582372427634</v>
      </c>
      <c r="N21" s="15"/>
      <c r="O21" s="15">
        <f t="shared" ref="O21:Y21" si="52">O19/O30</f>
        <v>0.38036183149686292</v>
      </c>
      <c r="P21" s="15"/>
      <c r="Q21" s="15">
        <f t="shared" si="52"/>
        <v>0.42530877291853336</v>
      </c>
      <c r="R21" s="15">
        <f t="shared" si="52"/>
        <v>0.40630378494218927</v>
      </c>
      <c r="S21" s="15">
        <f t="shared" si="52"/>
        <v>0.40696296621775013</v>
      </c>
      <c r="T21" s="15">
        <f t="shared" si="52"/>
        <v>0.38452552887081731</v>
      </c>
      <c r="U21" s="15"/>
      <c r="V21" s="15">
        <f t="shared" si="52"/>
        <v>0.42351154927451001</v>
      </c>
      <c r="W21" s="15">
        <f t="shared" si="52"/>
        <v>0.25233956066799273</v>
      </c>
      <c r="X21" s="15">
        <f t="shared" si="52"/>
        <v>0.439041261214697</v>
      </c>
      <c r="Y21" s="15">
        <f t="shared" si="52"/>
        <v>0.47758248125837488</v>
      </c>
      <c r="Z21" s="15"/>
      <c r="AA21" s="106">
        <f t="shared" ref="AA21:AE21" si="53">AA19/AA30</f>
        <v>0.4663913781486847</v>
      </c>
      <c r="AB21" s="115"/>
      <c r="AC21" s="106">
        <f t="shared" si="53"/>
        <v>0.49824735985867069</v>
      </c>
      <c r="AD21" s="106">
        <f t="shared" si="53"/>
        <v>0.47817538677491145</v>
      </c>
      <c r="AE21" s="106">
        <f t="shared" si="53"/>
        <v>0.48058043361594677</v>
      </c>
      <c r="AF21" s="106"/>
      <c r="AG21" s="106">
        <f t="shared" ref="AG21:AJ21" si="54">AG19/AG30</f>
        <v>0.48299563888248132</v>
      </c>
      <c r="AH21" s="106">
        <f t="shared" si="54"/>
        <v>0.50629750873883372</v>
      </c>
      <c r="AI21" s="106">
        <f t="shared" si="54"/>
        <v>0.4966659687595073</v>
      </c>
      <c r="AJ21" s="106">
        <f t="shared" si="54"/>
        <v>0.48702535070501762</v>
      </c>
    </row>
    <row r="22" spans="1:36">
      <c r="A22" s="4" t="s">
        <v>60</v>
      </c>
      <c r="B22" s="6">
        <v>270841</v>
      </c>
      <c r="C22" s="6">
        <v>298345</v>
      </c>
      <c r="D22" s="6">
        <v>333468</v>
      </c>
      <c r="E22" s="6">
        <v>385420</v>
      </c>
      <c r="F22" s="6">
        <v>458458</v>
      </c>
      <c r="G22" s="6">
        <v>523085</v>
      </c>
      <c r="H22" s="6">
        <v>512316</v>
      </c>
      <c r="I22" s="6">
        <v>657251</v>
      </c>
      <c r="J22" s="6">
        <v>718626</v>
      </c>
      <c r="K22" s="5">
        <f>SUM(V22:Y22)</f>
        <v>1903650</v>
      </c>
      <c r="L22" s="19">
        <f>SUM(AA22:AE22)</f>
        <v>1137038</v>
      </c>
      <c r="M22" s="19">
        <f>SUM(AG22:AJ22)</f>
        <v>1257384</v>
      </c>
      <c r="N22" s="6"/>
      <c r="O22" s="4">
        <v>176145</v>
      </c>
      <c r="P22" s="4"/>
      <c r="Q22" s="6">
        <v>171625</v>
      </c>
      <c r="R22" s="6">
        <v>177191</v>
      </c>
      <c r="S22" s="6">
        <v>162845</v>
      </c>
      <c r="T22" s="6">
        <v>206965</v>
      </c>
      <c r="U22" s="6"/>
      <c r="V22" s="6">
        <v>219581</v>
      </c>
      <c r="W22" s="6">
        <v>1148989</v>
      </c>
      <c r="X22" s="6">
        <v>271734</v>
      </c>
      <c r="Y22" s="6">
        <v>263346</v>
      </c>
      <c r="Z22" s="6"/>
      <c r="AA22" s="105">
        <v>253346</v>
      </c>
      <c r="AB22" s="6"/>
      <c r="AC22" s="105">
        <v>270000</v>
      </c>
      <c r="AD22" s="105">
        <v>303346</v>
      </c>
      <c r="AE22" s="105">
        <v>310346</v>
      </c>
      <c r="AF22" s="105"/>
      <c r="AG22" s="105">
        <v>290346</v>
      </c>
      <c r="AH22" s="105">
        <v>303346</v>
      </c>
      <c r="AI22" s="105">
        <v>328346</v>
      </c>
      <c r="AJ22" s="105">
        <v>335346</v>
      </c>
    </row>
    <row r="23" spans="1:36">
      <c r="A23" s="4"/>
      <c r="B23" s="6"/>
      <c r="C23" s="9">
        <f>(C22-B22)/ABS(B22)</f>
        <v>0.10155035611299619</v>
      </c>
      <c r="D23" s="9">
        <f t="shared" ref="D23:K23" si="55">(D22-C22)/ABS(C22)</f>
        <v>0.11772612244213913</v>
      </c>
      <c r="E23" s="9">
        <f t="shared" si="55"/>
        <v>0.15579305960392001</v>
      </c>
      <c r="F23" s="9">
        <f t="shared" si="55"/>
        <v>0.1895023610606611</v>
      </c>
      <c r="G23" s="9">
        <f t="shared" si="55"/>
        <v>0.14096602087868462</v>
      </c>
      <c r="H23" s="9">
        <f t="shared" si="55"/>
        <v>-2.0587476222793617E-2</v>
      </c>
      <c r="I23" s="9">
        <f t="shared" si="55"/>
        <v>0.28290156856315241</v>
      </c>
      <c r="J23" s="9">
        <f t="shared" si="55"/>
        <v>9.338137180468345E-2</v>
      </c>
      <c r="K23" s="9">
        <f t="shared" si="55"/>
        <v>1.6490135341610239</v>
      </c>
      <c r="L23" s="9">
        <f>(L22-K22)/ABS(K22)</f>
        <v>-0.40270637984923702</v>
      </c>
      <c r="M23" s="9">
        <f>(M22-L22)/ABS(L22)</f>
        <v>0.10584166931975889</v>
      </c>
      <c r="N23" s="6"/>
      <c r="O23" s="4"/>
      <c r="P23" s="4"/>
      <c r="Q23" s="6"/>
      <c r="R23" s="6"/>
      <c r="S23" s="6"/>
      <c r="T23" s="9">
        <f>(T22-O22)/ABS(O22)</f>
        <v>0.17496948536716908</v>
      </c>
      <c r="U23" s="9"/>
      <c r="V23" s="9">
        <f>(V22-Q22)/ABS(Q22)</f>
        <v>0.27942316096139841</v>
      </c>
      <c r="W23" s="9">
        <f>(W22-R22)/ABS(R22)</f>
        <v>5.4844659153117261</v>
      </c>
      <c r="X23" s="9">
        <f>(X22-S22)/ABS(S22)</f>
        <v>0.66866652338112931</v>
      </c>
      <c r="Y23" s="9">
        <f>(Y22-T22)/ABS(T22)</f>
        <v>0.27241804169787159</v>
      </c>
      <c r="Z23" s="9"/>
      <c r="AA23" s="103">
        <f>(AA22-V22)/ABS(V22)</f>
        <v>0.15377013493881528</v>
      </c>
      <c r="AB23" s="114"/>
      <c r="AC23" s="103">
        <f>(AC22-W22)/ABS(W22)</f>
        <v>-0.76501080515131126</v>
      </c>
      <c r="AD23" s="103">
        <f>(AD22-X22)/ABS(X22)</f>
        <v>0.11633435639264869</v>
      </c>
      <c r="AE23" s="103">
        <f t="shared" ref="AE23" si="56">(AE22-Y22)/ABS(Y22)</f>
        <v>0.17847242790853099</v>
      </c>
      <c r="AF23" s="103"/>
      <c r="AG23" s="103">
        <f t="shared" ref="AG23" si="57">(AG22-AA22)/ABS(AA22)</f>
        <v>0.14604532931248174</v>
      </c>
      <c r="AH23" s="103">
        <f t="shared" ref="AH23" si="58">(AH22-AC22)/ABS(AC22)</f>
        <v>0.1235037037037037</v>
      </c>
      <c r="AI23" s="103">
        <f t="shared" ref="AI23" si="59">(AI22-AD22)/ABS(AD22)</f>
        <v>8.2414140947960415E-2</v>
      </c>
      <c r="AJ23" s="103">
        <f t="shared" ref="AJ23" si="60">(AJ22-AE22)/ABS(AE22)</f>
        <v>8.0555251235717551E-2</v>
      </c>
    </row>
    <row r="24" spans="1:36">
      <c r="A24" s="4"/>
      <c r="B24" s="15">
        <f t="shared" ref="B24:L24" si="61">B22/B30</f>
        <v>0.20843687542856615</v>
      </c>
      <c r="C24" s="15">
        <f t="shared" si="61"/>
        <v>0.21677134254442307</v>
      </c>
      <c r="D24" s="15">
        <f t="shared" si="61"/>
        <v>0.21897223546469252</v>
      </c>
      <c r="E24" s="15">
        <f t="shared" si="61"/>
        <v>0.22849019333511975</v>
      </c>
      <c r="F24" s="15">
        <f t="shared" si="61"/>
        <v>0.21535193656000953</v>
      </c>
      <c r="G24" s="15">
        <f t="shared" si="61"/>
        <v>0.23035101463482086</v>
      </c>
      <c r="H24" s="15">
        <f t="shared" si="61"/>
        <v>0.23309616474829767</v>
      </c>
      <c r="I24" s="15">
        <f t="shared" si="61"/>
        <v>0.23648034310735958</v>
      </c>
      <c r="J24" s="15">
        <f t="shared" si="61"/>
        <v>0.26496895042022572</v>
      </c>
      <c r="K24" s="15">
        <f t="shared" si="61"/>
        <v>0.36724732249857434</v>
      </c>
      <c r="L24" s="15">
        <f t="shared" si="61"/>
        <v>0.23143069869381377</v>
      </c>
      <c r="M24" s="15">
        <f t="shared" ref="M24" si="62">M22/M30</f>
        <v>0.22391860043929493</v>
      </c>
      <c r="N24" s="15"/>
      <c r="O24" s="15">
        <f t="shared" ref="O24:Y24" si="63">O22/O30</f>
        <v>0.24380234494270517</v>
      </c>
      <c r="P24" s="15"/>
      <c r="Q24" s="15">
        <f t="shared" si="63"/>
        <v>0.27169009045518877</v>
      </c>
      <c r="R24" s="15">
        <f t="shared" si="63"/>
        <v>0.26893002303930647</v>
      </c>
      <c r="S24" s="15">
        <f t="shared" si="63"/>
        <v>0.23851161836969337</v>
      </c>
      <c r="T24" s="15">
        <f t="shared" si="63"/>
        <v>0.28014012081901379</v>
      </c>
      <c r="U24" s="15"/>
      <c r="V24" s="15">
        <f t="shared" si="63"/>
        <v>0.26735556862415638</v>
      </c>
      <c r="W24" s="15">
        <f t="shared" si="63"/>
        <v>0.56598157118776482</v>
      </c>
      <c r="X24" s="15">
        <f t="shared" si="63"/>
        <v>0.23176457644075646</v>
      </c>
      <c r="Y24" s="15">
        <f t="shared" si="63"/>
        <v>0.22707761714485764</v>
      </c>
      <c r="Z24" s="15"/>
      <c r="AA24" s="106">
        <f t="shared" ref="AA24:AE24" si="64">AA22/AA30</f>
        <v>0.24419903668296614</v>
      </c>
      <c r="AB24" s="115"/>
      <c r="AC24" s="106">
        <f t="shared" si="64"/>
        <v>0.21563583420319765</v>
      </c>
      <c r="AD24" s="106">
        <f t="shared" si="64"/>
        <v>0.2362954982913433</v>
      </c>
      <c r="AE24" s="106">
        <f t="shared" si="64"/>
        <v>0.23164349953013869</v>
      </c>
      <c r="AF24" s="106"/>
      <c r="AG24" s="106">
        <f t="shared" ref="AG24:AJ24" si="65">AG22/AG30</f>
        <v>0.2417859513223671</v>
      </c>
      <c r="AH24" s="106">
        <f t="shared" si="65"/>
        <v>0.21038811518615103</v>
      </c>
      <c r="AI24" s="106">
        <f t="shared" si="65"/>
        <v>0.22248060597313668</v>
      </c>
      <c r="AJ24" s="106">
        <f t="shared" si="65"/>
        <v>0.22403566976340855</v>
      </c>
    </row>
    <row r="25" spans="1:36">
      <c r="A25" s="4" t="s">
        <v>37</v>
      </c>
      <c r="B25" s="6">
        <v>46670</v>
      </c>
      <c r="C25" s="6">
        <v>77184</v>
      </c>
      <c r="D25" s="6">
        <v>129647</v>
      </c>
      <c r="E25" s="6">
        <v>168347</v>
      </c>
      <c r="F25" s="6">
        <v>123044</v>
      </c>
      <c r="G25" s="6">
        <v>130434</v>
      </c>
      <c r="H25" s="6">
        <v>115792</v>
      </c>
      <c r="I25" s="6">
        <v>153203</v>
      </c>
      <c r="J25" s="6">
        <v>128923</v>
      </c>
      <c r="K25" s="5">
        <f>SUM(V25:Y25)</f>
        <v>150653</v>
      </c>
      <c r="L25" s="19">
        <f>SUM(AA25:AE25)</f>
        <v>180968</v>
      </c>
      <c r="M25" s="19">
        <f>SUM(AG25:AJ25)</f>
        <v>201968</v>
      </c>
      <c r="N25" s="4"/>
      <c r="O25" s="4">
        <v>40894</v>
      </c>
      <c r="P25" s="4"/>
      <c r="Q25" s="6">
        <v>34765</v>
      </c>
      <c r="R25" s="6">
        <v>32416</v>
      </c>
      <c r="S25" s="6">
        <v>29444</v>
      </c>
      <c r="T25" s="6">
        <v>32298</v>
      </c>
      <c r="U25" s="6"/>
      <c r="V25" s="6">
        <v>29004</v>
      </c>
      <c r="W25" s="6">
        <v>33429</v>
      </c>
      <c r="X25" s="6">
        <v>41728</v>
      </c>
      <c r="Y25" s="6">
        <v>46492</v>
      </c>
      <c r="Z25" s="6"/>
      <c r="AA25" s="105">
        <v>39492</v>
      </c>
      <c r="AB25" s="6"/>
      <c r="AC25" s="105">
        <v>42492</v>
      </c>
      <c r="AD25" s="105">
        <v>48492</v>
      </c>
      <c r="AE25" s="105">
        <v>50492</v>
      </c>
      <c r="AF25" s="105"/>
      <c r="AG25" s="105">
        <v>44492</v>
      </c>
      <c r="AH25" s="105">
        <v>48492</v>
      </c>
      <c r="AI25" s="105">
        <v>52492</v>
      </c>
      <c r="AJ25" s="105">
        <v>56492</v>
      </c>
    </row>
    <row r="26" spans="1:36">
      <c r="A26" s="4"/>
      <c r="B26" s="6"/>
      <c r="C26" s="9">
        <f>(C25-B25)/ABS(B25)</f>
        <v>0.65382472680522818</v>
      </c>
      <c r="D26" s="9">
        <f t="shared" ref="D26:K26" si="66">(D25-C25)/ABS(C25)</f>
        <v>0.67971341210613601</v>
      </c>
      <c r="E26" s="9">
        <f t="shared" si="66"/>
        <v>0.29850285775991731</v>
      </c>
      <c r="F26" s="9">
        <f t="shared" si="66"/>
        <v>-0.26910488455392728</v>
      </c>
      <c r="G26" s="9">
        <f t="shared" si="66"/>
        <v>6.0059816000780211E-2</v>
      </c>
      <c r="H26" s="9">
        <f t="shared" si="66"/>
        <v>-0.11225600686937455</v>
      </c>
      <c r="I26" s="9">
        <f t="shared" si="66"/>
        <v>0.32308795080834601</v>
      </c>
      <c r="J26" s="9">
        <f t="shared" si="66"/>
        <v>-0.15848253624276287</v>
      </c>
      <c r="K26" s="9">
        <f t="shared" si="66"/>
        <v>0.16855021989869923</v>
      </c>
      <c r="L26" s="9">
        <f>(L25-K25)/ABS(K25)</f>
        <v>0.20122400483229674</v>
      </c>
      <c r="M26" s="9">
        <f>(M25-L25)/ABS(L25)</f>
        <v>0.11604261526899784</v>
      </c>
      <c r="N26" s="6"/>
      <c r="O26" s="4"/>
      <c r="P26" s="4"/>
      <c r="Q26" s="6"/>
      <c r="R26" s="6"/>
      <c r="S26" s="6"/>
      <c r="T26" s="9">
        <f>(T25-O25)/ABS(O25)</f>
        <v>-0.21020198562136255</v>
      </c>
      <c r="U26" s="9"/>
      <c r="V26" s="9">
        <f>(V25-Q25)/ABS(Q25)</f>
        <v>-0.16571264202502517</v>
      </c>
      <c r="W26" s="9">
        <f>(W25-R25)/ABS(R25)</f>
        <v>3.125E-2</v>
      </c>
      <c r="X26" s="9">
        <f>(X25-S25)/ABS(S25)</f>
        <v>0.41719875016981389</v>
      </c>
      <c r="Y26" s="9">
        <f>(Y25-T25)/ABS(T25)</f>
        <v>0.43946993621896091</v>
      </c>
      <c r="Z26" s="9"/>
      <c r="AA26" s="103">
        <f>(AA25-V25)/ABS(V25)</f>
        <v>0.36160529582126605</v>
      </c>
      <c r="AB26" s="114"/>
      <c r="AC26" s="103">
        <f>(AC25-W25)/ABS(W25)</f>
        <v>0.27111190882168179</v>
      </c>
      <c r="AD26" s="103">
        <f>(AD25-X25)/ABS(X25)</f>
        <v>0.1620973926380368</v>
      </c>
      <c r="AE26" s="103">
        <f t="shared" ref="AE26" si="67">(AE25-Y25)/ABS(Y25)</f>
        <v>8.6036307321689751E-2</v>
      </c>
      <c r="AF26" s="103"/>
      <c r="AG26" s="103">
        <f t="shared" ref="AG26" si="68">(AG25-AA25)/ABS(AA25)</f>
        <v>0.12660792059151221</v>
      </c>
      <c r="AH26" s="103">
        <f t="shared" ref="AH26" si="69">(AH25-AC25)/ABS(AC25)</f>
        <v>0.14120304998587971</v>
      </c>
      <c r="AI26" s="103">
        <f t="shared" ref="AI26" si="70">(AI25-AD25)/ABS(AD25)</f>
        <v>8.2487833044625924E-2</v>
      </c>
      <c r="AJ26" s="103">
        <f t="shared" ref="AJ26" si="71">(AJ25-AE25)/ABS(AE25)</f>
        <v>0.11883070585439277</v>
      </c>
    </row>
    <row r="27" spans="1:36">
      <c r="A27" s="4"/>
      <c r="B27" s="15">
        <f t="shared" ref="B27:L27" si="72">B25/B30</f>
        <v>3.5916825651401307E-2</v>
      </c>
      <c r="C27" s="15">
        <f t="shared" si="72"/>
        <v>5.6080307372165614E-2</v>
      </c>
      <c r="D27" s="15">
        <f t="shared" si="72"/>
        <v>8.513288654770769E-2</v>
      </c>
      <c r="E27" s="15">
        <f t="shared" si="72"/>
        <v>9.9801874779169228E-2</v>
      </c>
      <c r="F27" s="15">
        <f t="shared" si="72"/>
        <v>5.7797581636899811E-2</v>
      </c>
      <c r="G27" s="15">
        <f t="shared" si="72"/>
        <v>5.7439238829020571E-2</v>
      </c>
      <c r="H27" s="15">
        <f t="shared" si="72"/>
        <v>5.2683638825519567E-2</v>
      </c>
      <c r="I27" s="15">
        <f t="shared" si="72"/>
        <v>5.5122773499130182E-2</v>
      </c>
      <c r="J27" s="15">
        <f t="shared" si="72"/>
        <v>4.7535981157134248E-2</v>
      </c>
      <c r="K27" s="15">
        <f t="shared" si="72"/>
        <v>2.906359408314434E-2</v>
      </c>
      <c r="L27" s="15">
        <f t="shared" si="72"/>
        <v>3.6833905886366237E-2</v>
      </c>
      <c r="M27" s="15">
        <f t="shared" ref="M27" si="73">M25/M30</f>
        <v>3.5967048963183493E-2</v>
      </c>
      <c r="N27" s="15"/>
      <c r="O27" s="15">
        <f t="shared" ref="O27:Y27" si="74">O25/O30</f>
        <v>5.6601397110829059E-2</v>
      </c>
      <c r="P27" s="15"/>
      <c r="Q27" s="15">
        <f t="shared" si="74"/>
        <v>5.5034557871374429E-2</v>
      </c>
      <c r="R27" s="15">
        <f t="shared" si="74"/>
        <v>4.9199088141283459E-2</v>
      </c>
      <c r="S27" s="15">
        <f t="shared" si="74"/>
        <v>4.3125279199712929E-2</v>
      </c>
      <c r="T27" s="15">
        <f t="shared" si="74"/>
        <v>4.3717370677228064E-2</v>
      </c>
      <c r="U27" s="15"/>
      <c r="V27" s="15">
        <f t="shared" si="74"/>
        <v>3.5314443929005838E-2</v>
      </c>
      <c r="W27" s="15">
        <f t="shared" si="74"/>
        <v>1.6466822522439979E-2</v>
      </c>
      <c r="X27" s="15">
        <f t="shared" si="74"/>
        <v>3.5590217807561386E-2</v>
      </c>
      <c r="Y27" s="15">
        <f t="shared" si="74"/>
        <v>4.0089056132611552E-2</v>
      </c>
      <c r="Z27" s="15"/>
      <c r="AA27" s="106">
        <f t="shared" ref="AA27:AE27" si="75">AA25/AA30</f>
        <v>3.8066155994899063E-2</v>
      </c>
      <c r="AB27" s="115"/>
      <c r="AC27" s="106">
        <f t="shared" si="75"/>
        <v>3.3936288396156568E-2</v>
      </c>
      <c r="AD27" s="106">
        <f t="shared" si="75"/>
        <v>3.7773503864049041E-2</v>
      </c>
      <c r="AE27" s="106">
        <f t="shared" si="75"/>
        <v>3.7687431377481137E-2</v>
      </c>
      <c r="AF27" s="106"/>
      <c r="AG27" s="106">
        <f t="shared" ref="AG27:AJ27" si="76">AG25/AG30</f>
        <v>3.7050762008895448E-2</v>
      </c>
      <c r="AH27" s="106">
        <f t="shared" si="76"/>
        <v>3.3632025744881541E-2</v>
      </c>
      <c r="AI27" s="106">
        <f t="shared" si="76"/>
        <v>3.5567517097031452E-2</v>
      </c>
      <c r="AJ27" s="106">
        <f t="shared" si="76"/>
        <v>3.7740790277130121E-2</v>
      </c>
    </row>
    <row r="28" spans="1:36">
      <c r="A28" s="4" t="s">
        <v>38</v>
      </c>
      <c r="B28" s="6">
        <v>17966</v>
      </c>
      <c r="C28" s="6">
        <v>16438</v>
      </c>
      <c r="D28" s="6">
        <v>10788</v>
      </c>
      <c r="E28" s="6">
        <v>12231</v>
      </c>
      <c r="F28" s="6">
        <v>9655</v>
      </c>
      <c r="G28" s="6">
        <v>7611</v>
      </c>
      <c r="H28" s="6">
        <v>5482</v>
      </c>
      <c r="I28" s="6">
        <v>28729</v>
      </c>
      <c r="J28" s="6">
        <v>29811</v>
      </c>
      <c r="K28" s="5">
        <f>SUM(V28:Y28)</f>
        <v>227165</v>
      </c>
      <c r="L28" s="19">
        <f>SUM(AA28:AE28)</f>
        <v>53000</v>
      </c>
      <c r="M28" s="19">
        <f>SUM(AG28:AJ28)</f>
        <v>13010</v>
      </c>
      <c r="N28" s="6"/>
      <c r="O28" s="4">
        <v>7870</v>
      </c>
      <c r="P28" s="4"/>
      <c r="Q28" s="6">
        <v>7523</v>
      </c>
      <c r="R28" s="6">
        <v>7379</v>
      </c>
      <c r="S28" s="6">
        <v>7433</v>
      </c>
      <c r="T28" s="6">
        <v>7476</v>
      </c>
      <c r="U28" s="6"/>
      <c r="V28" s="6">
        <v>27811</v>
      </c>
      <c r="W28" s="6">
        <v>81374</v>
      </c>
      <c r="X28" s="6">
        <v>91719</v>
      </c>
      <c r="Y28" s="6">
        <v>26261</v>
      </c>
      <c r="Z28" s="6"/>
      <c r="AA28" s="105">
        <v>20000</v>
      </c>
      <c r="AB28" s="6"/>
      <c r="AC28" s="105">
        <v>15000</v>
      </c>
      <c r="AD28" s="105">
        <v>10000</v>
      </c>
      <c r="AE28" s="105">
        <v>8000</v>
      </c>
      <c r="AF28" s="105"/>
      <c r="AG28" s="105">
        <v>6001</v>
      </c>
      <c r="AH28" s="105">
        <v>4002</v>
      </c>
      <c r="AI28" s="105">
        <v>2003</v>
      </c>
      <c r="AJ28" s="105">
        <v>1004</v>
      </c>
    </row>
    <row r="29" spans="1:36">
      <c r="A29" s="4"/>
      <c r="B29" s="6"/>
      <c r="C29" s="9">
        <f>(C28-B28)/ABS(B28)</f>
        <v>-8.5049538016252924E-2</v>
      </c>
      <c r="D29" s="9">
        <f>(D28-C28)/ABS(C28)</f>
        <v>-0.34371578050857771</v>
      </c>
      <c r="E29" s="9">
        <f t="shared" ref="E29" si="77">(E28-D28)/ABS(D28)</f>
        <v>0.13375973303670746</v>
      </c>
      <c r="F29" s="9">
        <f t="shared" ref="F29" si="78">(F28-E28)/ABS(E28)</f>
        <v>-0.21061237838279781</v>
      </c>
      <c r="G29" s="9">
        <f t="shared" ref="G29" si="79">(G28-F28)/ABS(F28)</f>
        <v>-0.21170378042465043</v>
      </c>
      <c r="H29" s="9">
        <f t="shared" ref="H29" si="80">(H28-G28)/ABS(G28)</f>
        <v>-0.27972671133885169</v>
      </c>
      <c r="I29" s="9">
        <f t="shared" ref="I29" si="81">(I28-H28)/ABS(H28)</f>
        <v>4.2406056183874501</v>
      </c>
      <c r="J29" s="9">
        <f t="shared" ref="J29" si="82">(J28-I28)/ABS(I28)</f>
        <v>3.7662292457099102E-2</v>
      </c>
      <c r="K29" s="9">
        <f t="shared" ref="K29" si="83">(K28-J28)/ABS(J28)</f>
        <v>6.6201737613632554</v>
      </c>
      <c r="L29" s="9">
        <f>(L28-K28)/ABS(K28)</f>
        <v>-0.76668941078071007</v>
      </c>
      <c r="M29" s="9">
        <f>(M28-L28)/ABS(L28)</f>
        <v>-0.75452830188679243</v>
      </c>
      <c r="N29" s="6"/>
      <c r="O29" s="4"/>
      <c r="P29" s="4"/>
      <c r="Q29" s="6"/>
      <c r="R29" s="6"/>
      <c r="S29" s="6"/>
      <c r="T29" s="9">
        <f>T28/ABS(O28)-1</f>
        <v>-5.0063532401524724E-2</v>
      </c>
      <c r="U29" s="9"/>
      <c r="V29" s="9">
        <f>V28/ABS(Q28)-1</f>
        <v>2.6967964907616642</v>
      </c>
      <c r="W29" s="9">
        <f>W28/ABS(R28)-1</f>
        <v>10.027781542214392</v>
      </c>
      <c r="X29" s="9">
        <f>X28/ABS(S28)-1</f>
        <v>11.339432261536391</v>
      </c>
      <c r="Y29" s="9">
        <f>Y28/ABS(T28)-1</f>
        <v>2.5127073301230602</v>
      </c>
      <c r="Z29" s="9"/>
      <c r="AA29" s="103">
        <f>AA28/ABS(V28)-1</f>
        <v>-0.28086009133076839</v>
      </c>
      <c r="AB29" s="114"/>
      <c r="AC29" s="103">
        <f>AC28/ABS(W28)-1</f>
        <v>-0.81566593752304173</v>
      </c>
      <c r="AD29" s="103">
        <f>AD28/ABS(X28)-1</f>
        <v>-0.89097133636433012</v>
      </c>
      <c r="AE29" s="103">
        <f t="shared" ref="AE29" si="84">AE28/ABS(Y28)-1</f>
        <v>-0.69536575149461177</v>
      </c>
      <c r="AF29" s="103"/>
      <c r="AG29" s="103">
        <f t="shared" ref="AG29" si="85">AG28/ABS(AA28)-1</f>
        <v>-0.69995000000000007</v>
      </c>
      <c r="AH29" s="103">
        <f t="shared" ref="AH29" si="86">AH28/ABS(AC28)-1</f>
        <v>-0.73320000000000007</v>
      </c>
      <c r="AI29" s="103">
        <f t="shared" ref="AI29" si="87">AI28/ABS(AD28)-1</f>
        <v>-0.79969999999999997</v>
      </c>
      <c r="AJ29" s="103">
        <f t="shared" ref="AJ29" si="88">AJ28/ABS(AE28)-1</f>
        <v>-0.87450000000000006</v>
      </c>
    </row>
    <row r="30" spans="1:36">
      <c r="A30" s="4" t="s">
        <v>112</v>
      </c>
      <c r="B30" s="6">
        <f t="shared" ref="B30:M30" si="89">B16+B19+B22+B25+B28</f>
        <v>1299391</v>
      </c>
      <c r="C30" s="6">
        <f t="shared" si="89"/>
        <v>1376312</v>
      </c>
      <c r="D30" s="6">
        <f t="shared" si="89"/>
        <v>1522878</v>
      </c>
      <c r="E30" s="6">
        <f t="shared" si="89"/>
        <v>1686812</v>
      </c>
      <c r="F30" s="6">
        <f t="shared" si="89"/>
        <v>2128878</v>
      </c>
      <c r="G30" s="6">
        <f t="shared" si="89"/>
        <v>2270817</v>
      </c>
      <c r="H30" s="6">
        <f t="shared" si="89"/>
        <v>2197874</v>
      </c>
      <c r="I30" s="6">
        <f t="shared" si="89"/>
        <v>2779305</v>
      </c>
      <c r="J30" s="6">
        <f t="shared" si="89"/>
        <v>2712114</v>
      </c>
      <c r="K30" s="6">
        <f t="shared" si="89"/>
        <v>5183564</v>
      </c>
      <c r="L30" s="6">
        <f t="shared" si="89"/>
        <v>4913082</v>
      </c>
      <c r="M30" s="6">
        <f t="shared" si="89"/>
        <v>5615362</v>
      </c>
      <c r="N30" s="6"/>
      <c r="O30" s="6">
        <f t="shared" ref="O30:Y30" si="90">O16+O19+O22+O25+O28</f>
        <v>722491</v>
      </c>
      <c r="P30" s="6"/>
      <c r="Q30" s="6">
        <f t="shared" si="90"/>
        <v>631694</v>
      </c>
      <c r="R30" s="6">
        <f t="shared" si="90"/>
        <v>658874</v>
      </c>
      <c r="S30" s="6">
        <f t="shared" si="90"/>
        <v>682755</v>
      </c>
      <c r="T30" s="6">
        <f t="shared" si="90"/>
        <v>738791</v>
      </c>
      <c r="U30" s="6"/>
      <c r="V30" s="6">
        <f t="shared" si="90"/>
        <v>821307</v>
      </c>
      <c r="W30" s="6">
        <f t="shared" si="90"/>
        <v>2030082</v>
      </c>
      <c r="X30" s="6">
        <f t="shared" si="90"/>
        <v>1172457</v>
      </c>
      <c r="Y30" s="6">
        <f t="shared" si="90"/>
        <v>1159718</v>
      </c>
      <c r="Z30" s="6"/>
      <c r="AA30" s="105">
        <f t="shared" ref="AA30:AJ30" si="91">AA16+AA19+AA22+AA25+AA28</f>
        <v>1037457</v>
      </c>
      <c r="AB30" s="6"/>
      <c r="AC30" s="105">
        <f t="shared" si="91"/>
        <v>1252111</v>
      </c>
      <c r="AD30" s="105">
        <f t="shared" si="91"/>
        <v>1283757</v>
      </c>
      <c r="AE30" s="105">
        <f t="shared" si="91"/>
        <v>1339757</v>
      </c>
      <c r="AF30" s="105"/>
      <c r="AG30" s="105">
        <f t="shared" si="91"/>
        <v>1200839</v>
      </c>
      <c r="AH30" s="105">
        <f t="shared" si="91"/>
        <v>1441840</v>
      </c>
      <c r="AI30" s="105">
        <f t="shared" si="91"/>
        <v>1475841</v>
      </c>
      <c r="AJ30" s="105">
        <f t="shared" si="91"/>
        <v>1496842</v>
      </c>
    </row>
    <row r="31" spans="1:36">
      <c r="A31" s="4"/>
      <c r="B31" s="6"/>
      <c r="C31" s="9">
        <f>(C30-B30)/ABS(B30)</f>
        <v>5.9197731860540823E-2</v>
      </c>
      <c r="D31" s="9">
        <f t="shared" ref="D31:K31" si="92">(D30-C30)/ABS(C30)</f>
        <v>0.10649184196606583</v>
      </c>
      <c r="E31" s="9">
        <f t="shared" si="92"/>
        <v>0.10764749375852826</v>
      </c>
      <c r="F31" s="9">
        <f t="shared" si="92"/>
        <v>0.26207188471507198</v>
      </c>
      <c r="G31" s="9">
        <f t="shared" si="92"/>
        <v>6.6673148954519701E-2</v>
      </c>
      <c r="H31" s="9">
        <f t="shared" si="92"/>
        <v>-3.2121919115454922E-2</v>
      </c>
      <c r="I31" s="9">
        <f t="shared" si="92"/>
        <v>0.26454246239775348</v>
      </c>
      <c r="J31" s="9">
        <f t="shared" si="92"/>
        <v>-2.4175468327513532E-2</v>
      </c>
      <c r="K31" s="9">
        <f t="shared" si="92"/>
        <v>0.91126331710245223</v>
      </c>
      <c r="L31" s="9">
        <f>(L30-K30)/ABS(K30)</f>
        <v>-5.2180700382979742E-2</v>
      </c>
      <c r="M31" s="9">
        <f>(M30-L30)/ABS(L30)</f>
        <v>0.14294082614538084</v>
      </c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99"/>
      <c r="AC31" s="99"/>
      <c r="AD31" s="99"/>
      <c r="AE31" s="99"/>
      <c r="AF31" s="99"/>
      <c r="AG31" s="99"/>
      <c r="AH31" s="99"/>
      <c r="AI31" s="99"/>
      <c r="AJ31" s="99"/>
    </row>
    <row r="32" spans="1:36">
      <c r="A32" s="4" t="s">
        <v>61</v>
      </c>
      <c r="B32" s="6">
        <f t="shared" ref="B32:M32" si="93">B13-B30</f>
        <v>83109</v>
      </c>
      <c r="C32" s="6">
        <f t="shared" si="93"/>
        <v>41088</v>
      </c>
      <c r="D32" s="6">
        <f t="shared" si="93"/>
        <v>36422</v>
      </c>
      <c r="E32" s="6">
        <f t="shared" si="93"/>
        <v>-92212</v>
      </c>
      <c r="F32" s="6">
        <f t="shared" si="93"/>
        <v>-60678</v>
      </c>
      <c r="G32" s="6">
        <f t="shared" si="93"/>
        <v>38483</v>
      </c>
      <c r="H32" s="6">
        <f t="shared" si="93"/>
        <v>58226</v>
      </c>
      <c r="I32" s="6">
        <f t="shared" si="93"/>
        <v>8095</v>
      </c>
      <c r="J32" s="6">
        <f t="shared" si="93"/>
        <v>-156014</v>
      </c>
      <c r="K32" s="6">
        <f t="shared" si="93"/>
        <v>-899764</v>
      </c>
      <c r="L32" s="6">
        <f t="shared" si="93"/>
        <v>-395082</v>
      </c>
      <c r="M32" s="6">
        <f t="shared" si="93"/>
        <v>-833162</v>
      </c>
      <c r="N32" s="6"/>
      <c r="O32" s="6">
        <f t="shared" ref="O32:Y32" si="94">O13-O30</f>
        <v>-115791</v>
      </c>
      <c r="P32" s="6"/>
      <c r="Q32" s="6">
        <f t="shared" si="94"/>
        <v>-56594</v>
      </c>
      <c r="R32" s="6">
        <f t="shared" si="94"/>
        <v>4626</v>
      </c>
      <c r="S32" s="6">
        <f t="shared" si="94"/>
        <v>-31355</v>
      </c>
      <c r="T32" s="6">
        <f t="shared" si="94"/>
        <v>-72691</v>
      </c>
      <c r="U32" s="6"/>
      <c r="V32" s="6">
        <f t="shared" si="94"/>
        <v>-41507</v>
      </c>
      <c r="W32" s="6">
        <f t="shared" si="94"/>
        <v>-804682</v>
      </c>
      <c r="X32" s="6">
        <f t="shared" si="94"/>
        <v>-43857</v>
      </c>
      <c r="Y32" s="6">
        <f t="shared" si="94"/>
        <v>-9718</v>
      </c>
      <c r="Z32" s="6"/>
      <c r="AA32" s="105">
        <f t="shared" ref="AA32:AE32" si="95">AA13-AA30</f>
        <v>-217457</v>
      </c>
      <c r="AB32" s="6"/>
      <c r="AC32" s="105">
        <f t="shared" si="95"/>
        <v>42889</v>
      </c>
      <c r="AD32" s="105">
        <f t="shared" si="95"/>
        <v>-92757</v>
      </c>
      <c r="AE32" s="105">
        <f t="shared" si="95"/>
        <v>-127757</v>
      </c>
      <c r="AF32" s="105"/>
      <c r="AG32" s="105">
        <f t="shared" ref="AG32:AJ32" si="96">AG13-AG30</f>
        <v>-333839</v>
      </c>
      <c r="AH32" s="105">
        <f t="shared" si="96"/>
        <v>-72640</v>
      </c>
      <c r="AI32" s="105">
        <f t="shared" si="96"/>
        <v>-212841</v>
      </c>
      <c r="AJ32" s="105">
        <f t="shared" si="96"/>
        <v>-213842</v>
      </c>
    </row>
    <row r="33" spans="1:36">
      <c r="A33" s="4"/>
      <c r="B33" s="6"/>
      <c r="C33" s="9">
        <f>(C32-B32)/ABS(B32)</f>
        <v>-0.50561311049344837</v>
      </c>
      <c r="D33" s="9">
        <f t="shared" ref="D33:K33" si="97">(D32-C32)/ABS(C32)</f>
        <v>-0.11356113707165109</v>
      </c>
      <c r="E33" s="9">
        <f t="shared" si="97"/>
        <v>-3.5317665147438362</v>
      </c>
      <c r="F33" s="9">
        <f t="shared" si="97"/>
        <v>0.34197284518283955</v>
      </c>
      <c r="G33" s="9">
        <f t="shared" si="97"/>
        <v>1.6342166847951483</v>
      </c>
      <c r="H33" s="9">
        <f t="shared" si="97"/>
        <v>0.51303172829561106</v>
      </c>
      <c r="I33" s="9">
        <f t="shared" si="97"/>
        <v>-0.86097276130938072</v>
      </c>
      <c r="J33" s="9">
        <f t="shared" si="97"/>
        <v>-20.272884496602842</v>
      </c>
      <c r="K33" s="9">
        <f t="shared" si="97"/>
        <v>-4.7672003794531257</v>
      </c>
      <c r="L33" s="9">
        <f>(L32-K32)/ABS(K32)</f>
        <v>0.56090485949649016</v>
      </c>
      <c r="M33" s="9">
        <f>(M32-L32)/ABS(L32)</f>
        <v>-1.1088331030014023</v>
      </c>
      <c r="N33" s="6"/>
      <c r="O33" s="4"/>
      <c r="P33" s="4"/>
      <c r="Q33" s="6"/>
      <c r="R33" s="6"/>
      <c r="S33" s="6"/>
      <c r="T33" s="9">
        <f>(T32-O32)/ABS(O32)</f>
        <v>0.37222236615971882</v>
      </c>
      <c r="U33" s="9"/>
      <c r="V33" s="9">
        <f>(V32-Q32)/ABS(Q32)</f>
        <v>0.26658303000318057</v>
      </c>
      <c r="W33" s="9">
        <f>(W32-R32)/ABS(R32)</f>
        <v>-174.94768698659749</v>
      </c>
      <c r="X33" s="9">
        <f>(X32-S32)/ABS(S32)</f>
        <v>-0.39872428639770374</v>
      </c>
      <c r="Y33" s="9">
        <f>(Y32-T32)/ABS(T32)</f>
        <v>0.86631082252273317</v>
      </c>
      <c r="Z33" s="9"/>
      <c r="AA33" s="103">
        <f>(AA32-V32)/ABS(V32)</f>
        <v>-4.2390440166718868</v>
      </c>
      <c r="AB33" s="114"/>
      <c r="AC33" s="103">
        <f>(AC32-W32)/ABS(W32)</f>
        <v>1.0532993157545465</v>
      </c>
      <c r="AD33" s="103">
        <f>(AD32-X32)/ABS(X32)</f>
        <v>-1.1149873452356522</v>
      </c>
      <c r="AE33" s="103">
        <f t="shared" ref="AE33" si="98">(AE32-Y32)/ABS(Y32)</f>
        <v>-12.146429306441656</v>
      </c>
      <c r="AF33" s="103"/>
      <c r="AG33" s="103">
        <f t="shared" ref="AG33" si="99">(AG32-AA32)/ABS(AA32)</f>
        <v>-0.53519546393080009</v>
      </c>
      <c r="AH33" s="103">
        <f t="shared" ref="AH33" si="100">(AH32-AC32)/ABS(AC32)</f>
        <v>-2.6936743687192521</v>
      </c>
      <c r="AI33" s="103">
        <f t="shared" ref="AI33" si="101">(AI32-AD32)/ABS(AD32)</f>
        <v>-1.2946084931595458</v>
      </c>
      <c r="AJ33" s="103">
        <f t="shared" ref="AJ33" si="102">(AJ32-AE32)/ABS(AE32)</f>
        <v>-0.67381826436124825</v>
      </c>
    </row>
    <row r="34" spans="1:36">
      <c r="A34" s="3" t="s">
        <v>39</v>
      </c>
      <c r="H34" s="6"/>
      <c r="I34" s="6"/>
      <c r="J34" s="6"/>
      <c r="K34" s="6"/>
      <c r="L34" s="6"/>
      <c r="M34" s="6"/>
      <c r="N34" s="6"/>
      <c r="O34" s="3"/>
      <c r="P34" s="3"/>
      <c r="Q34" s="4" t="s">
        <v>3</v>
      </c>
      <c r="R34" s="4" t="s">
        <v>3</v>
      </c>
      <c r="S34" s="4" t="s">
        <v>3</v>
      </c>
      <c r="T34" s="4"/>
      <c r="U34" s="4"/>
      <c r="V34" s="4" t="s">
        <v>3</v>
      </c>
      <c r="W34" s="4" t="s">
        <v>3</v>
      </c>
      <c r="X34" s="4" t="s">
        <v>3</v>
      </c>
      <c r="AA34" s="99"/>
      <c r="AC34" s="99"/>
      <c r="AD34" s="99"/>
      <c r="AE34" s="99"/>
      <c r="AF34" s="99"/>
      <c r="AG34" s="99"/>
      <c r="AH34" s="99"/>
      <c r="AI34" s="99"/>
      <c r="AJ34" s="99"/>
    </row>
    <row r="35" spans="1:36" hidden="1" outlineLevel="1">
      <c r="A35" s="4" t="s">
        <v>40</v>
      </c>
      <c r="B35" s="6">
        <v>2022</v>
      </c>
      <c r="C35" s="6">
        <v>2226</v>
      </c>
      <c r="D35" s="6">
        <v>1008</v>
      </c>
      <c r="E35" s="6">
        <v>960</v>
      </c>
      <c r="F35" s="6">
        <v>149</v>
      </c>
      <c r="G35" s="6">
        <v>1648</v>
      </c>
      <c r="H35" s="6">
        <v>440</v>
      </c>
      <c r="I35" s="6">
        <v>504</v>
      </c>
      <c r="J35" s="6">
        <v>19512</v>
      </c>
      <c r="K35" s="5"/>
      <c r="L35" s="6"/>
      <c r="M35" s="6"/>
      <c r="N35" s="6"/>
      <c r="O35" s="4"/>
      <c r="P35" s="4"/>
      <c r="Q35" s="6">
        <v>123</v>
      </c>
      <c r="R35" s="6">
        <v>6809</v>
      </c>
      <c r="S35" s="6">
        <v>525</v>
      </c>
      <c r="T35" s="6"/>
      <c r="U35" s="6"/>
      <c r="V35" s="6">
        <v>19189</v>
      </c>
      <c r="W35" s="6">
        <v>32486</v>
      </c>
      <c r="X35" s="6">
        <v>20921</v>
      </c>
      <c r="AA35" s="99"/>
      <c r="AC35" s="99"/>
      <c r="AD35" s="99"/>
      <c r="AE35" s="99"/>
      <c r="AF35" s="99"/>
      <c r="AG35" s="99"/>
      <c r="AH35" s="99"/>
      <c r="AI35" s="99"/>
      <c r="AJ35" s="99"/>
    </row>
    <row r="36" spans="1:36" hidden="1" outlineLevel="1">
      <c r="A36" s="4" t="s">
        <v>41</v>
      </c>
      <c r="B36" s="6">
        <v>-31448</v>
      </c>
      <c r="C36" s="6">
        <v>-25748</v>
      </c>
      <c r="D36" s="6">
        <v>-12083</v>
      </c>
      <c r="E36" s="6">
        <v>-4026</v>
      </c>
      <c r="F36" s="6">
        <v>-50010</v>
      </c>
      <c r="G36" s="6">
        <v>-38641</v>
      </c>
      <c r="H36" s="6">
        <v>-32687</v>
      </c>
      <c r="I36" s="6">
        <v>-29391</v>
      </c>
      <c r="J36" s="6">
        <v>-26809</v>
      </c>
      <c r="K36" s="6"/>
      <c r="L36" s="6"/>
      <c r="M36" s="6"/>
      <c r="N36" s="6"/>
      <c r="O36" s="4"/>
      <c r="P36" s="4"/>
      <c r="Q36" s="6">
        <v>-5873</v>
      </c>
      <c r="R36" s="6">
        <v>-4638</v>
      </c>
      <c r="S36" s="6">
        <v>-8747</v>
      </c>
      <c r="T36" s="6"/>
      <c r="U36" s="6"/>
      <c r="V36" s="6">
        <v>-55939</v>
      </c>
      <c r="W36" s="6">
        <v>-86157</v>
      </c>
      <c r="X36" s="6">
        <v>-133537</v>
      </c>
      <c r="AA36" s="99"/>
      <c r="AC36" s="99"/>
      <c r="AD36" s="99"/>
      <c r="AE36" s="99"/>
      <c r="AF36" s="99"/>
      <c r="AG36" s="99"/>
      <c r="AH36" s="99"/>
      <c r="AI36" s="99"/>
      <c r="AJ36" s="99"/>
    </row>
    <row r="37" spans="1:36" collapsed="1">
      <c r="A37" s="4" t="s">
        <v>110</v>
      </c>
      <c r="B37" s="6">
        <f>B35+B36</f>
        <v>-29426</v>
      </c>
      <c r="C37" s="6">
        <f t="shared" ref="C37:G37" si="103">C35+C36</f>
        <v>-23522</v>
      </c>
      <c r="D37" s="6">
        <f t="shared" si="103"/>
        <v>-11075</v>
      </c>
      <c r="E37" s="6">
        <f t="shared" si="103"/>
        <v>-3066</v>
      </c>
      <c r="F37" s="6">
        <f t="shared" si="103"/>
        <v>-49861</v>
      </c>
      <c r="G37" s="6">
        <f t="shared" si="103"/>
        <v>-36993</v>
      </c>
      <c r="H37" s="6">
        <f t="shared" ref="H37" si="104">H35+H36</f>
        <v>-32247</v>
      </c>
      <c r="I37" s="6">
        <f t="shared" ref="I37" si="105">I35+I36</f>
        <v>-28887</v>
      </c>
      <c r="J37" s="6">
        <f t="shared" ref="J37" si="106">J35+J36</f>
        <v>-7297</v>
      </c>
      <c r="K37" s="5">
        <f>SUM(V37:Y37)</f>
        <v>-304140</v>
      </c>
      <c r="L37" s="19">
        <f>SUM(AA37:AE37)</f>
        <v>-304412</v>
      </c>
      <c r="M37" s="19">
        <f>SUM(AG37:AJ37)</f>
        <v>-140000</v>
      </c>
      <c r="N37" s="6"/>
      <c r="O37" s="4">
        <v>-11611</v>
      </c>
      <c r="P37" s="4"/>
      <c r="Q37" s="6">
        <f>Q36+Q35</f>
        <v>-5750</v>
      </c>
      <c r="R37" s="6">
        <f t="shared" ref="R37:X37" si="107">R36+R35</f>
        <v>2171</v>
      </c>
      <c r="S37" s="6">
        <f t="shared" si="107"/>
        <v>-8222</v>
      </c>
      <c r="T37" s="6">
        <v>4504</v>
      </c>
      <c r="U37" s="6"/>
      <c r="V37" s="6">
        <f t="shared" si="107"/>
        <v>-36750</v>
      </c>
      <c r="W37" s="6">
        <f t="shared" si="107"/>
        <v>-53671</v>
      </c>
      <c r="X37" s="6">
        <f t="shared" si="107"/>
        <v>-112616</v>
      </c>
      <c r="Y37">
        <v>-101103</v>
      </c>
      <c r="AA37" s="99">
        <v>-91103</v>
      </c>
      <c r="AC37" s="99">
        <v>-81103</v>
      </c>
      <c r="AD37" s="99">
        <v>-71103</v>
      </c>
      <c r="AE37" s="99">
        <v>-61103</v>
      </c>
      <c r="AF37" s="99"/>
      <c r="AG37" s="99">
        <v>-50000</v>
      </c>
      <c r="AH37" s="99">
        <v>-40000</v>
      </c>
      <c r="AI37" s="99">
        <v>-30000</v>
      </c>
      <c r="AJ37" s="99">
        <v>-20000</v>
      </c>
    </row>
    <row r="38" spans="1:36">
      <c r="A38" s="4" t="s">
        <v>42</v>
      </c>
      <c r="B38" s="6">
        <v>0</v>
      </c>
      <c r="C38" s="6">
        <v>0</v>
      </c>
      <c r="D38" s="6">
        <v>0</v>
      </c>
      <c r="E38" s="6">
        <v>-10217</v>
      </c>
      <c r="F38" s="6">
        <v>0</v>
      </c>
      <c r="G38" s="6">
        <v>0</v>
      </c>
      <c r="H38" s="4">
        <v>0</v>
      </c>
      <c r="I38" s="6">
        <v>4118</v>
      </c>
      <c r="J38" s="6">
        <v>1098</v>
      </c>
      <c r="K38" s="5">
        <f>SUM(V38:Y38)</f>
        <v>0</v>
      </c>
      <c r="L38" s="19">
        <f>SUM(AA38:AE38)</f>
        <v>0</v>
      </c>
      <c r="M38" s="19">
        <f t="shared" ref="M38:M47" si="108">SUM(AG38:AJ38)</f>
        <v>0</v>
      </c>
      <c r="N38" s="6"/>
      <c r="O38" s="4">
        <v>0</v>
      </c>
      <c r="P38" s="4"/>
      <c r="Q38" s="6">
        <v>1011</v>
      </c>
      <c r="R38" s="6">
        <v>87</v>
      </c>
      <c r="S38" s="4">
        <v>0</v>
      </c>
      <c r="T38" s="4">
        <v>0</v>
      </c>
      <c r="U38" s="4"/>
      <c r="V38" s="4">
        <v>0</v>
      </c>
      <c r="W38" s="4">
        <v>0</v>
      </c>
      <c r="X38" s="4">
        <v>0</v>
      </c>
      <c r="Y38" s="4">
        <v>0</v>
      </c>
      <c r="Z38" s="4"/>
      <c r="AA38" s="108">
        <v>0</v>
      </c>
      <c r="AB38" s="4"/>
      <c r="AC38" s="108">
        <v>0</v>
      </c>
      <c r="AD38" s="108">
        <v>0</v>
      </c>
      <c r="AE38" s="108">
        <v>0</v>
      </c>
      <c r="AF38" s="108"/>
      <c r="AG38" s="108">
        <v>0</v>
      </c>
      <c r="AH38" s="108">
        <v>0</v>
      </c>
      <c r="AI38" s="108">
        <v>0</v>
      </c>
      <c r="AJ38" s="108">
        <v>0</v>
      </c>
    </row>
    <row r="39" spans="1:36">
      <c r="A39" s="4" t="s">
        <v>62</v>
      </c>
      <c r="B39" s="6">
        <f>B32+B37+B38</f>
        <v>53683</v>
      </c>
      <c r="C39" s="6">
        <f t="shared" ref="C39:J39" si="109">C32+C37+C38</f>
        <v>17566</v>
      </c>
      <c r="D39" s="6">
        <f t="shared" si="109"/>
        <v>25347</v>
      </c>
      <c r="E39" s="6">
        <f>E32+E37+E38</f>
        <v>-105495</v>
      </c>
      <c r="F39" s="6">
        <f t="shared" si="109"/>
        <v>-110539</v>
      </c>
      <c r="G39" s="6">
        <f t="shared" si="109"/>
        <v>1490</v>
      </c>
      <c r="H39" s="6">
        <f t="shared" si="109"/>
        <v>25979</v>
      </c>
      <c r="I39" s="6">
        <f t="shared" si="109"/>
        <v>-16674</v>
      </c>
      <c r="J39" s="6">
        <f t="shared" si="109"/>
        <v>-162213</v>
      </c>
      <c r="K39" s="5">
        <f>SUM(V39:Y39)</f>
        <v>-1203904</v>
      </c>
      <c r="L39" s="19">
        <f>SUM(AA39:AE39)</f>
        <v>-699494</v>
      </c>
      <c r="M39" s="19">
        <f t="shared" si="108"/>
        <v>-973162</v>
      </c>
      <c r="N39" s="6"/>
      <c r="O39" s="10">
        <f>O32+O37+O38</f>
        <v>-127402</v>
      </c>
      <c r="P39" s="10"/>
      <c r="Q39" s="10">
        <f>Q32+Q37+Q38</f>
        <v>-61333</v>
      </c>
      <c r="R39" s="10">
        <f t="shared" ref="R39" si="110">R32+R37+R38</f>
        <v>6884</v>
      </c>
      <c r="S39" s="10">
        <f>S32+S37+S38</f>
        <v>-39577</v>
      </c>
      <c r="T39" s="10">
        <f>T32+T37+T38</f>
        <v>-68187</v>
      </c>
      <c r="U39" s="10"/>
      <c r="V39" s="10">
        <f t="shared" ref="V39:AJ39" si="111">V32+V37+V38</f>
        <v>-78257</v>
      </c>
      <c r="W39" s="10">
        <f t="shared" si="111"/>
        <v>-858353</v>
      </c>
      <c r="X39" s="10">
        <f t="shared" si="111"/>
        <v>-156473</v>
      </c>
      <c r="Y39" s="10">
        <f t="shared" si="111"/>
        <v>-110821</v>
      </c>
      <c r="Z39" s="10"/>
      <c r="AA39" s="109">
        <f t="shared" si="111"/>
        <v>-308560</v>
      </c>
      <c r="AB39" s="10"/>
      <c r="AC39" s="109">
        <f t="shared" si="111"/>
        <v>-38214</v>
      </c>
      <c r="AD39" s="109">
        <f t="shared" si="111"/>
        <v>-163860</v>
      </c>
      <c r="AE39" s="109">
        <f t="shared" si="111"/>
        <v>-188860</v>
      </c>
      <c r="AF39" s="109"/>
      <c r="AG39" s="109">
        <f t="shared" si="111"/>
        <v>-383839</v>
      </c>
      <c r="AH39" s="109">
        <f t="shared" si="111"/>
        <v>-112640</v>
      </c>
      <c r="AI39" s="109">
        <f t="shared" si="111"/>
        <v>-242841</v>
      </c>
      <c r="AJ39" s="109">
        <f t="shared" si="111"/>
        <v>-233842</v>
      </c>
    </row>
    <row r="40" spans="1:36">
      <c r="A40" s="4" t="s">
        <v>63</v>
      </c>
      <c r="B40" s="6">
        <v>13827</v>
      </c>
      <c r="C40" s="6">
        <v>-4173</v>
      </c>
      <c r="D40" s="6">
        <v>3617</v>
      </c>
      <c r="E40" s="6">
        <v>35217</v>
      </c>
      <c r="F40" s="6">
        <v>41014</v>
      </c>
      <c r="G40" s="6">
        <v>7915</v>
      </c>
      <c r="H40" s="6">
        <v>-9441</v>
      </c>
      <c r="I40" s="6">
        <v>14237</v>
      </c>
      <c r="J40" s="6">
        <v>-49418</v>
      </c>
      <c r="K40" s="5">
        <f>SUM(V40:Y40)</f>
        <v>139474</v>
      </c>
      <c r="L40" s="19">
        <f>SUM(AA40:AE40)</f>
        <v>162000</v>
      </c>
      <c r="M40" s="19">
        <f t="shared" si="108"/>
        <v>220000</v>
      </c>
      <c r="N40" s="5"/>
      <c r="O40" s="4">
        <v>10768</v>
      </c>
      <c r="P40" s="4"/>
      <c r="Q40" s="6">
        <v>22813</v>
      </c>
      <c r="R40" s="6">
        <v>-76646</v>
      </c>
      <c r="S40" s="6">
        <v>-5212</v>
      </c>
      <c r="T40" s="6">
        <v>9627</v>
      </c>
      <c r="U40" s="6"/>
      <c r="V40" s="6">
        <v>533</v>
      </c>
      <c r="W40" s="6">
        <v>93077</v>
      </c>
      <c r="X40" s="6">
        <v>34496</v>
      </c>
      <c r="Y40" s="11">
        <v>11368</v>
      </c>
      <c r="Z40" s="11"/>
      <c r="AA40" s="105">
        <v>9000</v>
      </c>
      <c r="AB40" s="6"/>
      <c r="AC40" s="105">
        <v>60000</v>
      </c>
      <c r="AD40" s="105">
        <v>45000</v>
      </c>
      <c r="AE40" s="105">
        <v>48000</v>
      </c>
      <c r="AF40" s="105"/>
      <c r="AG40" s="105">
        <v>96000</v>
      </c>
      <c r="AH40" s="105">
        <v>25000</v>
      </c>
      <c r="AI40" s="105">
        <v>50000</v>
      </c>
      <c r="AJ40" s="105">
        <v>49000</v>
      </c>
    </row>
    <row r="41" spans="1:36">
      <c r="A41" s="4" t="s">
        <v>120</v>
      </c>
      <c r="B41" s="23">
        <f>B40/B39</f>
        <v>0.25756757260212731</v>
      </c>
      <c r="C41" s="23">
        <f t="shared" ref="C41:M41" si="112">C40/C39</f>
        <v>-0.23756119776841625</v>
      </c>
      <c r="D41" s="23">
        <f t="shared" si="112"/>
        <v>0.14269933325442855</v>
      </c>
      <c r="E41" s="23">
        <f>-E40/E39</f>
        <v>0.33382624768946395</v>
      </c>
      <c r="F41" s="23">
        <f>-F40/F39</f>
        <v>0.37103646676738528</v>
      </c>
      <c r="G41" s="23">
        <f t="shared" si="112"/>
        <v>5.3120805369127515</v>
      </c>
      <c r="H41" s="23">
        <f t="shared" si="112"/>
        <v>-0.36340890719427232</v>
      </c>
      <c r="I41" s="23">
        <f>-I40/I39</f>
        <v>0.85384430850425808</v>
      </c>
      <c r="J41" s="23">
        <f>-J40/J39</f>
        <v>-0.30464882592640541</v>
      </c>
      <c r="K41" s="23">
        <f>-K40/K39</f>
        <v>0.1158514300143533</v>
      </c>
      <c r="L41" s="23">
        <f t="shared" si="112"/>
        <v>-0.2315959822385896</v>
      </c>
      <c r="M41" s="23">
        <f t="shared" si="112"/>
        <v>-0.22606719127956085</v>
      </c>
      <c r="N41" s="24"/>
      <c r="O41" s="23">
        <f>-O40/O39</f>
        <v>8.4519866250137354E-2</v>
      </c>
      <c r="P41" s="23"/>
      <c r="Q41" s="23">
        <f>-Q40/Q39</f>
        <v>0.37195310844080676</v>
      </c>
      <c r="R41" s="23">
        <f t="shared" ref="R41" si="113">R40/R39</f>
        <v>-11.133933759442185</v>
      </c>
      <c r="S41" s="23">
        <f t="shared" ref="S41:AA41" si="114">-S40/S39</f>
        <v>-0.13169264977133183</v>
      </c>
      <c r="T41" s="23">
        <f t="shared" si="114"/>
        <v>0.14118526991948613</v>
      </c>
      <c r="U41" s="23"/>
      <c r="V41" s="23">
        <f t="shared" si="114"/>
        <v>6.8108923163423081E-3</v>
      </c>
      <c r="W41" s="23">
        <f t="shared" si="114"/>
        <v>0.1084367387310349</v>
      </c>
      <c r="X41" s="23">
        <f t="shared" si="114"/>
        <v>0.22045975983076951</v>
      </c>
      <c r="Y41" s="23">
        <f t="shared" si="114"/>
        <v>0.10257983595166981</v>
      </c>
      <c r="Z41" s="23"/>
      <c r="AA41" s="110">
        <f t="shared" si="114"/>
        <v>2.9167746953590874E-2</v>
      </c>
      <c r="AB41" s="24"/>
      <c r="AC41" s="110">
        <f t="shared" ref="AC41" si="115">AC40/AC39</f>
        <v>-1.5701051970482023</v>
      </c>
      <c r="AD41" s="110">
        <f t="shared" ref="AD41" si="116">AD40/AD39</f>
        <v>-0.27462467960454046</v>
      </c>
      <c r="AE41" s="110">
        <f t="shared" ref="AE41:AJ41" si="117">AE40/AE39</f>
        <v>-0.25415651805570266</v>
      </c>
      <c r="AF41" s="110"/>
      <c r="AG41" s="110">
        <f t="shared" si="117"/>
        <v>-0.25010486167377466</v>
      </c>
      <c r="AH41" s="110">
        <f t="shared" si="117"/>
        <v>-0.22194602272727273</v>
      </c>
      <c r="AI41" s="110">
        <f t="shared" si="117"/>
        <v>-0.20589603897200226</v>
      </c>
      <c r="AJ41" s="110">
        <f t="shared" si="117"/>
        <v>-0.20954319583308387</v>
      </c>
    </row>
    <row r="42" spans="1:36" ht="32">
      <c r="A42" s="4" t="s">
        <v>64</v>
      </c>
      <c r="B42" s="6">
        <v>0</v>
      </c>
      <c r="C42" s="6">
        <v>0</v>
      </c>
      <c r="D42" s="6">
        <v>0</v>
      </c>
      <c r="E42" s="6">
        <v>1978</v>
      </c>
      <c r="F42" s="6">
        <v>2998</v>
      </c>
      <c r="G42" s="6">
        <v>4470</v>
      </c>
      <c r="H42" s="6">
        <v>556</v>
      </c>
      <c r="I42" s="6">
        <v>-281</v>
      </c>
      <c r="J42" s="6">
        <v>-66</v>
      </c>
      <c r="K42" s="5">
        <f>SUM(V42:Y42)</f>
        <v>6975</v>
      </c>
      <c r="L42" s="19">
        <f>SUM(AA42:AE42)</f>
        <v>0</v>
      </c>
      <c r="M42" s="19">
        <f t="shared" si="108"/>
        <v>0</v>
      </c>
      <c r="N42" s="4"/>
      <c r="O42" s="4">
        <v>-25</v>
      </c>
      <c r="P42" s="4"/>
      <c r="Q42" s="4">
        <v>0</v>
      </c>
      <c r="R42" s="6">
        <v>-40</v>
      </c>
      <c r="S42" s="6">
        <v>-13</v>
      </c>
      <c r="T42" s="6">
        <v>-13</v>
      </c>
      <c r="U42" s="6"/>
      <c r="V42" s="6">
        <v>831</v>
      </c>
      <c r="W42" s="6">
        <v>-502</v>
      </c>
      <c r="X42" s="6">
        <v>2689</v>
      </c>
      <c r="Y42" s="6">
        <v>3957</v>
      </c>
      <c r="Z42" s="6"/>
      <c r="AA42" s="105">
        <v>0</v>
      </c>
      <c r="AB42" s="6"/>
      <c r="AC42" s="105">
        <v>0</v>
      </c>
      <c r="AD42" s="105">
        <v>0</v>
      </c>
      <c r="AE42" s="105">
        <v>0</v>
      </c>
      <c r="AF42" s="105"/>
      <c r="AG42" s="105">
        <v>0</v>
      </c>
      <c r="AH42" s="105">
        <v>0</v>
      </c>
      <c r="AI42" s="105">
        <v>0</v>
      </c>
      <c r="AJ42" s="105">
        <v>0</v>
      </c>
    </row>
    <row r="43" spans="1:36" ht="32">
      <c r="A43" s="4" t="s">
        <v>43</v>
      </c>
      <c r="B43" s="6">
        <v>0</v>
      </c>
      <c r="C43" s="6">
        <v>0</v>
      </c>
      <c r="D43" s="6">
        <v>0</v>
      </c>
      <c r="E43" s="6">
        <v>0</v>
      </c>
      <c r="F43" s="6">
        <v>0</v>
      </c>
      <c r="G43" s="6">
        <v>0</v>
      </c>
      <c r="H43" s="6">
        <v>0</v>
      </c>
      <c r="I43" s="6">
        <v>0</v>
      </c>
      <c r="J43" s="6">
        <v>-211639</v>
      </c>
      <c r="K43" s="5">
        <f>SUM(V43:Y43)</f>
        <v>-1057455</v>
      </c>
      <c r="L43" s="19">
        <f t="shared" ref="L43:L52" si="118">SUM(AA43:AE43)</f>
        <v>-537494</v>
      </c>
      <c r="M43" s="19">
        <f t="shared" si="108"/>
        <v>-753162</v>
      </c>
      <c r="N43" s="7"/>
      <c r="O43" s="10">
        <f>O39+O40+O42</f>
        <v>-116659</v>
      </c>
      <c r="P43" s="10"/>
      <c r="Q43" s="10">
        <f>Q39+Q40+Q42</f>
        <v>-38520</v>
      </c>
      <c r="R43" s="10">
        <f t="shared" ref="R43:AJ43" si="119">R39+R40+R42</f>
        <v>-69802</v>
      </c>
      <c r="S43" s="10">
        <f t="shared" si="119"/>
        <v>-44802</v>
      </c>
      <c r="T43" s="10">
        <f t="shared" si="119"/>
        <v>-58573</v>
      </c>
      <c r="U43" s="10"/>
      <c r="V43" s="10">
        <f t="shared" si="119"/>
        <v>-76893</v>
      </c>
      <c r="W43" s="10">
        <f t="shared" si="119"/>
        <v>-765778</v>
      </c>
      <c r="X43" s="10">
        <f t="shared" si="119"/>
        <v>-119288</v>
      </c>
      <c r="Y43" s="10">
        <f t="shared" si="119"/>
        <v>-95496</v>
      </c>
      <c r="Z43" s="10"/>
      <c r="AA43" s="109">
        <f t="shared" si="119"/>
        <v>-299560</v>
      </c>
      <c r="AB43" s="10"/>
      <c r="AC43" s="109">
        <f t="shared" si="119"/>
        <v>21786</v>
      </c>
      <c r="AD43" s="109">
        <f t="shared" si="119"/>
        <v>-118860</v>
      </c>
      <c r="AE43" s="109">
        <f t="shared" si="119"/>
        <v>-140860</v>
      </c>
      <c r="AF43" s="109"/>
      <c r="AG43" s="109">
        <f t="shared" si="119"/>
        <v>-287839</v>
      </c>
      <c r="AH43" s="109">
        <f t="shared" si="119"/>
        <v>-87640</v>
      </c>
      <c r="AI43" s="109">
        <f t="shared" si="119"/>
        <v>-192841</v>
      </c>
      <c r="AJ43" s="109">
        <f t="shared" si="119"/>
        <v>-184842</v>
      </c>
    </row>
    <row r="44" spans="1:36" ht="32">
      <c r="A44" s="4" t="s">
        <v>44</v>
      </c>
      <c r="B44" s="6">
        <v>0</v>
      </c>
      <c r="C44" s="6">
        <v>0</v>
      </c>
      <c r="D44" s="6">
        <v>0</v>
      </c>
      <c r="E44" s="6">
        <v>0</v>
      </c>
      <c r="F44" s="6">
        <v>0</v>
      </c>
      <c r="G44" s="6">
        <v>0</v>
      </c>
      <c r="H44" s="6">
        <v>0</v>
      </c>
      <c r="I44" s="6">
        <v>0</v>
      </c>
      <c r="J44" s="6">
        <v>1302387</v>
      </c>
      <c r="K44" s="5">
        <f>SUM(V44:Y44)</f>
        <v>-10422</v>
      </c>
      <c r="L44" s="19">
        <f t="shared" si="118"/>
        <v>0</v>
      </c>
      <c r="M44" s="19">
        <f t="shared" si="108"/>
        <v>0</v>
      </c>
      <c r="N44" s="8"/>
      <c r="O44" s="4">
        <v>0</v>
      </c>
      <c r="P44" s="4"/>
      <c r="Q44" s="6">
        <v>17525</v>
      </c>
      <c r="R44" s="6">
        <v>22187</v>
      </c>
      <c r="S44" s="6">
        <v>4333</v>
      </c>
      <c r="T44" s="6">
        <v>1258342</v>
      </c>
      <c r="U44" s="6"/>
      <c r="V44" s="4">
        <v>0</v>
      </c>
      <c r="W44" s="4">
        <v>0</v>
      </c>
      <c r="X44" s="4">
        <v>0</v>
      </c>
      <c r="Y44" s="4">
        <v>-10422</v>
      </c>
      <c r="Z44" s="4"/>
      <c r="AA44" s="108">
        <v>0</v>
      </c>
      <c r="AB44" s="4"/>
      <c r="AC44" s="108">
        <v>0</v>
      </c>
      <c r="AD44" s="108">
        <v>0</v>
      </c>
      <c r="AE44" s="108">
        <v>0</v>
      </c>
      <c r="AF44" s="108"/>
      <c r="AG44" s="108">
        <v>0</v>
      </c>
      <c r="AH44" s="108">
        <v>0</v>
      </c>
      <c r="AI44" s="108">
        <v>0</v>
      </c>
      <c r="AJ44" s="108">
        <v>0</v>
      </c>
    </row>
    <row r="45" spans="1:36">
      <c r="A45" s="4" t="s">
        <v>65</v>
      </c>
      <c r="B45" s="6">
        <f>B39-B40+B42+B43+B44</f>
        <v>39856</v>
      </c>
      <c r="C45" s="6">
        <f>C39-C40+C42+C43+C44</f>
        <v>21739</v>
      </c>
      <c r="D45" s="6">
        <f t="shared" ref="D45" si="120">D39-D40+D42+D43+D44</f>
        <v>21730</v>
      </c>
      <c r="E45" s="6">
        <f>E39+E40+E42+E43+E44</f>
        <v>-68300</v>
      </c>
      <c r="F45" s="6">
        <f t="shared" ref="F45" si="121">F39+F40+F42+F43+F44</f>
        <v>-66527</v>
      </c>
      <c r="G45" s="6">
        <f>G39+G40+G42+G43+G44</f>
        <v>13875</v>
      </c>
      <c r="H45" s="6">
        <f>H39+H40+H42+H43+H44</f>
        <v>17094</v>
      </c>
      <c r="I45" s="6">
        <f>I39+I40+I42+I43+I44</f>
        <v>-2718</v>
      </c>
      <c r="J45" s="6">
        <v>1090748</v>
      </c>
      <c r="K45" s="5">
        <f>SUM(V45:Y45)</f>
        <v>-1067877</v>
      </c>
      <c r="L45" s="19">
        <f t="shared" si="118"/>
        <v>-537494</v>
      </c>
      <c r="M45" s="19">
        <f t="shared" si="108"/>
        <v>-753162</v>
      </c>
      <c r="N45" s="8"/>
      <c r="O45" s="10">
        <f>O43+O44</f>
        <v>-116659</v>
      </c>
      <c r="P45" s="10"/>
      <c r="Q45" s="10">
        <f t="shared" ref="Q45:AJ45" si="122">Q43+Q44</f>
        <v>-20995</v>
      </c>
      <c r="R45" s="10">
        <f t="shared" si="122"/>
        <v>-47615</v>
      </c>
      <c r="S45" s="10">
        <f t="shared" si="122"/>
        <v>-40469</v>
      </c>
      <c r="T45" s="10">
        <f t="shared" si="122"/>
        <v>1199769</v>
      </c>
      <c r="U45" s="10"/>
      <c r="V45" s="10">
        <f t="shared" si="122"/>
        <v>-76893</v>
      </c>
      <c r="W45" s="10">
        <f t="shared" si="122"/>
        <v>-765778</v>
      </c>
      <c r="X45" s="10">
        <f t="shared" si="122"/>
        <v>-119288</v>
      </c>
      <c r="Y45" s="10">
        <f t="shared" si="122"/>
        <v>-105918</v>
      </c>
      <c r="Z45" s="10"/>
      <c r="AA45" s="109">
        <f t="shared" si="122"/>
        <v>-299560</v>
      </c>
      <c r="AB45" s="10"/>
      <c r="AC45" s="109">
        <f t="shared" si="122"/>
        <v>21786</v>
      </c>
      <c r="AD45" s="109">
        <f t="shared" si="122"/>
        <v>-118860</v>
      </c>
      <c r="AE45" s="109">
        <f t="shared" si="122"/>
        <v>-140860</v>
      </c>
      <c r="AF45" s="109"/>
      <c r="AG45" s="109">
        <f t="shared" si="122"/>
        <v>-287839</v>
      </c>
      <c r="AH45" s="109">
        <f t="shared" si="122"/>
        <v>-87640</v>
      </c>
      <c r="AI45" s="109">
        <f t="shared" si="122"/>
        <v>-192841</v>
      </c>
      <c r="AJ45" s="109">
        <f t="shared" si="122"/>
        <v>-184842</v>
      </c>
    </row>
    <row r="46" spans="1:36">
      <c r="A46" s="4"/>
      <c r="B46" s="6"/>
      <c r="C46" s="9">
        <f>(C45-B45)/ABS(B45)</f>
        <v>-0.45456142111601766</v>
      </c>
      <c r="D46" s="9">
        <f t="shared" ref="D46:K46" si="123">(D45-C45)/ABS(C45)</f>
        <v>-4.1400248401490407E-4</v>
      </c>
      <c r="E46" s="9">
        <f t="shared" si="123"/>
        <v>-4.1431201104463877</v>
      </c>
      <c r="F46" s="9">
        <f t="shared" si="123"/>
        <v>2.595900439238653E-2</v>
      </c>
      <c r="G46" s="9">
        <f t="shared" si="123"/>
        <v>1.2085619372585568</v>
      </c>
      <c r="H46" s="9">
        <f t="shared" si="123"/>
        <v>0.23200000000000001</v>
      </c>
      <c r="I46" s="9">
        <f t="shared" si="123"/>
        <v>-1.1590031590031591</v>
      </c>
      <c r="J46" s="9">
        <f t="shared" si="123"/>
        <v>402.30537159676231</v>
      </c>
      <c r="K46" s="9">
        <f t="shared" si="123"/>
        <v>-1.979031820365474</v>
      </c>
      <c r="L46" s="9">
        <f>(L45-K45)/ABS(K45)</f>
        <v>0.49667049669578051</v>
      </c>
      <c r="M46" s="9">
        <f>(M45-L45)/ABS(L45)</f>
        <v>-0.40124726973696451</v>
      </c>
      <c r="N46" s="4"/>
      <c r="O46" s="4"/>
      <c r="P46" s="4"/>
      <c r="Q46" s="6"/>
      <c r="R46" s="6"/>
      <c r="S46" s="6"/>
      <c r="T46" s="9">
        <f>(T45-O45)/ABS(O45)</f>
        <v>11.284410118379208</v>
      </c>
      <c r="U46" s="9"/>
      <c r="V46" s="9">
        <f>(V45-Q45)/ABS(Q45)</f>
        <v>-2.662443438914027</v>
      </c>
      <c r="W46" s="9">
        <f>(W45-R45)/ABS(R45)</f>
        <v>-15.082705029927544</v>
      </c>
      <c r="X46" s="9">
        <f>(X45-S45)/ABS(S45)</f>
        <v>-1.9476389335046578</v>
      </c>
      <c r="Y46" s="9">
        <f>(Y45-T45)/ABS(T45)</f>
        <v>-1.0882819942838997</v>
      </c>
      <c r="Z46" s="9"/>
      <c r="AA46" s="103">
        <f>(AA45-V45)/ABS(V45)</f>
        <v>-2.8958032590742979</v>
      </c>
      <c r="AB46" s="114"/>
      <c r="AC46" s="103">
        <f>(AC45-W45)/ABS(W45)</f>
        <v>1.0284494984186017</v>
      </c>
      <c r="AD46" s="103">
        <f>(AD45-X45)/ABS(X45)</f>
        <v>3.5879552008584266E-3</v>
      </c>
      <c r="AE46" s="103">
        <f t="shared" ref="AE46" si="124">(AE45-Y45)/ABS(Y45)</f>
        <v>-0.32989671255121888</v>
      </c>
      <c r="AF46" s="103"/>
      <c r="AG46" s="103">
        <f t="shared" ref="AG46" si="125">(AG45-AA45)/ABS(AA45)</f>
        <v>3.9127386834023233E-2</v>
      </c>
      <c r="AH46" s="103">
        <f t="shared" ref="AH46" si="126">(AH45-AC45)/ABS(AC45)</f>
        <v>-5.0227669145322684</v>
      </c>
      <c r="AI46" s="103">
        <f t="shared" ref="AI46" si="127">(AI45-AD45)/ABS(AD45)</f>
        <v>-0.62242133602557626</v>
      </c>
      <c r="AJ46" s="103">
        <f t="shared" ref="AJ46" si="128">(AJ45-AE45)/ABS(AE45)</f>
        <v>-0.31223910265511856</v>
      </c>
    </row>
    <row r="47" spans="1:36" ht="32">
      <c r="A47" s="4" t="s">
        <v>66</v>
      </c>
      <c r="B47" s="6">
        <v>-472</v>
      </c>
      <c r="C47" s="6">
        <v>29</v>
      </c>
      <c r="D47" s="6">
        <v>-2000</v>
      </c>
      <c r="E47" s="6">
        <v>-970</v>
      </c>
      <c r="F47" s="6">
        <v>1154</v>
      </c>
      <c r="G47" s="6">
        <v>14025</v>
      </c>
      <c r="H47" s="6">
        <v>13410</v>
      </c>
      <c r="I47" s="6">
        <v>13051</v>
      </c>
      <c r="J47" s="6">
        <v>5942</v>
      </c>
      <c r="K47" s="5">
        <f>SUM(V47:Y47)</f>
        <v>10985</v>
      </c>
      <c r="L47" s="19">
        <f t="shared" si="118"/>
        <v>9500</v>
      </c>
      <c r="M47" s="19">
        <f t="shared" si="108"/>
        <v>2800</v>
      </c>
      <c r="N47" s="8"/>
      <c r="O47" s="4">
        <v>7525</v>
      </c>
      <c r="P47" s="4"/>
      <c r="Q47" s="6">
        <v>525</v>
      </c>
      <c r="R47" s="6">
        <v>684</v>
      </c>
      <c r="S47" s="6">
        <v>1803</v>
      </c>
      <c r="T47" s="6">
        <v>2930</v>
      </c>
      <c r="U47" s="6"/>
      <c r="V47" s="6">
        <v>102</v>
      </c>
      <c r="W47" s="6">
        <v>1475</v>
      </c>
      <c r="X47" s="6">
        <v>5050</v>
      </c>
      <c r="Y47" s="6">
        <v>4358</v>
      </c>
      <c r="Z47" s="6"/>
      <c r="AA47" s="105">
        <v>3500</v>
      </c>
      <c r="AB47" s="6"/>
      <c r="AC47" s="105">
        <v>2500</v>
      </c>
      <c r="AD47" s="105">
        <v>2000</v>
      </c>
      <c r="AE47" s="105">
        <v>1500</v>
      </c>
      <c r="AF47" s="105"/>
      <c r="AG47" s="105">
        <v>1000</v>
      </c>
      <c r="AH47" s="105">
        <v>800</v>
      </c>
      <c r="AI47" s="105">
        <v>600</v>
      </c>
      <c r="AJ47" s="105">
        <v>400</v>
      </c>
    </row>
    <row r="48" spans="1:36">
      <c r="A48" s="4" t="s">
        <v>67</v>
      </c>
      <c r="B48" s="5">
        <f>B45-B47</f>
        <v>40328</v>
      </c>
      <c r="C48" s="5">
        <f>C45-C47</f>
        <v>21710</v>
      </c>
      <c r="D48" s="5">
        <f>D45-D47</f>
        <v>23730</v>
      </c>
      <c r="E48" s="5">
        <f t="shared" ref="E48:I48" si="129">E45-E47</f>
        <v>-67330</v>
      </c>
      <c r="F48" s="5">
        <f t="shared" si="129"/>
        <v>-67681</v>
      </c>
      <c r="G48" s="5">
        <f t="shared" si="129"/>
        <v>-150</v>
      </c>
      <c r="H48" s="5">
        <f t="shared" si="129"/>
        <v>3684</v>
      </c>
      <c r="I48" s="5">
        <f t="shared" si="129"/>
        <v>-15769</v>
      </c>
      <c r="J48" s="5">
        <f>J45-J47</f>
        <v>1084806</v>
      </c>
      <c r="K48" s="5">
        <f>K45-K47</f>
        <v>-1078862</v>
      </c>
      <c r="L48" s="19">
        <f>SUM(AA48:AE48)</f>
        <v>-546994</v>
      </c>
      <c r="M48" s="19">
        <f>SUM(AG48:AJ48)</f>
        <v>-755962</v>
      </c>
      <c r="N48" s="8"/>
      <c r="O48" s="10">
        <f>O45-O47</f>
        <v>-124184</v>
      </c>
      <c r="P48" s="10"/>
      <c r="Q48" s="10">
        <f t="shared" ref="Q48:T48" si="130">Q45-Q47</f>
        <v>-21520</v>
      </c>
      <c r="R48" s="10">
        <f t="shared" si="130"/>
        <v>-48299</v>
      </c>
      <c r="S48" s="10">
        <f t="shared" si="130"/>
        <v>-42272</v>
      </c>
      <c r="T48" s="10">
        <f t="shared" si="130"/>
        <v>1196839</v>
      </c>
      <c r="U48" s="10"/>
      <c r="V48" s="10">
        <f t="shared" ref="V48" si="131">V45-V47</f>
        <v>-76995</v>
      </c>
      <c r="W48" s="10">
        <f t="shared" ref="W48" si="132">W45-W47</f>
        <v>-767253</v>
      </c>
      <c r="X48" s="10">
        <f t="shared" ref="X48:AJ48" si="133">X45-X47</f>
        <v>-124338</v>
      </c>
      <c r="Y48" s="10">
        <f t="shared" si="133"/>
        <v>-110276</v>
      </c>
      <c r="Z48" s="10"/>
      <c r="AA48" s="109">
        <f t="shared" si="133"/>
        <v>-303060</v>
      </c>
      <c r="AB48" s="10"/>
      <c r="AC48" s="109">
        <f t="shared" si="133"/>
        <v>19286</v>
      </c>
      <c r="AD48" s="109">
        <f t="shared" si="133"/>
        <v>-120860</v>
      </c>
      <c r="AE48" s="109">
        <f t="shared" si="133"/>
        <v>-142360</v>
      </c>
      <c r="AF48" s="109"/>
      <c r="AG48" s="109">
        <f t="shared" si="133"/>
        <v>-288839</v>
      </c>
      <c r="AH48" s="109">
        <f t="shared" si="133"/>
        <v>-88440</v>
      </c>
      <c r="AI48" s="109">
        <f t="shared" si="133"/>
        <v>-193441</v>
      </c>
      <c r="AJ48" s="109">
        <f t="shared" si="133"/>
        <v>-185242</v>
      </c>
    </row>
    <row r="49" spans="1:36" ht="32">
      <c r="A49" s="3" t="s">
        <v>68</v>
      </c>
      <c r="H49" s="7"/>
      <c r="I49" s="7"/>
      <c r="J49" s="7"/>
      <c r="K49" s="7"/>
      <c r="L49" s="19"/>
      <c r="M49" s="19"/>
      <c r="N49" s="7"/>
      <c r="O49" s="3"/>
      <c r="P49" s="3"/>
      <c r="Q49" s="4" t="s">
        <v>3</v>
      </c>
      <c r="R49" s="4" t="s">
        <v>3</v>
      </c>
      <c r="S49" s="4" t="s">
        <v>3</v>
      </c>
      <c r="T49" s="4"/>
      <c r="U49" s="4"/>
      <c r="V49" s="4" t="s">
        <v>3</v>
      </c>
      <c r="W49" s="4" t="s">
        <v>3</v>
      </c>
      <c r="X49" s="4" t="s">
        <v>3</v>
      </c>
      <c r="AA49" s="99"/>
      <c r="AC49" s="99"/>
      <c r="AD49" s="99"/>
      <c r="AE49" s="99"/>
      <c r="AF49" s="99"/>
      <c r="AG49" s="99"/>
      <c r="AH49" s="99"/>
      <c r="AI49" s="99"/>
      <c r="AJ49" s="99"/>
    </row>
    <row r="50" spans="1:36" ht="32" hidden="1" outlineLevel="1">
      <c r="A50" s="4" t="s">
        <v>69</v>
      </c>
      <c r="B50" s="7">
        <v>0.86</v>
      </c>
      <c r="C50" s="7">
        <v>0.45</v>
      </c>
      <c r="D50" s="7">
        <v>0.45</v>
      </c>
      <c r="E50" s="7">
        <v>-1.1499999999999999</v>
      </c>
      <c r="F50" s="7">
        <v>-1.1299999999999999</v>
      </c>
      <c r="G50" s="5">
        <v>0</v>
      </c>
      <c r="H50" s="7">
        <f>H$48/H52</f>
        <v>5.5445186924327254E-2</v>
      </c>
      <c r="I50" s="7">
        <f t="shared" ref="I50:J50" si="134">I$48/I52</f>
        <v>-0.21484529340436256</v>
      </c>
      <c r="J50" s="7">
        <f t="shared" si="134"/>
        <v>14.289745109662123</v>
      </c>
      <c r="K50" s="7"/>
      <c r="L50" s="19">
        <f t="shared" si="118"/>
        <v>0</v>
      </c>
      <c r="M50" s="19"/>
      <c r="N50" s="6"/>
      <c r="O50" s="12"/>
      <c r="P50" s="12"/>
      <c r="Q50" s="13">
        <f t="shared" ref="Q50:X50" si="135">Q48/Q52</f>
        <v>-0.28745842405460642</v>
      </c>
      <c r="R50" s="13">
        <f t="shared" si="135"/>
        <v>-0.63754322975791333</v>
      </c>
      <c r="S50" s="13">
        <f t="shared" si="135"/>
        <v>-0.55520239565000395</v>
      </c>
      <c r="T50" s="13"/>
      <c r="U50" s="13"/>
      <c r="V50" s="13">
        <f t="shared" si="135"/>
        <v>-0.8269606684853823</v>
      </c>
      <c r="W50" s="13">
        <f t="shared" si="135"/>
        <v>-6.1612395506267612</v>
      </c>
      <c r="X50" s="13">
        <f t="shared" si="135"/>
        <v>-0.9939327082184225</v>
      </c>
      <c r="AA50" s="99"/>
      <c r="AC50" s="99"/>
      <c r="AD50" s="99"/>
      <c r="AE50" s="99"/>
      <c r="AF50" s="99"/>
      <c r="AG50" s="99"/>
      <c r="AH50" s="99"/>
      <c r="AI50" s="99"/>
      <c r="AJ50" s="99"/>
    </row>
    <row r="51" spans="1:36" ht="48" collapsed="1">
      <c r="A51" s="4" t="s">
        <v>70</v>
      </c>
      <c r="B51" s="7">
        <v>0.84</v>
      </c>
      <c r="C51" s="7">
        <v>0.44</v>
      </c>
      <c r="D51" s="7">
        <v>0.45</v>
      </c>
      <c r="E51" s="7">
        <v>-1.1499999999999999</v>
      </c>
      <c r="F51" s="7">
        <v>-1.1299999999999999</v>
      </c>
      <c r="G51" s="5">
        <v>0</v>
      </c>
      <c r="H51" s="7">
        <f>H$48/H53</f>
        <v>5.5445186924327254E-2</v>
      </c>
      <c r="I51" s="7">
        <f t="shared" ref="I51:J51" si="136">I$48/I53</f>
        <v>-0.21484529340436256</v>
      </c>
      <c r="J51" s="7">
        <f t="shared" si="136"/>
        <v>14.289745109662123</v>
      </c>
      <c r="K51" s="7">
        <f>K$48/K53</f>
        <v>-9.2061712276749521</v>
      </c>
      <c r="L51" s="7">
        <f>L$48/L53</f>
        <v>-4.2609074975657251</v>
      </c>
      <c r="M51" s="7">
        <f>M$48/M53</f>
        <v>-5.589367837338262</v>
      </c>
      <c r="N51" s="6"/>
      <c r="O51" s="14">
        <f>O48/O53</f>
        <v>-1.6649996648119596</v>
      </c>
      <c r="P51" s="14"/>
      <c r="Q51" s="14">
        <f t="shared" ref="Q51:AJ51" si="137">Q48/Q53</f>
        <v>-0.28745842405460642</v>
      </c>
      <c r="R51" s="14">
        <f t="shared" si="137"/>
        <v>-0.63754322975791333</v>
      </c>
      <c r="S51" s="14">
        <f t="shared" si="137"/>
        <v>-0.55520239565000395</v>
      </c>
      <c r="T51" s="14">
        <f t="shared" si="137"/>
        <v>15.55932710183175</v>
      </c>
      <c r="U51" s="14"/>
      <c r="V51" s="14">
        <f t="shared" si="137"/>
        <v>-0.8269606684853823</v>
      </c>
      <c r="W51" s="14">
        <f t="shared" si="137"/>
        <v>-6.1612395506267612</v>
      </c>
      <c r="X51" s="14">
        <f t="shared" si="137"/>
        <v>-0.9939327082184225</v>
      </c>
      <c r="Y51" s="14">
        <f t="shared" si="137"/>
        <v>-0.87613115431368027</v>
      </c>
      <c r="Z51" s="14"/>
      <c r="AA51" s="111">
        <f t="shared" si="137"/>
        <v>-2.3957312252964429</v>
      </c>
      <c r="AB51" s="14"/>
      <c r="AC51" s="111">
        <f t="shared" si="137"/>
        <v>0.15067187500000001</v>
      </c>
      <c r="AD51" s="111">
        <f t="shared" si="137"/>
        <v>-0.93689922480620158</v>
      </c>
      <c r="AE51" s="111">
        <f t="shared" si="137"/>
        <v>-1.0950769230769231</v>
      </c>
      <c r="AF51" s="111"/>
      <c r="AG51" s="111">
        <f t="shared" si="137"/>
        <v>-2.1717218045112783</v>
      </c>
      <c r="AH51" s="111">
        <f t="shared" si="137"/>
        <v>-0.66</v>
      </c>
      <c r="AI51" s="111">
        <f t="shared" si="137"/>
        <v>-1.422360294117647</v>
      </c>
      <c r="AJ51" s="111">
        <f t="shared" si="137"/>
        <v>-1.3423333333333334</v>
      </c>
    </row>
    <row r="52" spans="1:36" ht="32" hidden="1" outlineLevel="1">
      <c r="A52" s="4" t="s">
        <v>71</v>
      </c>
      <c r="B52" s="6">
        <v>47139</v>
      </c>
      <c r="C52" s="6">
        <v>48464</v>
      </c>
      <c r="D52" s="6">
        <v>52318</v>
      </c>
      <c r="E52" s="6">
        <v>58438</v>
      </c>
      <c r="F52" s="6">
        <v>59942</v>
      </c>
      <c r="G52" s="6">
        <v>61632</v>
      </c>
      <c r="H52" s="6">
        <v>66444</v>
      </c>
      <c r="I52" s="6">
        <v>73397</v>
      </c>
      <c r="J52" s="6">
        <v>75915</v>
      </c>
      <c r="K52" s="6"/>
      <c r="L52" s="19">
        <f t="shared" si="118"/>
        <v>0</v>
      </c>
      <c r="M52" s="19"/>
      <c r="N52" s="4"/>
      <c r="O52" s="4"/>
      <c r="P52" s="4"/>
      <c r="Q52" s="6">
        <v>74863</v>
      </c>
      <c r="R52" s="6">
        <v>75758</v>
      </c>
      <c r="S52" s="6">
        <v>76138</v>
      </c>
      <c r="T52" s="6"/>
      <c r="U52" s="6"/>
      <c r="V52" s="6">
        <v>93106</v>
      </c>
      <c r="W52" s="6">
        <v>124529</v>
      </c>
      <c r="X52" s="6">
        <v>125097</v>
      </c>
      <c r="AA52" s="99"/>
      <c r="AC52" s="99"/>
      <c r="AD52" s="99"/>
      <c r="AE52" s="99"/>
      <c r="AF52" s="99"/>
      <c r="AG52" s="99"/>
      <c r="AH52" s="99"/>
      <c r="AI52" s="99"/>
      <c r="AJ52" s="99"/>
    </row>
    <row r="53" spans="1:36" ht="32" collapsed="1">
      <c r="A53" s="4" t="s">
        <v>72</v>
      </c>
      <c r="B53" s="6">
        <v>48285</v>
      </c>
      <c r="C53" s="6">
        <v>49445</v>
      </c>
      <c r="D53" s="6">
        <v>53396</v>
      </c>
      <c r="E53" s="6">
        <v>58438</v>
      </c>
      <c r="F53" s="6">
        <v>59942</v>
      </c>
      <c r="G53" s="6">
        <v>61632</v>
      </c>
      <c r="H53" s="6">
        <v>66444</v>
      </c>
      <c r="I53" s="6">
        <v>73397</v>
      </c>
      <c r="J53" s="6">
        <v>75915</v>
      </c>
      <c r="K53" s="25">
        <v>117189</v>
      </c>
      <c r="L53" s="26">
        <f>AVERAGE(AA53:AE53)</f>
        <v>128375</v>
      </c>
      <c r="M53" s="26">
        <f>AVERAGE(AG53:AJ53)</f>
        <v>135250</v>
      </c>
      <c r="N53" s="5"/>
      <c r="O53" s="4">
        <v>74585</v>
      </c>
      <c r="P53" s="4"/>
      <c r="Q53" s="6">
        <v>74863</v>
      </c>
      <c r="R53" s="6">
        <v>75758</v>
      </c>
      <c r="S53" s="6">
        <v>76138</v>
      </c>
      <c r="T53" s="6">
        <v>76921</v>
      </c>
      <c r="U53" s="6"/>
      <c r="V53" s="6">
        <v>93106</v>
      </c>
      <c r="W53" s="6">
        <v>124529</v>
      </c>
      <c r="X53" s="6">
        <v>125097</v>
      </c>
      <c r="Y53" s="6">
        <v>125867</v>
      </c>
      <c r="Z53" s="6"/>
      <c r="AA53" s="105">
        <v>126500</v>
      </c>
      <c r="AB53" s="6"/>
      <c r="AC53" s="105">
        <v>128000</v>
      </c>
      <c r="AD53" s="105">
        <v>129000</v>
      </c>
      <c r="AE53" s="105">
        <v>130000</v>
      </c>
      <c r="AF53" s="105"/>
      <c r="AG53" s="105">
        <v>133000</v>
      </c>
      <c r="AH53" s="105">
        <v>134000</v>
      </c>
      <c r="AI53" s="105">
        <v>136000</v>
      </c>
      <c r="AJ53" s="105">
        <v>138000</v>
      </c>
    </row>
    <row r="54" spans="1:36">
      <c r="A54" s="4"/>
      <c r="B54" s="6"/>
      <c r="C54" s="9">
        <f>(C53-B53)/ABS(B53)</f>
        <v>2.4024024024024024E-2</v>
      </c>
      <c r="D54" s="9">
        <f t="shared" ref="D54:K54" si="138">(D53-C53)/ABS(C53)</f>
        <v>7.990696733744565E-2</v>
      </c>
      <c r="E54" s="9">
        <f t="shared" si="138"/>
        <v>9.4426548805153943E-2</v>
      </c>
      <c r="F54" s="9">
        <f t="shared" si="138"/>
        <v>2.573667818884972E-2</v>
      </c>
      <c r="G54" s="9">
        <f t="shared" si="138"/>
        <v>2.8193920790097093E-2</v>
      </c>
      <c r="H54" s="9">
        <f t="shared" si="138"/>
        <v>7.8076323987538943E-2</v>
      </c>
      <c r="I54" s="9">
        <f t="shared" si="138"/>
        <v>0.10464451267232557</v>
      </c>
      <c r="J54" s="9">
        <f t="shared" si="138"/>
        <v>3.4306579287981795E-2</v>
      </c>
      <c r="K54" s="9">
        <f t="shared" si="138"/>
        <v>0.54368701837581501</v>
      </c>
      <c r="L54" s="9">
        <f>(L53-K53)/ABS(K53)</f>
        <v>9.5452644872812298E-2</v>
      </c>
      <c r="M54" s="9">
        <f>(M53-L53)/ABS(L53)</f>
        <v>5.3554040895813046E-2</v>
      </c>
      <c r="N54" s="5"/>
      <c r="O54" s="9"/>
      <c r="P54" s="9"/>
      <c r="Q54" s="9">
        <f>(Q53-O53)/ABS(O53)</f>
        <v>3.727291010256754E-3</v>
      </c>
      <c r="R54" s="9">
        <f t="shared" ref="R54:AE54" si="139">(R53-Q53)/ABS(Q53)</f>
        <v>1.1955171446508957E-2</v>
      </c>
      <c r="S54" s="9">
        <f t="shared" si="139"/>
        <v>5.0159719105573007E-3</v>
      </c>
      <c r="T54" s="9">
        <f>(T53-S53)/ABS(S53)</f>
        <v>1.028395807612493E-2</v>
      </c>
      <c r="U54" s="9"/>
      <c r="V54" s="9">
        <f>(V53-T53)/ABS(T53)</f>
        <v>0.2104106810883894</v>
      </c>
      <c r="W54" s="9">
        <f t="shared" si="139"/>
        <v>0.33749704637724742</v>
      </c>
      <c r="X54" s="9">
        <f t="shared" si="139"/>
        <v>4.5611865509238812E-3</v>
      </c>
      <c r="Y54" s="9">
        <f>(Y53-X53)/ABS(X53)</f>
        <v>6.1552235465278946E-3</v>
      </c>
      <c r="Z54" s="9"/>
      <c r="AA54" s="103">
        <f>(AA53-Y53)/ABS(Y53)</f>
        <v>5.0291180372933333E-3</v>
      </c>
      <c r="AB54" s="114"/>
      <c r="AC54" s="103">
        <f>(AC53-AA53)/ABS(AA53)</f>
        <v>1.1857707509881422E-2</v>
      </c>
      <c r="AD54" s="103">
        <f t="shared" si="139"/>
        <v>7.8125E-3</v>
      </c>
      <c r="AE54" s="103">
        <f t="shared" si="139"/>
        <v>7.7519379844961239E-3</v>
      </c>
      <c r="AF54" s="103"/>
      <c r="AG54" s="103">
        <f t="shared" ref="AG54" si="140">(AG53-AE53)/ABS(AE53)</f>
        <v>2.3076923076923078E-2</v>
      </c>
      <c r="AH54" s="103">
        <f t="shared" ref="AH54" si="141">(AH53-AG53)/ABS(AG53)</f>
        <v>7.5187969924812026E-3</v>
      </c>
      <c r="AI54" s="103">
        <f t="shared" ref="AI54" si="142">(AI53-AH53)/ABS(AH53)</f>
        <v>1.4925373134328358E-2</v>
      </c>
      <c r="AJ54" s="103">
        <f t="shared" ref="AJ54" si="143">(AJ53-AI53)/ABS(AI53)</f>
        <v>1.4705882352941176E-2</v>
      </c>
    </row>
    <row r="55" spans="1:36">
      <c r="A55" s="3" t="s">
        <v>45</v>
      </c>
      <c r="H55" s="8"/>
      <c r="I55" s="8"/>
      <c r="J55" s="8"/>
      <c r="K55" s="8"/>
      <c r="L55" s="8"/>
      <c r="M55" s="8"/>
      <c r="N55" s="4"/>
      <c r="O55" s="3"/>
      <c r="P55" s="3"/>
      <c r="Q55" s="4" t="s">
        <v>3</v>
      </c>
      <c r="R55" s="4" t="s">
        <v>3</v>
      </c>
      <c r="S55" s="4" t="s">
        <v>3</v>
      </c>
      <c r="T55" s="4"/>
      <c r="U55" s="4"/>
      <c r="V55" s="4" t="s">
        <v>3</v>
      </c>
      <c r="W55" s="4" t="s">
        <v>3</v>
      </c>
      <c r="X55" s="4" t="s">
        <v>3</v>
      </c>
      <c r="AA55" s="99"/>
      <c r="AC55" s="99"/>
      <c r="AD55" s="99"/>
      <c r="AE55" s="99"/>
      <c r="AF55" s="99"/>
      <c r="AG55" s="99"/>
      <c r="AH55" s="99"/>
      <c r="AI55" s="99"/>
      <c r="AJ55" s="99"/>
    </row>
    <row r="56" spans="1:36">
      <c r="A56" s="4" t="s">
        <v>65</v>
      </c>
      <c r="B56" s="5">
        <f>B45</f>
        <v>39856</v>
      </c>
      <c r="C56" s="5">
        <f t="shared" ref="C56:K56" si="144">C45</f>
        <v>21739</v>
      </c>
      <c r="D56" s="5">
        <f t="shared" si="144"/>
        <v>21730</v>
      </c>
      <c r="E56" s="5">
        <f t="shared" si="144"/>
        <v>-68300</v>
      </c>
      <c r="F56" s="5">
        <f t="shared" si="144"/>
        <v>-66527</v>
      </c>
      <c r="G56" s="5">
        <f t="shared" si="144"/>
        <v>13875</v>
      </c>
      <c r="H56" s="5">
        <f t="shared" si="144"/>
        <v>17094</v>
      </c>
      <c r="I56" s="5">
        <f t="shared" si="144"/>
        <v>-2718</v>
      </c>
      <c r="J56" s="5">
        <f t="shared" si="144"/>
        <v>1090748</v>
      </c>
      <c r="K56" s="5">
        <f t="shared" si="144"/>
        <v>-1067877</v>
      </c>
      <c r="L56" s="5">
        <f>L45</f>
        <v>-537494</v>
      </c>
      <c r="M56" s="5">
        <f>M45</f>
        <v>-753162</v>
      </c>
      <c r="N56" s="6"/>
      <c r="O56" s="10">
        <f>O45</f>
        <v>-116659</v>
      </c>
      <c r="P56" s="10"/>
      <c r="Q56" s="10">
        <f t="shared" ref="Q56:AJ56" si="145">Q45</f>
        <v>-20995</v>
      </c>
      <c r="R56" s="10">
        <f t="shared" si="145"/>
        <v>-47615</v>
      </c>
      <c r="S56" s="10">
        <f t="shared" si="145"/>
        <v>-40469</v>
      </c>
      <c r="T56" s="10">
        <f t="shared" si="145"/>
        <v>1199769</v>
      </c>
      <c r="U56" s="10"/>
      <c r="V56" s="10">
        <f t="shared" si="145"/>
        <v>-76893</v>
      </c>
      <c r="W56" s="10">
        <f t="shared" si="145"/>
        <v>-765778</v>
      </c>
      <c r="X56" s="10">
        <f t="shared" si="145"/>
        <v>-119288</v>
      </c>
      <c r="Y56" s="10">
        <f t="shared" si="145"/>
        <v>-105918</v>
      </c>
      <c r="Z56" s="10"/>
      <c r="AA56" s="109">
        <f t="shared" si="145"/>
        <v>-299560</v>
      </c>
      <c r="AB56" s="10"/>
      <c r="AC56" s="109">
        <f t="shared" si="145"/>
        <v>21786</v>
      </c>
      <c r="AD56" s="109">
        <f t="shared" si="145"/>
        <v>-118860</v>
      </c>
      <c r="AE56" s="109">
        <f t="shared" si="145"/>
        <v>-140860</v>
      </c>
      <c r="AF56" s="109"/>
      <c r="AG56" s="109">
        <f t="shared" si="145"/>
        <v>-287839</v>
      </c>
      <c r="AH56" s="109">
        <f t="shared" si="145"/>
        <v>-87640</v>
      </c>
      <c r="AI56" s="109">
        <f t="shared" si="145"/>
        <v>-192841</v>
      </c>
      <c r="AJ56" s="109">
        <f t="shared" si="145"/>
        <v>-184842</v>
      </c>
    </row>
    <row r="57" spans="1:36" ht="32" hidden="1" outlineLevel="1">
      <c r="A57" s="3" t="s">
        <v>47</v>
      </c>
      <c r="H57" s="7"/>
      <c r="I57" s="7"/>
      <c r="J57" s="7"/>
      <c r="K57" s="7"/>
      <c r="L57" s="5">
        <f t="shared" ref="L57:L70" si="146">L46</f>
        <v>0.49667049669578051</v>
      </c>
      <c r="M57" s="7"/>
      <c r="N57" s="6"/>
      <c r="O57" s="3"/>
      <c r="P57" s="3"/>
      <c r="Q57" s="4" t="s">
        <v>3</v>
      </c>
      <c r="R57" s="4" t="s">
        <v>3</v>
      </c>
      <c r="S57" s="4" t="s">
        <v>3</v>
      </c>
      <c r="T57" s="4"/>
      <c r="U57" s="4"/>
      <c r="V57" s="4" t="s">
        <v>3</v>
      </c>
      <c r="W57" s="4" t="s">
        <v>3</v>
      </c>
      <c r="X57" s="4" t="s">
        <v>3</v>
      </c>
    </row>
    <row r="58" spans="1:36" hidden="1" outlineLevel="1">
      <c r="A58" s="4" t="s">
        <v>73</v>
      </c>
      <c r="B58" s="6">
        <v>-25</v>
      </c>
      <c r="C58" s="6">
        <v>122</v>
      </c>
      <c r="D58" s="6">
        <v>-182</v>
      </c>
      <c r="E58" s="6">
        <v>67</v>
      </c>
      <c r="F58" s="6">
        <v>-242</v>
      </c>
      <c r="G58" s="6">
        <v>235</v>
      </c>
      <c r="H58" s="6"/>
      <c r="I58" s="6"/>
      <c r="J58" s="6"/>
      <c r="K58" s="6"/>
      <c r="L58" s="5">
        <f t="shared" si="146"/>
        <v>9500</v>
      </c>
      <c r="M58" s="6"/>
      <c r="N58" s="6"/>
      <c r="O58" s="4"/>
      <c r="P58" s="4"/>
      <c r="Q58" s="4" t="s">
        <v>3</v>
      </c>
      <c r="R58" s="4" t="s">
        <v>3</v>
      </c>
      <c r="S58" s="4" t="s">
        <v>3</v>
      </c>
      <c r="T58" s="4"/>
      <c r="U58" s="4"/>
      <c r="V58" s="6">
        <v>6297</v>
      </c>
      <c r="W58" s="6">
        <v>-4839</v>
      </c>
      <c r="X58" s="6">
        <v>4548</v>
      </c>
    </row>
    <row r="59" spans="1:36" ht="32" hidden="1" outlineLevel="1">
      <c r="A59" s="4" t="s">
        <v>46</v>
      </c>
      <c r="B59" s="6">
        <v>-2141</v>
      </c>
      <c r="C59" s="6">
        <v>-262</v>
      </c>
      <c r="D59" s="6">
        <v>-2329</v>
      </c>
      <c r="E59" s="6">
        <v>15785</v>
      </c>
      <c r="F59" s="6">
        <v>-9985</v>
      </c>
      <c r="G59" s="6">
        <v>-11621</v>
      </c>
      <c r="H59" s="6">
        <v>15851</v>
      </c>
      <c r="I59" s="6">
        <v>-31424</v>
      </c>
      <c r="J59" s="6">
        <v>-13092</v>
      </c>
      <c r="K59" s="6"/>
      <c r="L59" s="5">
        <f t="shared" si="146"/>
        <v>-546994</v>
      </c>
      <c r="M59" s="6"/>
      <c r="N59" s="6"/>
      <c r="O59" s="4"/>
      <c r="P59" s="4"/>
      <c r="Q59" s="6">
        <v>-20341</v>
      </c>
      <c r="R59" s="6">
        <v>-21995</v>
      </c>
      <c r="S59" s="6">
        <v>24850</v>
      </c>
      <c r="T59" s="6"/>
      <c r="U59" s="6"/>
      <c r="V59" s="6">
        <v>8527</v>
      </c>
      <c r="W59" s="6">
        <v>-12107</v>
      </c>
      <c r="X59" s="6">
        <v>17143</v>
      </c>
    </row>
    <row r="60" spans="1:36" ht="32" hidden="1" outlineLevel="1">
      <c r="A60" s="4" t="s">
        <v>74</v>
      </c>
      <c r="B60" s="6">
        <v>-2166</v>
      </c>
      <c r="C60" s="6">
        <v>-140</v>
      </c>
      <c r="D60" s="6">
        <v>-2511</v>
      </c>
      <c r="E60" s="6">
        <v>15852</v>
      </c>
      <c r="F60" s="6">
        <v>-10227</v>
      </c>
      <c r="G60" s="6">
        <v>-11386</v>
      </c>
      <c r="H60" s="6">
        <v>15851</v>
      </c>
      <c r="I60" s="6">
        <v>-31424</v>
      </c>
      <c r="J60" s="6">
        <v>-13092</v>
      </c>
      <c r="K60" s="6"/>
      <c r="L60" s="5">
        <f t="shared" si="146"/>
        <v>0</v>
      </c>
      <c r="M60" s="6"/>
      <c r="N60" s="6"/>
      <c r="O60" s="4"/>
      <c r="P60" s="4"/>
      <c r="Q60" s="6">
        <v>-20341</v>
      </c>
      <c r="R60" s="6">
        <v>-21995</v>
      </c>
      <c r="S60" s="6">
        <v>24850</v>
      </c>
      <c r="T60" s="6"/>
      <c r="U60" s="6"/>
      <c r="V60" s="6">
        <v>14824</v>
      </c>
      <c r="W60" s="6">
        <v>-16946</v>
      </c>
      <c r="X60" s="6">
        <v>21691</v>
      </c>
    </row>
    <row r="61" spans="1:36" hidden="1" outlineLevel="1">
      <c r="A61" s="4" t="s">
        <v>75</v>
      </c>
      <c r="B61" s="6">
        <v>37725</v>
      </c>
      <c r="C61" s="6">
        <v>21630</v>
      </c>
      <c r="D61" s="6">
        <v>19256</v>
      </c>
      <c r="E61" s="6">
        <v>-52423</v>
      </c>
      <c r="F61" s="6">
        <v>-76696</v>
      </c>
      <c r="G61" s="6">
        <v>2427</v>
      </c>
      <c r="H61" s="6">
        <v>32952</v>
      </c>
      <c r="I61" s="6">
        <v>-33907</v>
      </c>
      <c r="J61" s="6">
        <v>1077656</v>
      </c>
      <c r="K61" s="6"/>
      <c r="L61" s="5">
        <f t="shared" si="146"/>
        <v>0</v>
      </c>
      <c r="M61" s="6"/>
      <c r="N61" s="4"/>
      <c r="O61" s="4"/>
      <c r="P61" s="4"/>
      <c r="Q61" s="6">
        <v>-41380</v>
      </c>
      <c r="R61" s="6">
        <v>-69551</v>
      </c>
      <c r="S61" s="6">
        <v>-15575</v>
      </c>
      <c r="T61" s="6"/>
      <c r="U61" s="6"/>
      <c r="V61" s="6">
        <v>-62078</v>
      </c>
      <c r="W61" s="6">
        <v>-782709</v>
      </c>
      <c r="X61" s="6">
        <v>-97658</v>
      </c>
    </row>
    <row r="62" spans="1:36" ht="32" hidden="1" outlineLevel="1">
      <c r="A62" s="4" t="s">
        <v>76</v>
      </c>
      <c r="B62" s="6">
        <v>-472</v>
      </c>
      <c r="C62" s="6">
        <v>29</v>
      </c>
      <c r="D62" s="6">
        <v>-2000</v>
      </c>
      <c r="E62" s="6">
        <v>-970</v>
      </c>
      <c r="F62" s="6">
        <v>1154</v>
      </c>
      <c r="G62" s="6">
        <v>14025</v>
      </c>
      <c r="H62" s="6">
        <v>13410</v>
      </c>
      <c r="I62" s="6">
        <v>13051</v>
      </c>
      <c r="J62" s="6">
        <v>5942</v>
      </c>
      <c r="K62" s="6"/>
      <c r="L62" s="5">
        <f t="shared" si="146"/>
        <v>-4.2609074975657251</v>
      </c>
      <c r="M62" s="6"/>
      <c r="N62" s="4"/>
      <c r="O62" s="4"/>
      <c r="P62" s="4"/>
      <c r="Q62" s="6">
        <v>525</v>
      </c>
      <c r="R62" s="6">
        <v>684</v>
      </c>
      <c r="S62" s="6">
        <v>1803</v>
      </c>
      <c r="T62" s="6"/>
      <c r="U62" s="6"/>
      <c r="V62" s="6">
        <v>102</v>
      </c>
      <c r="W62" s="6">
        <v>1475</v>
      </c>
      <c r="X62" s="6">
        <v>5050</v>
      </c>
    </row>
    <row r="63" spans="1:36" ht="32" hidden="1" outlineLevel="1">
      <c r="A63" s="4" t="s">
        <v>77</v>
      </c>
      <c r="B63" s="5">
        <v>38197</v>
      </c>
      <c r="C63" s="5">
        <v>21601</v>
      </c>
      <c r="D63" s="5">
        <v>21256</v>
      </c>
      <c r="E63" s="6">
        <v>-51453</v>
      </c>
      <c r="F63" s="6">
        <v>-77850</v>
      </c>
      <c r="G63" s="6">
        <v>-11598</v>
      </c>
      <c r="H63" s="6">
        <v>19542</v>
      </c>
      <c r="I63" s="6">
        <v>-46958</v>
      </c>
      <c r="J63" s="6">
        <v>1071714</v>
      </c>
      <c r="K63" s="6"/>
      <c r="L63" s="5">
        <f t="shared" si="146"/>
        <v>0</v>
      </c>
      <c r="M63" s="6"/>
      <c r="N63" s="6"/>
      <c r="O63" s="4"/>
      <c r="P63" s="4"/>
      <c r="Q63" s="6">
        <v>-41905</v>
      </c>
      <c r="R63" s="6">
        <v>-70235</v>
      </c>
      <c r="S63" s="6">
        <v>-17378</v>
      </c>
      <c r="T63" s="6"/>
      <c r="U63" s="6"/>
      <c r="V63" s="6">
        <v>-62180</v>
      </c>
      <c r="W63" s="6">
        <v>-784184</v>
      </c>
      <c r="X63" s="6">
        <v>-102708</v>
      </c>
    </row>
    <row r="64" spans="1:36" hidden="1" outlineLevel="1">
      <c r="A64" s="4" t="s">
        <v>48</v>
      </c>
      <c r="B64" s="6"/>
      <c r="C64" s="6"/>
      <c r="D64" s="6"/>
      <c r="H64" s="6"/>
      <c r="I64" s="6"/>
      <c r="J64" s="6"/>
      <c r="K64" s="6"/>
      <c r="L64" s="5">
        <f t="shared" si="146"/>
        <v>128375</v>
      </c>
      <c r="M64" s="6"/>
      <c r="N64" s="4"/>
      <c r="O64" s="4"/>
      <c r="P64" s="4"/>
      <c r="Q64" s="4" t="s">
        <v>3</v>
      </c>
      <c r="R64" s="4" t="s">
        <v>3</v>
      </c>
      <c r="S64" s="4" t="s">
        <v>3</v>
      </c>
      <c r="T64" s="4"/>
      <c r="U64" s="4"/>
      <c r="V64" s="4" t="s">
        <v>3</v>
      </c>
      <c r="W64" s="4" t="s">
        <v>3</v>
      </c>
      <c r="X64" s="4" t="s">
        <v>3</v>
      </c>
    </row>
    <row r="65" spans="1:24" hidden="1" outlineLevel="1">
      <c r="A65" s="3" t="s">
        <v>34</v>
      </c>
      <c r="B65" s="5"/>
      <c r="C65" s="5"/>
      <c r="D65" s="5"/>
      <c r="H65" s="6"/>
      <c r="I65" s="6"/>
      <c r="J65" s="6"/>
      <c r="K65" s="6"/>
      <c r="L65" s="5">
        <f t="shared" si="146"/>
        <v>9.5452644872812298E-2</v>
      </c>
      <c r="M65" s="6"/>
      <c r="N65" s="6"/>
      <c r="O65" s="3"/>
      <c r="P65" s="3"/>
      <c r="Q65" s="4" t="s">
        <v>3</v>
      </c>
      <c r="R65" s="4" t="s">
        <v>3</v>
      </c>
      <c r="S65" s="4" t="s">
        <v>3</v>
      </c>
      <c r="T65" s="4"/>
      <c r="U65" s="4"/>
      <c r="V65" s="4" t="s">
        <v>3</v>
      </c>
      <c r="W65" s="4" t="s">
        <v>3</v>
      </c>
      <c r="X65" s="4" t="s">
        <v>3</v>
      </c>
    </row>
    <row r="66" spans="1:24" hidden="1" outlineLevel="1">
      <c r="A66" s="4" t="s">
        <v>35</v>
      </c>
      <c r="E66" s="6">
        <v>755547</v>
      </c>
      <c r="F66" s="6">
        <v>1092691</v>
      </c>
      <c r="G66" s="6">
        <v>1172541</v>
      </c>
      <c r="H66" s="6">
        <v>739373</v>
      </c>
      <c r="I66" s="6">
        <v>860726</v>
      </c>
      <c r="J66" s="6">
        <v>954126</v>
      </c>
      <c r="K66" s="6"/>
      <c r="L66" s="5">
        <f t="shared" si="146"/>
        <v>0</v>
      </c>
      <c r="M66" s="6"/>
      <c r="N66" s="4"/>
      <c r="O66" s="4"/>
      <c r="P66" s="4"/>
      <c r="Q66" s="6">
        <v>172495</v>
      </c>
      <c r="R66" s="6">
        <v>260959</v>
      </c>
      <c r="S66" s="6">
        <v>249315</v>
      </c>
      <c r="T66" s="6"/>
      <c r="U66" s="6"/>
      <c r="V66" s="6">
        <v>236372</v>
      </c>
      <c r="W66" s="6">
        <v>401729</v>
      </c>
      <c r="X66" s="6">
        <v>303073</v>
      </c>
    </row>
    <row r="67" spans="1:24" hidden="1" outlineLevel="1">
      <c r="A67" s="3" t="s">
        <v>36</v>
      </c>
      <c r="H67" s="4" t="s">
        <v>3</v>
      </c>
      <c r="I67" s="4" t="s">
        <v>3</v>
      </c>
      <c r="J67" s="4" t="s">
        <v>3</v>
      </c>
      <c r="K67" s="4"/>
      <c r="L67" s="5">
        <f t="shared" si="146"/>
        <v>-537494</v>
      </c>
      <c r="M67" s="4"/>
      <c r="N67" s="4"/>
      <c r="O67" s="3"/>
      <c r="P67" s="3"/>
      <c r="Q67" s="4" t="s">
        <v>3</v>
      </c>
      <c r="R67" s="4" t="s">
        <v>3</v>
      </c>
      <c r="S67" s="4" t="s">
        <v>3</v>
      </c>
      <c r="T67" s="4"/>
      <c r="U67" s="4"/>
      <c r="V67" s="4" t="s">
        <v>3</v>
      </c>
      <c r="W67" s="4" t="s">
        <v>3</v>
      </c>
      <c r="X67" s="4" t="s">
        <v>3</v>
      </c>
    </row>
    <row r="68" spans="1:24" hidden="1" outlineLevel="1">
      <c r="A68" s="4" t="s">
        <v>49</v>
      </c>
      <c r="H68" s="6"/>
      <c r="I68" s="6"/>
      <c r="J68" s="6"/>
      <c r="K68" s="6"/>
      <c r="L68" s="5">
        <f t="shared" si="146"/>
        <v>0.49667049669578051</v>
      </c>
      <c r="M68" s="6"/>
      <c r="N68" s="6"/>
      <c r="O68" s="4"/>
      <c r="P68" s="4"/>
      <c r="Q68" s="4" t="s">
        <v>3</v>
      </c>
      <c r="R68" s="4" t="s">
        <v>3</v>
      </c>
      <c r="S68" s="4" t="s">
        <v>3</v>
      </c>
      <c r="T68" s="4"/>
      <c r="U68" s="4"/>
      <c r="V68" s="4" t="s">
        <v>3</v>
      </c>
      <c r="W68" s="4" t="s">
        <v>3</v>
      </c>
      <c r="X68" s="4" t="s">
        <v>3</v>
      </c>
    </row>
    <row r="69" spans="1:24" hidden="1" outlineLevel="1">
      <c r="A69" s="3" t="s">
        <v>34</v>
      </c>
      <c r="H69" s="4" t="s">
        <v>3</v>
      </c>
      <c r="I69" s="4" t="s">
        <v>3</v>
      </c>
      <c r="J69" s="4" t="s">
        <v>3</v>
      </c>
      <c r="K69" s="4"/>
      <c r="L69" s="5">
        <f t="shared" si="146"/>
        <v>9500</v>
      </c>
      <c r="M69" s="4"/>
      <c r="N69" s="4"/>
      <c r="O69" s="3"/>
      <c r="P69" s="3"/>
      <c r="Q69" s="4" t="s">
        <v>3</v>
      </c>
      <c r="R69" s="4" t="s">
        <v>3</v>
      </c>
      <c r="S69" s="4" t="s">
        <v>3</v>
      </c>
      <c r="T69" s="4"/>
      <c r="U69" s="4"/>
      <c r="V69" s="4" t="s">
        <v>3</v>
      </c>
      <c r="W69" s="4" t="s">
        <v>3</v>
      </c>
      <c r="X69" s="4" t="s">
        <v>3</v>
      </c>
    </row>
    <row r="70" spans="1:24" hidden="1" outlineLevel="1">
      <c r="A70" s="4" t="s">
        <v>35</v>
      </c>
      <c r="E70" s="6">
        <v>839078</v>
      </c>
      <c r="F70" s="6">
        <v>975567</v>
      </c>
      <c r="G70" s="6">
        <v>1136697</v>
      </c>
      <c r="H70" s="6">
        <v>1181505</v>
      </c>
      <c r="I70" s="6">
        <v>1556453</v>
      </c>
      <c r="J70" s="6">
        <v>1602032</v>
      </c>
      <c r="K70" s="5"/>
      <c r="L70" s="5">
        <f t="shared" si="146"/>
        <v>-546994</v>
      </c>
      <c r="M70" s="5"/>
      <c r="N70" s="5"/>
      <c r="O70" s="4"/>
      <c r="P70" s="4"/>
      <c r="Q70" s="6">
        <v>402561</v>
      </c>
      <c r="R70" s="6">
        <v>402600</v>
      </c>
      <c r="S70" s="6">
        <v>402129</v>
      </c>
      <c r="T70" s="6"/>
      <c r="U70" s="6"/>
      <c r="V70" s="6">
        <v>543419</v>
      </c>
      <c r="W70" s="6">
        <v>823686</v>
      </c>
      <c r="X70" s="6">
        <v>825466</v>
      </c>
    </row>
    <row r="71" spans="1:24" collapsed="1">
      <c r="A71" s="3"/>
      <c r="H71" s="6"/>
      <c r="I71" s="6"/>
      <c r="J71" s="6"/>
      <c r="K71" s="6"/>
      <c r="L71" s="6"/>
      <c r="M71" s="6"/>
      <c r="O71" s="4"/>
      <c r="P71" s="4"/>
      <c r="Q71" s="5"/>
      <c r="R71" s="5"/>
      <c r="S71" s="5"/>
      <c r="T71" s="5"/>
      <c r="U71" s="5"/>
      <c r="V71" s="5"/>
      <c r="W71" s="5"/>
      <c r="X71" s="5"/>
    </row>
    <row r="72" spans="1:24">
      <c r="A72" s="4"/>
      <c r="B72" s="6"/>
      <c r="C72" s="6"/>
      <c r="D72" s="6"/>
      <c r="E72" s="5"/>
      <c r="F72" s="5"/>
      <c r="G72" s="5"/>
      <c r="H72" s="4"/>
      <c r="I72" s="4"/>
      <c r="J72" s="4"/>
      <c r="K72" s="4"/>
      <c r="L72" s="4"/>
      <c r="M72" s="4"/>
      <c r="N72" s="5"/>
    </row>
    <row r="73" spans="1:24">
      <c r="H73" s="5"/>
      <c r="I73" s="5"/>
      <c r="J73" s="5"/>
      <c r="K73" s="5"/>
      <c r="L73" s="5"/>
      <c r="M73" s="5"/>
      <c r="W73" s="11"/>
    </row>
    <row r="74" spans="1:24">
      <c r="H74" s="4"/>
      <c r="I74" s="4"/>
      <c r="J74" s="4"/>
      <c r="K74" s="4"/>
      <c r="L74" s="4"/>
      <c r="M74" s="4"/>
    </row>
    <row r="75" spans="1:24">
      <c r="H75" s="6"/>
      <c r="I75" s="6"/>
      <c r="J75" s="6"/>
      <c r="K75" s="6"/>
      <c r="L75" s="6"/>
      <c r="M75" s="6"/>
    </row>
    <row r="76" spans="1:24">
      <c r="H76" s="4"/>
      <c r="I76" s="4"/>
      <c r="J76" s="4"/>
      <c r="K76" s="4"/>
      <c r="L76" s="4"/>
      <c r="M76" s="4"/>
    </row>
    <row r="77" spans="1:24">
      <c r="H77" s="5"/>
      <c r="I77" s="5"/>
      <c r="J77" s="5"/>
      <c r="K77" s="5"/>
      <c r="L77" s="5"/>
      <c r="M77" s="5"/>
    </row>
    <row r="79" spans="1:24">
      <c r="A79" s="6"/>
      <c r="B79" s="6"/>
      <c r="C79" s="6"/>
    </row>
    <row r="80" spans="1:24">
      <c r="A80" s="6"/>
      <c r="B80" s="6"/>
      <c r="C80" s="6"/>
    </row>
  </sheetData>
  <mergeCells count="6">
    <mergeCell ref="AA1:AE1"/>
    <mergeCell ref="AG1:AJ1"/>
    <mergeCell ref="A1:A2"/>
    <mergeCell ref="B1:J1"/>
    <mergeCell ref="V1:Y1"/>
    <mergeCell ref="Q1:T1"/>
  </mergeCells>
  <phoneticPr fontId="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9262FA-6C86-514E-A241-3D06BF8F14BE}">
  <dimension ref="A1:R67"/>
  <sheetViews>
    <sheetView zoomScale="90" workbookViewId="0">
      <pane xSplit="1" ySplit="2" topLeftCell="B6" activePane="bottomRight" state="frozen"/>
      <selection pane="topRight" activeCell="B1" sqref="B1"/>
      <selection pane="bottomLeft" activeCell="A3" sqref="A3"/>
      <selection pane="bottomRight" activeCell="L16" sqref="L16"/>
    </sheetView>
  </sheetViews>
  <sheetFormatPr baseColWidth="10" defaultRowHeight="16"/>
  <cols>
    <col min="1" max="1" width="39" customWidth="1"/>
    <col min="2" max="2" width="16" customWidth="1"/>
    <col min="3" max="6" width="14" customWidth="1"/>
    <col min="7" max="7" width="12.5" customWidth="1"/>
    <col min="8" max="9" width="15.33203125" bestFit="1" customWidth="1"/>
    <col min="10" max="10" width="13.1640625" customWidth="1"/>
    <col min="11" max="11" width="12.83203125" customWidth="1"/>
    <col min="12" max="12" width="14" customWidth="1"/>
    <col min="17" max="17" width="10.83203125" customWidth="1"/>
  </cols>
  <sheetData>
    <row r="1" spans="1:18" ht="32" customHeight="1">
      <c r="A1" s="151" t="s">
        <v>78</v>
      </c>
      <c r="B1" s="1"/>
      <c r="C1" s="27"/>
      <c r="D1" s="27"/>
      <c r="E1" s="27"/>
      <c r="F1" s="27"/>
      <c r="G1" s="27"/>
      <c r="H1" s="27"/>
      <c r="I1" s="27"/>
      <c r="J1" s="27"/>
      <c r="K1" s="27"/>
      <c r="L1" s="27"/>
    </row>
    <row r="2" spans="1:18" ht="32">
      <c r="A2" s="150"/>
      <c r="B2" s="2" t="s">
        <v>109</v>
      </c>
      <c r="C2" s="2" t="s">
        <v>108</v>
      </c>
      <c r="D2" s="2" t="s">
        <v>107</v>
      </c>
      <c r="E2" s="2" t="s">
        <v>106</v>
      </c>
      <c r="F2" s="2" t="s">
        <v>105</v>
      </c>
      <c r="G2" s="2" t="s">
        <v>59</v>
      </c>
      <c r="H2" s="2" t="s">
        <v>52</v>
      </c>
      <c r="I2" s="2" t="s">
        <v>51</v>
      </c>
      <c r="J2" s="2" t="s">
        <v>1</v>
      </c>
      <c r="K2" s="2" t="s">
        <v>111</v>
      </c>
      <c r="L2" s="2" t="s">
        <v>113</v>
      </c>
      <c r="M2" s="2" t="s">
        <v>186</v>
      </c>
      <c r="N2" s="2" t="s">
        <v>194</v>
      </c>
      <c r="O2" s="2" t="s">
        <v>195</v>
      </c>
      <c r="P2" s="2" t="s">
        <v>196</v>
      </c>
      <c r="Q2" s="2"/>
      <c r="R2" s="2"/>
    </row>
    <row r="3" spans="1:18" ht="17">
      <c r="A3" s="28" t="s">
        <v>79</v>
      </c>
      <c r="H3" s="4" t="s">
        <v>3</v>
      </c>
      <c r="I3" s="4" t="s">
        <v>3</v>
      </c>
      <c r="J3" s="4" t="s">
        <v>3</v>
      </c>
      <c r="K3" s="4" t="s">
        <v>3</v>
      </c>
      <c r="P3" s="4"/>
    </row>
    <row r="4" spans="1:18" ht="17">
      <c r="A4" s="29" t="s">
        <v>136</v>
      </c>
      <c r="B4" s="5">
        <v>39891</v>
      </c>
      <c r="C4" s="5">
        <v>21770</v>
      </c>
      <c r="D4" s="5">
        <v>21767</v>
      </c>
      <c r="E4" s="5">
        <v>-68275</v>
      </c>
      <c r="F4" s="5">
        <v>-66469</v>
      </c>
      <c r="G4" s="5">
        <v>13813</v>
      </c>
      <c r="H4" s="5">
        <v>17101</v>
      </c>
      <c r="I4" s="5">
        <v>-2483</v>
      </c>
      <c r="J4" s="5">
        <v>1090748</v>
      </c>
      <c r="K4" s="30">
        <v>-1057877</v>
      </c>
      <c r="L4" s="5">
        <f>'Statement of Operations'!L45</f>
        <v>-537494</v>
      </c>
      <c r="M4" s="5"/>
      <c r="N4" s="5"/>
      <c r="O4" s="5"/>
      <c r="P4" s="5"/>
    </row>
    <row r="5" spans="1:18" ht="34">
      <c r="A5" s="28" t="s">
        <v>137</v>
      </c>
      <c r="H5" s="4" t="s">
        <v>3</v>
      </c>
      <c r="I5" s="4" t="s">
        <v>3</v>
      </c>
      <c r="J5" s="4" t="s">
        <v>3</v>
      </c>
      <c r="K5" s="4" t="s">
        <v>3</v>
      </c>
      <c r="P5" s="4"/>
    </row>
    <row r="6" spans="1:18" ht="17">
      <c r="A6" s="29" t="s">
        <v>80</v>
      </c>
      <c r="B6" s="6">
        <v>179542</v>
      </c>
      <c r="C6" s="6">
        <v>193086</v>
      </c>
      <c r="D6" s="6">
        <v>200686</v>
      </c>
      <c r="E6" s="6">
        <v>210441</v>
      </c>
      <c r="F6" s="6">
        <v>262289</v>
      </c>
      <c r="G6" s="6">
        <v>279733</v>
      </c>
      <c r="H6" s="6">
        <v>330861</v>
      </c>
      <c r="I6" s="6">
        <v>407376</v>
      </c>
      <c r="J6" s="6">
        <v>409564</v>
      </c>
      <c r="K6" s="6">
        <v>867641</v>
      </c>
      <c r="L6" s="6">
        <v>880000</v>
      </c>
      <c r="M6" s="6"/>
      <c r="N6" s="6"/>
      <c r="O6" s="6"/>
      <c r="P6" s="6"/>
    </row>
    <row r="7" spans="1:18">
      <c r="A7" s="29"/>
      <c r="B7" s="9"/>
      <c r="C7" s="9">
        <f t="shared" ref="C7" si="0">(C6-B6)/ABS(B6)</f>
        <v>7.5436388143164279E-2</v>
      </c>
      <c r="D7" s="9">
        <f t="shared" ref="D7" si="1">(D6-C6)/ABS(C6)</f>
        <v>3.9360699377479463E-2</v>
      </c>
      <c r="E7" s="9">
        <f t="shared" ref="E7" si="2">(E6-D6)/ABS(D6)</f>
        <v>4.8608273621478328E-2</v>
      </c>
      <c r="F7" s="9">
        <f t="shared" ref="F7:L7" si="3">(F6-E6)/ABS(E6)</f>
        <v>0.24637784462153287</v>
      </c>
      <c r="G7" s="9">
        <f t="shared" si="3"/>
        <v>6.6506792126242428E-2</v>
      </c>
      <c r="H7" s="9">
        <f t="shared" si="3"/>
        <v>0.18277428833923778</v>
      </c>
      <c r="I7" s="9">
        <f t="shared" si="3"/>
        <v>0.23126025732860628</v>
      </c>
      <c r="J7" s="9">
        <f t="shared" si="3"/>
        <v>5.3709595066965161E-3</v>
      </c>
      <c r="K7" s="9">
        <f t="shared" si="3"/>
        <v>1.1184503520817259</v>
      </c>
      <c r="L7" s="37">
        <f t="shared" si="3"/>
        <v>1.4244370655605257E-2</v>
      </c>
      <c r="M7" s="6"/>
      <c r="N7" s="6"/>
      <c r="O7" s="6"/>
      <c r="P7" s="6"/>
    </row>
    <row r="8" spans="1:18" ht="17">
      <c r="A8" s="29" t="s">
        <v>81</v>
      </c>
      <c r="B8" s="6">
        <v>41891</v>
      </c>
      <c r="C8" s="6">
        <v>48990</v>
      </c>
      <c r="D8" s="6">
        <v>45236</v>
      </c>
      <c r="E8" s="6">
        <v>45211</v>
      </c>
      <c r="F8" s="6">
        <v>56324</v>
      </c>
      <c r="G8" s="6">
        <v>62445</v>
      </c>
      <c r="H8" s="6">
        <v>66241</v>
      </c>
      <c r="I8" s="6">
        <v>88071</v>
      </c>
      <c r="J8" s="6">
        <v>90813</v>
      </c>
      <c r="K8" s="6">
        <v>289883</v>
      </c>
      <c r="L8" s="6">
        <v>269313</v>
      </c>
      <c r="M8" s="6">
        <v>269161</v>
      </c>
      <c r="N8" s="6">
        <v>269161</v>
      </c>
      <c r="O8" s="6">
        <v>269161</v>
      </c>
      <c r="P8" s="6">
        <v>269416</v>
      </c>
    </row>
    <row r="9" spans="1:18">
      <c r="A9" s="29"/>
      <c r="B9" s="9"/>
      <c r="C9" s="9">
        <f t="shared" ref="C9" si="4">(C8-B8)/ABS(B8)</f>
        <v>0.16946360793487861</v>
      </c>
      <c r="D9" s="9">
        <f t="shared" ref="D9" si="5">(D8-C8)/ABS(C8)</f>
        <v>-7.6627883241477859E-2</v>
      </c>
      <c r="E9" s="9">
        <f t="shared" ref="E9" si="6">(E8-D8)/ABS(D8)</f>
        <v>-5.5265717570076927E-4</v>
      </c>
      <c r="F9" s="9">
        <f t="shared" ref="F9:L9" si="7">(F8-E8)/ABS(E8)</f>
        <v>0.24580301254119571</v>
      </c>
      <c r="G9" s="9">
        <f t="shared" si="7"/>
        <v>0.1086748100276969</v>
      </c>
      <c r="H9" s="9">
        <f t="shared" si="7"/>
        <v>6.078949475538474E-2</v>
      </c>
      <c r="I9" s="9">
        <f t="shared" si="7"/>
        <v>0.32955420358992166</v>
      </c>
      <c r="J9" s="9">
        <f t="shared" si="7"/>
        <v>3.1133971454848929E-2</v>
      </c>
      <c r="K9" s="9">
        <f t="shared" si="7"/>
        <v>2.1920870359970488</v>
      </c>
      <c r="L9" s="9">
        <f t="shared" si="7"/>
        <v>-7.0959663036466433E-2</v>
      </c>
      <c r="M9" s="6"/>
      <c r="N9" s="6"/>
      <c r="O9" s="6"/>
      <c r="P9" s="6"/>
    </row>
    <row r="10" spans="1:18" ht="17">
      <c r="A10" s="29" t="s">
        <v>82</v>
      </c>
      <c r="B10" s="6">
        <v>12420</v>
      </c>
      <c r="C10" s="6">
        <v>-5003</v>
      </c>
      <c r="D10" s="6">
        <v>-218</v>
      </c>
      <c r="E10" s="6">
        <v>68545</v>
      </c>
      <c r="F10" s="6">
        <v>79599</v>
      </c>
      <c r="G10" s="6">
        <v>86553</v>
      </c>
      <c r="H10" s="6">
        <v>84879</v>
      </c>
      <c r="I10" s="6">
        <v>86808</v>
      </c>
      <c r="J10" s="6">
        <v>84459</v>
      </c>
      <c r="K10" s="6">
        <v>83631</v>
      </c>
      <c r="L10" s="6">
        <v>85000</v>
      </c>
      <c r="M10" s="6"/>
      <c r="N10" s="6"/>
      <c r="O10" s="6"/>
      <c r="P10" s="6"/>
    </row>
    <row r="11" spans="1:18">
      <c r="A11" s="29"/>
      <c r="B11" s="9"/>
      <c r="C11" s="9">
        <f t="shared" ref="C11:D13" si="8">(C10-B10)/ABS(B10)</f>
        <v>-1.402818035426731</v>
      </c>
      <c r="D11" s="9">
        <f t="shared" si="8"/>
        <v>0.956426144313412</v>
      </c>
      <c r="E11" s="9">
        <f t="shared" ref="E11" si="9">(E10-D10)/ABS(D10)</f>
        <v>315.42660550458714</v>
      </c>
      <c r="F11" s="9">
        <f t="shared" ref="F11:K11" si="10">(F10-E10)/ABS(E10)</f>
        <v>0.1612663213947042</v>
      </c>
      <c r="G11" s="9">
        <f t="shared" si="10"/>
        <v>8.7362906569178E-2</v>
      </c>
      <c r="H11" s="9">
        <f t="shared" si="10"/>
        <v>-1.9340750753873349E-2</v>
      </c>
      <c r="I11" s="9">
        <f t="shared" si="10"/>
        <v>2.2726469444738981E-2</v>
      </c>
      <c r="J11" s="9">
        <f t="shared" si="10"/>
        <v>-2.7059717998341167E-2</v>
      </c>
      <c r="K11" s="9">
        <f t="shared" si="10"/>
        <v>-9.8035733314389226E-3</v>
      </c>
      <c r="L11" s="9"/>
      <c r="M11" s="6"/>
      <c r="N11" s="6"/>
      <c r="O11" s="6"/>
      <c r="P11" s="6"/>
    </row>
    <row r="12" spans="1:18" ht="17">
      <c r="A12" s="29" t="s">
        <v>83</v>
      </c>
      <c r="B12" s="6">
        <v>39353</v>
      </c>
      <c r="C12" s="6">
        <v>47510</v>
      </c>
      <c r="D12" s="6">
        <v>55775</v>
      </c>
      <c r="E12" s="6">
        <v>32978</v>
      </c>
      <c r="F12" s="6">
        <v>41957</v>
      </c>
      <c r="G12" s="6">
        <v>45622</v>
      </c>
      <c r="H12" s="6">
        <v>39442</v>
      </c>
      <c r="I12" s="6">
        <v>46793</v>
      </c>
      <c r="J12" s="6">
        <v>45892</v>
      </c>
      <c r="K12" s="6">
        <v>975383</v>
      </c>
      <c r="L12" s="6">
        <v>46000</v>
      </c>
      <c r="M12" s="6"/>
      <c r="N12" s="6"/>
      <c r="O12" s="6"/>
      <c r="P12" s="6"/>
    </row>
    <row r="13" spans="1:18">
      <c r="A13" s="29"/>
      <c r="B13" s="6"/>
      <c r="C13" s="9">
        <f t="shared" si="8"/>
        <v>0.20727771707366655</v>
      </c>
      <c r="D13" s="9">
        <f t="shared" ref="D13" si="11">(D12-C12)/ABS(C12)</f>
        <v>0.17396337613134077</v>
      </c>
      <c r="E13" s="9">
        <f t="shared" ref="E13" si="12">(E12-D12)/ABS(D12)</f>
        <v>-0.40873151053339307</v>
      </c>
      <c r="F13" s="9">
        <f t="shared" ref="F13" si="13">(F12-E12)/ABS(E12)</f>
        <v>0.27227242404026925</v>
      </c>
      <c r="G13" s="9">
        <f t="shared" ref="G13" si="14">(G12-F12)/ABS(F12)</f>
        <v>8.7351335891507967E-2</v>
      </c>
      <c r="H13" s="9">
        <f t="shared" ref="H13" si="15">(H12-G12)/ABS(G12)</f>
        <v>-0.13546096181666739</v>
      </c>
      <c r="I13" s="9">
        <f t="shared" ref="I13" si="16">(I12-H12)/ABS(H12)</f>
        <v>0.18637493027736929</v>
      </c>
      <c r="J13" s="9">
        <f t="shared" ref="J13:K13" si="17">(J12-I12)/ABS(I12)</f>
        <v>-1.9255016776013507E-2</v>
      </c>
      <c r="K13" s="9">
        <f t="shared" si="17"/>
        <v>20.253878671663905</v>
      </c>
      <c r="L13" s="6"/>
      <c r="M13" s="6"/>
      <c r="N13" s="6"/>
      <c r="O13" s="6"/>
      <c r="P13" s="6"/>
    </row>
    <row r="14" spans="1:18" ht="34">
      <c r="A14" s="29" t="s">
        <v>138</v>
      </c>
      <c r="B14" s="6">
        <v>31997</v>
      </c>
      <c r="C14" s="6">
        <v>33960</v>
      </c>
      <c r="D14" s="6">
        <v>35431</v>
      </c>
      <c r="E14" s="6">
        <v>10217</v>
      </c>
      <c r="F14" s="6">
        <v>0</v>
      </c>
      <c r="G14" s="6">
        <v>0</v>
      </c>
      <c r="H14" s="4">
        <v>0</v>
      </c>
      <c r="I14" s="4">
        <v>0</v>
      </c>
      <c r="J14" s="6">
        <v>-1702686</v>
      </c>
      <c r="K14" s="6">
        <v>0</v>
      </c>
      <c r="L14" s="6">
        <v>0</v>
      </c>
      <c r="M14" s="6"/>
      <c r="N14" s="6"/>
      <c r="O14" s="6"/>
      <c r="P14" s="6"/>
    </row>
    <row r="15" spans="1:18" ht="34">
      <c r="A15" s="29" t="s">
        <v>139</v>
      </c>
      <c r="B15" s="6">
        <v>4778</v>
      </c>
      <c r="C15" s="6">
        <v>8957</v>
      </c>
      <c r="D15" s="6">
        <v>10018</v>
      </c>
      <c r="E15" s="6">
        <v>-29675</v>
      </c>
      <c r="F15" s="6">
        <v>-25330</v>
      </c>
      <c r="G15" s="6">
        <v>-3154</v>
      </c>
      <c r="H15" s="6">
        <v>7773</v>
      </c>
      <c r="I15" s="6">
        <v>-11772</v>
      </c>
      <c r="J15" s="6">
        <v>380672</v>
      </c>
      <c r="K15" s="6">
        <v>-111077</v>
      </c>
      <c r="L15" s="6">
        <v>-50000</v>
      </c>
      <c r="M15" s="6"/>
      <c r="N15" s="6"/>
      <c r="O15" s="6"/>
      <c r="P15" s="6"/>
    </row>
    <row r="16" spans="1:18" ht="51">
      <c r="A16" s="28" t="s">
        <v>84</v>
      </c>
      <c r="H16" s="10"/>
      <c r="I16" s="4" t="s">
        <v>3</v>
      </c>
      <c r="J16" s="39"/>
      <c r="K16" s="10"/>
      <c r="L16" s="6"/>
      <c r="P16" s="6"/>
    </row>
    <row r="17" spans="1:16" ht="17">
      <c r="A17" s="29" t="s">
        <v>85</v>
      </c>
      <c r="B17" s="6">
        <v>3745</v>
      </c>
      <c r="C17" s="6">
        <v>-26342</v>
      </c>
      <c r="D17" s="6">
        <v>16071</v>
      </c>
      <c r="E17" s="6">
        <v>-12439</v>
      </c>
      <c r="F17" s="6">
        <v>-46108</v>
      </c>
      <c r="G17" s="6">
        <v>-44807</v>
      </c>
      <c r="H17" s="6">
        <v>84411</v>
      </c>
      <c r="I17" s="6">
        <v>-60488</v>
      </c>
      <c r="J17" s="6">
        <v>-128149</v>
      </c>
      <c r="K17" s="6">
        <v>-69156</v>
      </c>
      <c r="L17" s="6">
        <v>-80000</v>
      </c>
      <c r="M17" s="6"/>
      <c r="N17" s="6"/>
      <c r="O17" s="6"/>
      <c r="P17" s="6"/>
    </row>
    <row r="18" spans="1:16">
      <c r="A18" s="29"/>
      <c r="B18" s="6"/>
      <c r="C18" s="9">
        <f t="shared" ref="C18:C28" si="18">(C17-B17)/ABS(B17)</f>
        <v>-8.0339118825100133</v>
      </c>
      <c r="D18" s="9">
        <f t="shared" ref="D18" si="19">(D17-C17)/ABS(C17)</f>
        <v>1.6100903500113886</v>
      </c>
      <c r="E18" s="9">
        <f t="shared" ref="E18" si="20">(E17-D17)/ABS(D17)</f>
        <v>-1.7740028622985502</v>
      </c>
      <c r="F18" s="9">
        <f t="shared" ref="F18" si="21">(F17-E17)/ABS(E17)</f>
        <v>-2.7067288367232094</v>
      </c>
      <c r="G18" s="9">
        <f t="shared" ref="G18" si="22">(G17-F17)/ABS(F17)</f>
        <v>2.8216361585841936E-2</v>
      </c>
      <c r="H18" s="9">
        <f t="shared" ref="H18" si="23">(H17-G17)/ABS(G17)</f>
        <v>2.883879750931774</v>
      </c>
      <c r="I18" s="9">
        <f t="shared" ref="I18" si="24">(I17-H17)/ABS(H17)</f>
        <v>-1.7165890701448863</v>
      </c>
      <c r="J18" s="9">
        <f t="shared" ref="J18:K18" si="25">(J17-I17)/ABS(I17)</f>
        <v>-1.1185855045628885</v>
      </c>
      <c r="K18" s="9">
        <f t="shared" si="25"/>
        <v>0.46034693989028397</v>
      </c>
      <c r="L18" s="6"/>
      <c r="M18" s="6"/>
      <c r="N18" s="6"/>
      <c r="O18" s="6"/>
      <c r="P18" s="6"/>
    </row>
    <row r="19" spans="1:16" ht="17">
      <c r="A19" s="29" t="s">
        <v>6</v>
      </c>
      <c r="B19" s="6">
        <v>-1217</v>
      </c>
      <c r="C19" s="6">
        <v>-26749</v>
      </c>
      <c r="D19" s="6">
        <v>-12386</v>
      </c>
      <c r="E19" s="6">
        <v>-37562</v>
      </c>
      <c r="F19" s="6">
        <v>-36593</v>
      </c>
      <c r="G19" s="6">
        <v>-58997</v>
      </c>
      <c r="H19" s="6">
        <v>-42460</v>
      </c>
      <c r="I19" s="6">
        <v>-2300</v>
      </c>
      <c r="J19" s="6">
        <v>-73135</v>
      </c>
      <c r="K19" s="6">
        <v>-13387</v>
      </c>
      <c r="L19" s="6">
        <v>-40000</v>
      </c>
      <c r="M19" s="6"/>
      <c r="N19" s="6"/>
      <c r="O19" s="6"/>
      <c r="P19" s="6"/>
    </row>
    <row r="20" spans="1:16">
      <c r="A20" s="29"/>
      <c r="B20" s="6"/>
      <c r="C20" s="9">
        <f t="shared" si="18"/>
        <v>-20.979457682826624</v>
      </c>
      <c r="D20" s="9">
        <f t="shared" ref="D20" si="26">(D19-C19)/ABS(C19)</f>
        <v>0.53695465251037422</v>
      </c>
      <c r="E20" s="9">
        <f t="shared" ref="E20" si="27">(E19-D19)/ABS(D19)</f>
        <v>-2.0326174713386083</v>
      </c>
      <c r="F20" s="9">
        <f t="shared" ref="F20" si="28">(F19-E19)/ABS(E19)</f>
        <v>2.579734838400511E-2</v>
      </c>
      <c r="G20" s="9">
        <f t="shared" ref="G20" si="29">(G19-F19)/ABS(F19)</f>
        <v>-0.61224824419971036</v>
      </c>
      <c r="H20" s="9">
        <f t="shared" ref="H20" si="30">(H19-G19)/ABS(G19)</f>
        <v>0.28030238825703002</v>
      </c>
      <c r="I20" s="9">
        <f t="shared" ref="I20" si="31">(I19-H19)/ABS(H19)</f>
        <v>0.94583137070183698</v>
      </c>
      <c r="J20" s="9">
        <f t="shared" ref="J20:K20" si="32">(J19-I19)/ABS(I19)</f>
        <v>-30.797826086956523</v>
      </c>
      <c r="K20" s="9">
        <f t="shared" si="32"/>
        <v>0.81695494633212551</v>
      </c>
      <c r="L20" s="6"/>
      <c r="M20" s="6"/>
      <c r="N20" s="6"/>
      <c r="O20" s="6"/>
      <c r="P20" s="6"/>
    </row>
    <row r="21" spans="1:16" ht="17">
      <c r="A21" s="29" t="s">
        <v>13</v>
      </c>
      <c r="B21" s="6">
        <v>-16328</v>
      </c>
      <c r="C21" s="6">
        <v>-3335</v>
      </c>
      <c r="D21" s="6">
        <v>-15259</v>
      </c>
      <c r="E21" s="6">
        <v>-25975</v>
      </c>
      <c r="F21" s="6">
        <v>-2349</v>
      </c>
      <c r="G21" s="6">
        <v>-3313</v>
      </c>
      <c r="H21" s="6">
        <v>36431</v>
      </c>
      <c r="I21" s="6">
        <v>26854</v>
      </c>
      <c r="J21" s="6">
        <v>1125</v>
      </c>
      <c r="K21" s="6">
        <v>45669</v>
      </c>
      <c r="L21" s="6">
        <v>30000</v>
      </c>
      <c r="M21" s="6"/>
      <c r="N21" s="6"/>
      <c r="O21" s="6"/>
      <c r="P21" s="6"/>
    </row>
    <row r="22" spans="1:16">
      <c r="A22" s="29"/>
      <c r="B22" s="6"/>
      <c r="C22" s="9">
        <f t="shared" si="18"/>
        <v>0.79574963253307207</v>
      </c>
      <c r="D22" s="9">
        <f t="shared" ref="D22" si="33">(D21-C21)/ABS(C21)</f>
        <v>-3.5754122938530735</v>
      </c>
      <c r="E22" s="9">
        <f t="shared" ref="E22" si="34">(E21-D21)/ABS(D21)</f>
        <v>-0.70227406776328727</v>
      </c>
      <c r="F22" s="9">
        <f t="shared" ref="F22" si="35">(F21-E21)/ABS(E21)</f>
        <v>0.90956689124157841</v>
      </c>
      <c r="G22" s="9">
        <f t="shared" ref="G22" si="36">(G21-F21)/ABS(F21)</f>
        <v>-0.41038739889314602</v>
      </c>
      <c r="H22" s="9">
        <f t="shared" ref="H22" si="37">(H21-G21)/ABS(G21)</f>
        <v>11.996377905221854</v>
      </c>
      <c r="I22" s="9">
        <f t="shared" ref="I22" si="38">(I21-H21)/ABS(H21)</f>
        <v>-0.26288051384809641</v>
      </c>
      <c r="J22" s="9">
        <f t="shared" ref="J22:K22" si="39">(J21-I21)/ABS(I21)</f>
        <v>-0.95810679973188351</v>
      </c>
      <c r="K22" s="9">
        <f t="shared" si="39"/>
        <v>39.594666666666669</v>
      </c>
      <c r="L22" s="6"/>
      <c r="M22" s="6"/>
      <c r="N22" s="6"/>
      <c r="O22" s="6"/>
      <c r="P22" s="6"/>
    </row>
    <row r="23" spans="1:16" ht="17">
      <c r="A23" s="29" t="s">
        <v>16</v>
      </c>
      <c r="B23" s="6">
        <v>862</v>
      </c>
      <c r="C23" s="6">
        <v>5250</v>
      </c>
      <c r="D23" s="6">
        <v>972</v>
      </c>
      <c r="E23" s="6">
        <v>32503</v>
      </c>
      <c r="F23" s="6">
        <v>-5714</v>
      </c>
      <c r="G23" s="6">
        <v>28175</v>
      </c>
      <c r="H23" s="6">
        <v>-24363</v>
      </c>
      <c r="I23" s="6">
        <v>25444</v>
      </c>
      <c r="J23" s="6">
        <v>35514</v>
      </c>
      <c r="K23" s="6">
        <v>-41499</v>
      </c>
      <c r="L23" s="6">
        <v>-40000</v>
      </c>
      <c r="M23" s="6"/>
      <c r="N23" s="6"/>
      <c r="O23" s="6"/>
      <c r="P23" s="6"/>
    </row>
    <row r="24" spans="1:16">
      <c r="A24" s="29"/>
      <c r="B24" s="6"/>
      <c r="C24" s="9">
        <f t="shared" si="18"/>
        <v>5.0904872389791187</v>
      </c>
      <c r="D24" s="9">
        <f t="shared" ref="D24" si="40">(D23-C23)/ABS(C23)</f>
        <v>-0.81485714285714284</v>
      </c>
      <c r="E24" s="9">
        <f t="shared" ref="E24" si="41">(E23-D23)/ABS(D23)</f>
        <v>32.43930041152263</v>
      </c>
      <c r="F24" s="9">
        <f t="shared" ref="F24" si="42">(F23-E23)/ABS(E23)</f>
        <v>-1.1757991570008923</v>
      </c>
      <c r="G24" s="9">
        <f t="shared" ref="G24" si="43">(G23-F23)/ABS(F23)</f>
        <v>5.9308715435771786</v>
      </c>
      <c r="H24" s="9">
        <f t="shared" ref="H24" si="44">(H23-G23)/ABS(G23)</f>
        <v>-1.8647027506654836</v>
      </c>
      <c r="I24" s="9">
        <f t="shared" ref="I24" si="45">(I23-H23)/ABS(H23)</f>
        <v>2.044370561917662</v>
      </c>
      <c r="J24" s="9">
        <f t="shared" ref="J24:K24" si="46">(J23-I23)/ABS(I23)</f>
        <v>0.39577110517214276</v>
      </c>
      <c r="K24" s="9">
        <f t="shared" si="46"/>
        <v>-2.168525088697415</v>
      </c>
      <c r="L24" s="6"/>
      <c r="M24" s="6"/>
      <c r="N24" s="6"/>
      <c r="O24" s="6"/>
      <c r="P24" s="6"/>
    </row>
    <row r="25" spans="1:16" ht="17">
      <c r="A25" s="29" t="s">
        <v>86</v>
      </c>
      <c r="B25" s="6">
        <v>20017</v>
      </c>
      <c r="C25" s="6">
        <v>-337</v>
      </c>
      <c r="D25" s="6">
        <v>48039</v>
      </c>
      <c r="E25" s="6">
        <v>60042</v>
      </c>
      <c r="F25" s="6">
        <v>71478</v>
      </c>
      <c r="G25" s="6">
        <v>55126</v>
      </c>
      <c r="H25" s="6">
        <v>154898</v>
      </c>
      <c r="I25" s="6">
        <v>-48827</v>
      </c>
      <c r="J25" s="6">
        <v>184257</v>
      </c>
      <c r="K25" s="6">
        <v>-141610</v>
      </c>
      <c r="L25" s="6">
        <v>-80000</v>
      </c>
      <c r="M25" s="6"/>
      <c r="N25" s="6"/>
      <c r="O25" s="6"/>
      <c r="P25" s="6"/>
    </row>
    <row r="26" spans="1:16">
      <c r="A26" s="29"/>
      <c r="B26" s="6"/>
      <c r="C26" s="9">
        <f t="shared" si="18"/>
        <v>-1.0168356896637858</v>
      </c>
      <c r="D26" s="9">
        <f t="shared" ref="D26" si="47">(D25-C25)/ABS(C25)</f>
        <v>143.54896142433233</v>
      </c>
      <c r="E26" s="9">
        <f t="shared" ref="E26" si="48">(E25-D25)/ABS(D25)</f>
        <v>0.24985948916505341</v>
      </c>
      <c r="F26" s="9">
        <f t="shared" ref="F26" si="49">(F25-E25)/ABS(E25)</f>
        <v>0.19046667332866993</v>
      </c>
      <c r="G26" s="9">
        <f t="shared" ref="G26" si="50">(G25-F25)/ABS(F25)</f>
        <v>-0.22876969137356948</v>
      </c>
      <c r="H26" s="9">
        <f t="shared" ref="H26" si="51">(H25-G25)/ABS(G25)</f>
        <v>1.8098900700214056</v>
      </c>
      <c r="I26" s="9">
        <f t="shared" ref="I26" si="52">(I25-H25)/ABS(H25)</f>
        <v>-1.3152203385453654</v>
      </c>
      <c r="J26" s="9">
        <f t="shared" ref="J26:K26" si="53">(J25-I25)/ABS(I25)</f>
        <v>4.7736703053638356</v>
      </c>
      <c r="K26" s="9">
        <f t="shared" si="53"/>
        <v>-1.7685461067964854</v>
      </c>
      <c r="L26" s="6"/>
      <c r="M26" s="6"/>
      <c r="N26" s="6"/>
      <c r="O26" s="6"/>
      <c r="P26" s="6"/>
    </row>
    <row r="27" spans="1:16" ht="17">
      <c r="A27" s="29" t="s">
        <v>23</v>
      </c>
      <c r="B27" s="6">
        <v>-7435</v>
      </c>
      <c r="C27" s="6">
        <v>-820</v>
      </c>
      <c r="D27" s="6">
        <v>5166</v>
      </c>
      <c r="E27" s="6">
        <v>72622</v>
      </c>
      <c r="F27" s="6">
        <v>-1533</v>
      </c>
      <c r="G27" s="6">
        <v>-24260</v>
      </c>
      <c r="H27" s="6">
        <v>-27999</v>
      </c>
      <c r="I27" s="6">
        <v>-49835</v>
      </c>
      <c r="J27" s="6">
        <v>-51213</v>
      </c>
      <c r="K27" s="6">
        <v>-139363</v>
      </c>
      <c r="L27" s="6">
        <v>-100000</v>
      </c>
      <c r="M27" s="6"/>
      <c r="N27" s="6"/>
      <c r="O27" s="6"/>
      <c r="P27" s="6"/>
    </row>
    <row r="28" spans="1:16">
      <c r="A28" s="29"/>
      <c r="B28" s="6"/>
      <c r="C28" s="9">
        <f t="shared" si="18"/>
        <v>0.88971082716879624</v>
      </c>
      <c r="D28" s="9">
        <f t="shared" ref="D28" si="54">(D27-C27)/ABS(C27)</f>
        <v>7.3</v>
      </c>
      <c r="E28" s="9">
        <f t="shared" ref="E28" si="55">(E27-D27)/ABS(D27)</f>
        <v>13.057684862562912</v>
      </c>
      <c r="F28" s="9">
        <f t="shared" ref="F28" si="56">(F27-E27)/ABS(E27)</f>
        <v>-1.0211093057200298</v>
      </c>
      <c r="G28" s="9">
        <f t="shared" ref="G28" si="57">(G27-F27)/ABS(F27)</f>
        <v>-14.825179386823223</v>
      </c>
      <c r="H28" s="9">
        <f t="shared" ref="H28" si="58">(H27-G27)/ABS(G27)</f>
        <v>-0.15412201154163233</v>
      </c>
      <c r="I28" s="9">
        <f t="shared" ref="I28" si="59">(I27-H27)/ABS(H27)</f>
        <v>-0.77988499589271043</v>
      </c>
      <c r="J28" s="9">
        <f t="shared" ref="J28:K28" si="60">(J27-I27)/ABS(I27)</f>
        <v>-2.7651249122102938E-2</v>
      </c>
      <c r="K28" s="9">
        <f t="shared" si="60"/>
        <v>-1.7212426532325777</v>
      </c>
      <c r="L28" s="6"/>
      <c r="M28" s="6"/>
      <c r="N28" s="6"/>
      <c r="O28" s="6"/>
      <c r="P28" s="6"/>
    </row>
    <row r="29" spans="1:16" ht="34">
      <c r="A29" s="29" t="s">
        <v>140</v>
      </c>
      <c r="B29" s="6">
        <v>349516</v>
      </c>
      <c r="C29" s="6">
        <v>296937</v>
      </c>
      <c r="D29" s="6">
        <v>411298</v>
      </c>
      <c r="E29" s="6">
        <v>358633</v>
      </c>
      <c r="F29" s="6">
        <v>327551</v>
      </c>
      <c r="G29" s="6">
        <v>436936</v>
      </c>
      <c r="H29" s="6">
        <v>727215</v>
      </c>
      <c r="I29" s="6">
        <v>505641</v>
      </c>
      <c r="J29" s="6">
        <v>367861</v>
      </c>
      <c r="K29" s="6">
        <f>K27+K25+K23+K21+K19+K17+K15+K14+K12+K10+K8+K6+K4</f>
        <v>688238</v>
      </c>
      <c r="L29" s="6">
        <f>L27+L25+L23+L21+L19+L17+L15+L14+L12+L10+L8+L6+L4</f>
        <v>382819</v>
      </c>
      <c r="M29" s="6"/>
      <c r="N29" s="6"/>
      <c r="O29" s="6"/>
      <c r="P29" s="6"/>
    </row>
    <row r="30" spans="1:16" ht="17">
      <c r="A30" s="28" t="s">
        <v>87</v>
      </c>
      <c r="H30" s="4" t="s">
        <v>3</v>
      </c>
      <c r="I30" s="4" t="s">
        <v>3</v>
      </c>
      <c r="J30" s="4" t="s">
        <v>3</v>
      </c>
      <c r="K30" s="4" t="s">
        <v>3</v>
      </c>
      <c r="P30" s="4"/>
    </row>
    <row r="31" spans="1:16" ht="34">
      <c r="A31" s="29" t="s">
        <v>88</v>
      </c>
      <c r="B31" s="6">
        <v>-366492</v>
      </c>
      <c r="C31" s="6">
        <v>-377894</v>
      </c>
      <c r="D31" s="6">
        <v>-514692</v>
      </c>
      <c r="E31" s="6">
        <v>-511634</v>
      </c>
      <c r="F31" s="6">
        <v>-636855</v>
      </c>
      <c r="G31" s="6">
        <v>-693966</v>
      </c>
      <c r="H31" s="6">
        <v>-827241</v>
      </c>
      <c r="I31" s="6">
        <v>-938280</v>
      </c>
      <c r="J31" s="6">
        <v>-1076968</v>
      </c>
      <c r="K31" s="6">
        <v>-1539385</v>
      </c>
      <c r="L31" s="6"/>
      <c r="M31" s="6"/>
      <c r="N31" s="6"/>
      <c r="O31" s="6"/>
      <c r="P31" s="6"/>
    </row>
    <row r="32" spans="1:16" ht="34">
      <c r="A32" s="29" t="s">
        <v>89</v>
      </c>
      <c r="C32" s="6">
        <v>-1258</v>
      </c>
      <c r="D32" s="6">
        <v>-140378</v>
      </c>
      <c r="E32" s="6">
        <v>-72853</v>
      </c>
      <c r="F32" s="6">
        <v>-49965</v>
      </c>
      <c r="G32" s="6">
        <v>-67112</v>
      </c>
      <c r="H32" s="6">
        <v>-58030</v>
      </c>
      <c r="I32" s="6">
        <v>-52030</v>
      </c>
      <c r="J32" s="6">
        <v>-87349</v>
      </c>
      <c r="K32" s="6">
        <v>-342621</v>
      </c>
      <c r="L32" s="6"/>
      <c r="M32" s="6"/>
      <c r="N32" s="6"/>
      <c r="O32" s="6"/>
      <c r="P32" s="6"/>
    </row>
    <row r="33" spans="1:16" ht="17">
      <c r="A33" s="29" t="s">
        <v>141</v>
      </c>
      <c r="B33" s="6">
        <v>-52686</v>
      </c>
      <c r="C33" s="6">
        <v>-72731</v>
      </c>
      <c r="D33" s="6">
        <v>-70966</v>
      </c>
      <c r="E33" s="6">
        <v>0</v>
      </c>
      <c r="F33" s="6">
        <v>185706</v>
      </c>
      <c r="G33" s="6">
        <v>2277</v>
      </c>
      <c r="H33" s="4">
        <v>0</v>
      </c>
      <c r="I33" s="4">
        <v>0</v>
      </c>
      <c r="J33" s="6">
        <v>1932354</v>
      </c>
      <c r="K33" s="6">
        <v>508560</v>
      </c>
      <c r="L33" s="6"/>
      <c r="O33" s="6"/>
      <c r="P33" s="6"/>
    </row>
    <row r="34" spans="1:16" ht="34">
      <c r="A34" s="29" t="s">
        <v>90</v>
      </c>
      <c r="B34" s="6">
        <v>-57376</v>
      </c>
      <c r="C34" s="6">
        <v>-4402</v>
      </c>
      <c r="D34" s="6">
        <v>-16528</v>
      </c>
      <c r="E34" s="6">
        <v>0</v>
      </c>
      <c r="F34" s="6">
        <v>14034</v>
      </c>
      <c r="G34" s="6">
        <v>0</v>
      </c>
      <c r="H34" s="4">
        <v>0</v>
      </c>
      <c r="I34" s="6">
        <v>-139533</v>
      </c>
      <c r="J34" s="4">
        <v>0</v>
      </c>
      <c r="K34" s="6">
        <v>164266</v>
      </c>
      <c r="L34" s="6"/>
      <c r="M34" s="6"/>
      <c r="P34" s="4"/>
    </row>
    <row r="35" spans="1:16" ht="17">
      <c r="A35" s="29" t="s">
        <v>149</v>
      </c>
      <c r="B35" s="6">
        <v>0</v>
      </c>
      <c r="C35" s="6">
        <v>0</v>
      </c>
      <c r="D35" s="6">
        <v>27559</v>
      </c>
      <c r="E35" s="6">
        <v>0</v>
      </c>
      <c r="F35" s="6">
        <v>-2339</v>
      </c>
      <c r="G35" s="6">
        <v>0</v>
      </c>
      <c r="H35" s="4">
        <v>0</v>
      </c>
      <c r="I35" s="6">
        <v>0</v>
      </c>
      <c r="J35" s="4">
        <v>0</v>
      </c>
      <c r="K35" s="6">
        <v>-82000</v>
      </c>
      <c r="L35" s="6"/>
      <c r="M35" s="6"/>
      <c r="P35" s="4"/>
    </row>
    <row r="36" spans="1:16" ht="34">
      <c r="A36" s="29" t="s">
        <v>142</v>
      </c>
      <c r="B36" s="6">
        <v>-476554</v>
      </c>
      <c r="C36" s="6">
        <v>-456285</v>
      </c>
      <c r="D36" s="6">
        <v>-715005</v>
      </c>
      <c r="E36" s="6">
        <v>-584487</v>
      </c>
      <c r="F36" s="6">
        <v>-489419</v>
      </c>
      <c r="G36" s="6">
        <v>-758801</v>
      </c>
      <c r="H36" s="6">
        <v>-885271</v>
      </c>
      <c r="I36" s="6">
        <v>-1129843</v>
      </c>
      <c r="J36" s="6">
        <v>768037</v>
      </c>
      <c r="K36" s="4" t="s">
        <v>3</v>
      </c>
      <c r="L36" s="6"/>
      <c r="M36" s="6"/>
      <c r="N36" s="6"/>
      <c r="O36" s="6"/>
      <c r="P36" s="6"/>
    </row>
    <row r="37" spans="1:16" ht="17">
      <c r="A37" s="28" t="s">
        <v>91</v>
      </c>
      <c r="H37" s="4" t="s">
        <v>3</v>
      </c>
      <c r="I37" s="4" t="s">
        <v>3</v>
      </c>
      <c r="J37" s="4" t="s">
        <v>3</v>
      </c>
      <c r="K37" s="6">
        <v>-1291180</v>
      </c>
      <c r="L37" s="6"/>
      <c r="P37" s="4"/>
    </row>
    <row r="38" spans="1:16" ht="17">
      <c r="A38" s="29" t="s">
        <v>143</v>
      </c>
      <c r="B38" s="6">
        <v>0</v>
      </c>
      <c r="C38" s="6">
        <v>0</v>
      </c>
      <c r="D38" s="6">
        <v>0</v>
      </c>
      <c r="E38" s="6">
        <v>752503</v>
      </c>
      <c r="F38" s="6">
        <v>1110000</v>
      </c>
      <c r="G38" s="6">
        <v>420000</v>
      </c>
      <c r="H38" s="6">
        <v>400000</v>
      </c>
      <c r="I38" s="6">
        <v>1266000</v>
      </c>
      <c r="J38" s="6">
        <v>540000</v>
      </c>
      <c r="K38" s="4">
        <v>0</v>
      </c>
      <c r="L38" s="6">
        <v>0</v>
      </c>
      <c r="M38" s="6"/>
      <c r="N38" s="6"/>
      <c r="O38" s="6"/>
      <c r="P38" s="6"/>
    </row>
    <row r="39" spans="1:16" ht="17">
      <c r="A39" s="29" t="s">
        <v>92</v>
      </c>
      <c r="B39" s="6">
        <v>0</v>
      </c>
      <c r="C39" s="6">
        <v>0</v>
      </c>
      <c r="D39" s="6">
        <v>0</v>
      </c>
      <c r="E39" s="6">
        <v>-575000</v>
      </c>
      <c r="F39" s="6">
        <v>-732840</v>
      </c>
      <c r="G39" s="6">
        <v>-59691</v>
      </c>
      <c r="H39" s="6">
        <v>-420552</v>
      </c>
      <c r="I39" s="6">
        <v>-610401</v>
      </c>
      <c r="J39" s="6">
        <v>-576474</v>
      </c>
      <c r="K39" s="6">
        <v>1736539</v>
      </c>
      <c r="L39" s="6">
        <v>1000000</v>
      </c>
      <c r="M39" s="6"/>
      <c r="N39" s="6"/>
      <c r="O39" s="6"/>
      <c r="P39" s="6"/>
    </row>
    <row r="40" spans="1:16" ht="17">
      <c r="A40" s="29" t="s">
        <v>93</v>
      </c>
      <c r="B40" s="6">
        <v>-2757</v>
      </c>
      <c r="C40" s="6">
        <v>-840</v>
      </c>
      <c r="D40" s="6">
        <v>-6677</v>
      </c>
      <c r="E40" s="6">
        <v>-9759</v>
      </c>
      <c r="F40" s="6">
        <v>-9767</v>
      </c>
      <c r="G40" s="6">
        <v>-2479</v>
      </c>
      <c r="H40" s="6">
        <v>-5060</v>
      </c>
      <c r="I40" s="6">
        <v>-6261</v>
      </c>
      <c r="J40" s="6">
        <v>-1511</v>
      </c>
      <c r="K40" s="6">
        <v>-567033</v>
      </c>
      <c r="L40" s="6">
        <v>-250000</v>
      </c>
      <c r="M40" s="6"/>
      <c r="N40" s="6"/>
      <c r="O40" s="6"/>
      <c r="P40" s="6"/>
    </row>
    <row r="41" spans="1:16" ht="34">
      <c r="A41" s="29" t="s">
        <v>144</v>
      </c>
      <c r="B41" s="6">
        <v>0</v>
      </c>
      <c r="C41" s="6">
        <v>0</v>
      </c>
      <c r="D41" s="6">
        <v>0</v>
      </c>
      <c r="E41" s="6">
        <v>0</v>
      </c>
      <c r="F41" s="6">
        <v>0</v>
      </c>
      <c r="G41" s="6">
        <v>0</v>
      </c>
      <c r="H41" s="4">
        <v>0</v>
      </c>
      <c r="I41" s="4">
        <v>0</v>
      </c>
      <c r="J41" s="6">
        <v>-30000</v>
      </c>
      <c r="K41" s="6">
        <v>-53179</v>
      </c>
      <c r="L41" s="6"/>
      <c r="M41" s="6"/>
      <c r="N41" s="6"/>
      <c r="O41" s="6"/>
      <c r="P41" s="6"/>
    </row>
    <row r="42" spans="1:16" ht="34">
      <c r="A42" s="29" t="s">
        <v>94</v>
      </c>
      <c r="B42" s="6">
        <v>23202</v>
      </c>
      <c r="C42" s="6">
        <v>22309</v>
      </c>
      <c r="D42" s="6">
        <v>22403</v>
      </c>
      <c r="E42" s="6">
        <v>26165</v>
      </c>
      <c r="F42" s="6">
        <v>26330</v>
      </c>
      <c r="G42" s="6">
        <v>38410</v>
      </c>
      <c r="H42" s="6">
        <v>19101</v>
      </c>
      <c r="I42" s="6">
        <v>20549</v>
      </c>
      <c r="J42" s="6">
        <v>21686</v>
      </c>
      <c r="K42" s="6">
        <v>19294</v>
      </c>
      <c r="L42" s="6"/>
      <c r="M42" s="6"/>
      <c r="N42" s="6"/>
      <c r="O42" s="6"/>
      <c r="P42" s="6"/>
    </row>
    <row r="43" spans="1:16" ht="51">
      <c r="A43" s="29" t="s">
        <v>95</v>
      </c>
      <c r="B43" s="6">
        <v>-14788</v>
      </c>
      <c r="C43" s="6">
        <v>-16397</v>
      </c>
      <c r="D43" s="6">
        <v>-21670</v>
      </c>
      <c r="E43" s="6">
        <v>-24206</v>
      </c>
      <c r="F43" s="6">
        <v>-28826</v>
      </c>
      <c r="G43" s="6">
        <v>-28802</v>
      </c>
      <c r="H43" s="6">
        <v>-13676</v>
      </c>
      <c r="I43" s="6">
        <v>-22969</v>
      </c>
      <c r="J43" s="6">
        <v>-16493</v>
      </c>
      <c r="K43" s="6">
        <v>-11713</v>
      </c>
      <c r="L43" s="6"/>
      <c r="M43" s="6"/>
      <c r="N43" s="6"/>
      <c r="O43" s="6"/>
      <c r="P43" s="6"/>
    </row>
    <row r="44" spans="1:16" ht="34">
      <c r="A44" s="29" t="s">
        <v>96</v>
      </c>
      <c r="B44" s="6">
        <v>0</v>
      </c>
      <c r="C44" s="6">
        <v>0</v>
      </c>
      <c r="D44" s="6">
        <v>503061</v>
      </c>
      <c r="E44" s="6">
        <v>8491</v>
      </c>
      <c r="F44" s="6">
        <v>0</v>
      </c>
      <c r="G44" s="6">
        <v>0</v>
      </c>
      <c r="H44" s="6">
        <v>174749</v>
      </c>
      <c r="I44" s="4">
        <v>0</v>
      </c>
      <c r="J44" s="4">
        <v>0</v>
      </c>
      <c r="K44" s="4">
        <v>0</v>
      </c>
      <c r="L44" s="6"/>
      <c r="M44" s="6"/>
      <c r="N44" s="6"/>
      <c r="O44" s="6"/>
      <c r="P44" s="6"/>
    </row>
    <row r="45" spans="1:16" ht="17">
      <c r="A45" s="29" t="s">
        <v>97</v>
      </c>
      <c r="B45" s="6">
        <v>-3107</v>
      </c>
      <c r="C45" s="6">
        <v>-1784</v>
      </c>
      <c r="D45" s="6">
        <v>-1802</v>
      </c>
      <c r="E45" s="6">
        <v>-1816</v>
      </c>
      <c r="F45" s="6">
        <v>-10280</v>
      </c>
      <c r="G45" s="6">
        <v>-2253</v>
      </c>
      <c r="H45" s="6">
        <v>-4871</v>
      </c>
      <c r="I45" s="6">
        <v>-3288</v>
      </c>
      <c r="J45" s="6">
        <v>-3336</v>
      </c>
      <c r="K45" s="6">
        <v>448</v>
      </c>
      <c r="L45" s="6"/>
      <c r="M45" s="6"/>
      <c r="N45" s="6"/>
      <c r="O45" s="6"/>
      <c r="P45" s="4"/>
    </row>
    <row r="46" spans="1:16" ht="34">
      <c r="A46" s="29" t="s">
        <v>145</v>
      </c>
      <c r="B46" s="6">
        <v>121464</v>
      </c>
      <c r="C46" s="6">
        <v>149122</v>
      </c>
      <c r="D46" s="6">
        <v>392784</v>
      </c>
      <c r="E46" s="6">
        <v>165776</v>
      </c>
      <c r="F46" s="6">
        <v>354617</v>
      </c>
      <c r="G46" s="6">
        <v>365185</v>
      </c>
      <c r="H46" s="6">
        <v>149691</v>
      </c>
      <c r="I46" s="6">
        <v>643630</v>
      </c>
      <c r="J46" s="6">
        <v>-66128</v>
      </c>
      <c r="K46" s="6">
        <v>1124356</v>
      </c>
      <c r="L46" s="6"/>
      <c r="M46" s="6"/>
      <c r="N46" s="6"/>
      <c r="O46" s="6"/>
      <c r="P46" s="6"/>
    </row>
    <row r="47" spans="1:16" ht="17">
      <c r="A47" s="29" t="s">
        <v>98</v>
      </c>
      <c r="B47" s="6">
        <v>-510</v>
      </c>
      <c r="C47" s="6">
        <v>51</v>
      </c>
      <c r="D47" s="6">
        <v>-1067</v>
      </c>
      <c r="E47" s="6">
        <v>1426</v>
      </c>
      <c r="F47" s="6">
        <v>-2494</v>
      </c>
      <c r="G47" s="6">
        <v>-712</v>
      </c>
      <c r="H47" s="6">
        <v>5</v>
      </c>
      <c r="I47" s="6">
        <v>-4918</v>
      </c>
      <c r="J47" s="6">
        <v>-843</v>
      </c>
      <c r="K47" s="6">
        <v>275</v>
      </c>
      <c r="L47" s="6"/>
      <c r="M47" s="6"/>
      <c r="N47" s="6"/>
      <c r="O47" s="6"/>
      <c r="P47" s="6"/>
    </row>
    <row r="48" spans="1:16" ht="34">
      <c r="A48" s="29" t="s">
        <v>146</v>
      </c>
      <c r="B48" s="6">
        <v>-6084</v>
      </c>
      <c r="C48" s="6">
        <v>-10175</v>
      </c>
      <c r="D48" s="6">
        <v>88010</v>
      </c>
      <c r="E48" s="6">
        <v>-58652</v>
      </c>
      <c r="F48" s="6">
        <v>190255</v>
      </c>
      <c r="G48" s="6">
        <v>42608</v>
      </c>
      <c r="H48" s="6">
        <v>-8360</v>
      </c>
      <c r="I48" s="6">
        <v>14510</v>
      </c>
      <c r="J48" s="6">
        <v>1068927</v>
      </c>
      <c r="K48" s="6">
        <v>521647</v>
      </c>
      <c r="L48" s="6"/>
      <c r="M48" s="6"/>
      <c r="N48" s="6"/>
      <c r="O48" s="6"/>
      <c r="P48" s="6"/>
    </row>
    <row r="49" spans="1:16" ht="34">
      <c r="A49" s="29" t="s">
        <v>147</v>
      </c>
      <c r="B49" s="6">
        <v>58347</v>
      </c>
      <c r="C49" s="6">
        <v>52263</v>
      </c>
      <c r="D49" s="6">
        <v>42088</v>
      </c>
      <c r="E49" s="6">
        <v>130098</v>
      </c>
      <c r="F49" s="6">
        <v>71446</v>
      </c>
      <c r="G49" s="6">
        <v>261701</v>
      </c>
      <c r="H49" s="6">
        <v>304309</v>
      </c>
      <c r="I49" s="6">
        <v>295949</v>
      </c>
      <c r="J49" s="6">
        <v>310459</v>
      </c>
      <c r="K49" s="6">
        <v>1379386</v>
      </c>
      <c r="L49" s="6"/>
      <c r="M49" s="6"/>
      <c r="N49" s="6"/>
      <c r="O49" s="6"/>
      <c r="P49" s="6"/>
    </row>
    <row r="50" spans="1:16" ht="34">
      <c r="A50" s="29" t="s">
        <v>148</v>
      </c>
      <c r="B50" s="6">
        <v>52263</v>
      </c>
      <c r="C50" s="6">
        <v>42088</v>
      </c>
      <c r="D50" s="6">
        <v>130098</v>
      </c>
      <c r="E50" s="6">
        <v>71446</v>
      </c>
      <c r="F50" s="6">
        <v>261701</v>
      </c>
      <c r="G50" s="6">
        <v>304309</v>
      </c>
      <c r="H50" s="6">
        <v>295949</v>
      </c>
      <c r="I50" s="6">
        <v>310459</v>
      </c>
      <c r="J50" s="6">
        <v>1379386</v>
      </c>
      <c r="K50" s="6">
        <v>1901033</v>
      </c>
      <c r="L50" s="11"/>
      <c r="M50" s="6"/>
      <c r="N50" s="6"/>
      <c r="O50" s="6"/>
      <c r="P50" s="6"/>
    </row>
    <row r="51" spans="1:16">
      <c r="A51" s="28"/>
      <c r="B51" s="6"/>
      <c r="C51" s="6"/>
      <c r="D51" s="6"/>
      <c r="E51" s="6"/>
      <c r="F51" s="6"/>
      <c r="J51" s="6"/>
    </row>
    <row r="52" spans="1:16">
      <c r="A52" s="95" t="s">
        <v>122</v>
      </c>
      <c r="B52" s="30">
        <f>'Statement of Operations'!B56</f>
        <v>39856</v>
      </c>
      <c r="C52" s="30">
        <f>'Statement of Operations'!C56</f>
        <v>21739</v>
      </c>
      <c r="D52" s="30">
        <f>'Statement of Operations'!D56</f>
        <v>21730</v>
      </c>
      <c r="E52" s="30">
        <f>'Statement of Operations'!E56</f>
        <v>-68300</v>
      </c>
      <c r="F52" s="30">
        <f>'Statement of Operations'!F56</f>
        <v>-66527</v>
      </c>
      <c r="G52" s="30">
        <f>'Statement of Operations'!G56</f>
        <v>13875</v>
      </c>
      <c r="H52" s="30">
        <f>'Statement of Operations'!H56</f>
        <v>17094</v>
      </c>
      <c r="I52" s="30">
        <f>'Statement of Operations'!I56</f>
        <v>-2718</v>
      </c>
      <c r="J52" s="30">
        <f>'Statement of Operations'!J56</f>
        <v>1090748</v>
      </c>
      <c r="K52" s="30">
        <f>K4</f>
        <v>-1057877</v>
      </c>
      <c r="L52" s="30">
        <f>L4</f>
        <v>-537494</v>
      </c>
    </row>
    <row r="53" spans="1:16">
      <c r="A53" s="96" t="s">
        <v>123</v>
      </c>
      <c r="B53" s="30">
        <f t="shared" ref="B53:K53" si="61">B6+B8</f>
        <v>221433</v>
      </c>
      <c r="C53" s="30">
        <f t="shared" si="61"/>
        <v>242076</v>
      </c>
      <c r="D53" s="30">
        <f t="shared" si="61"/>
        <v>245922</v>
      </c>
      <c r="E53" s="30">
        <f t="shared" si="61"/>
        <v>255652</v>
      </c>
      <c r="F53" s="30">
        <f t="shared" si="61"/>
        <v>318613</v>
      </c>
      <c r="G53" s="30">
        <f t="shared" si="61"/>
        <v>342178</v>
      </c>
      <c r="H53" s="30">
        <f t="shared" si="61"/>
        <v>397102</v>
      </c>
      <c r="I53" s="30">
        <f t="shared" si="61"/>
        <v>495447</v>
      </c>
      <c r="J53" s="30">
        <f t="shared" si="61"/>
        <v>500377</v>
      </c>
      <c r="K53" s="30">
        <f t="shared" si="61"/>
        <v>1157524</v>
      </c>
      <c r="L53" s="30">
        <f t="shared" ref="L53" si="62">L6+L8</f>
        <v>1149313</v>
      </c>
    </row>
    <row r="54" spans="1:16">
      <c r="A54" s="96" t="s">
        <v>124</v>
      </c>
      <c r="B54" s="30">
        <f t="shared" ref="B54:K54" si="63">B10</f>
        <v>12420</v>
      </c>
      <c r="C54" s="30">
        <f t="shared" si="63"/>
        <v>-5003</v>
      </c>
      <c r="D54" s="30">
        <f t="shared" si="63"/>
        <v>-218</v>
      </c>
      <c r="E54" s="30">
        <f t="shared" si="63"/>
        <v>68545</v>
      </c>
      <c r="F54" s="30">
        <f t="shared" si="63"/>
        <v>79599</v>
      </c>
      <c r="G54" s="30">
        <f t="shared" si="63"/>
        <v>86553</v>
      </c>
      <c r="H54" s="30">
        <f t="shared" si="63"/>
        <v>84879</v>
      </c>
      <c r="I54" s="30">
        <f t="shared" si="63"/>
        <v>86808</v>
      </c>
      <c r="J54" s="30">
        <f t="shared" si="63"/>
        <v>84459</v>
      </c>
      <c r="K54" s="30">
        <f t="shared" si="63"/>
        <v>83631</v>
      </c>
      <c r="L54" s="30">
        <f t="shared" ref="L54" si="64">L10</f>
        <v>85000</v>
      </c>
    </row>
    <row r="55" spans="1:16">
      <c r="A55" s="96" t="s">
        <v>125</v>
      </c>
      <c r="B55" s="30">
        <f t="shared" ref="B55" si="65">B15</f>
        <v>4778</v>
      </c>
      <c r="C55" s="30">
        <f t="shared" ref="C55" si="66">C15</f>
        <v>8957</v>
      </c>
      <c r="D55" s="30">
        <f>D15</f>
        <v>10018</v>
      </c>
      <c r="E55" s="30">
        <f t="shared" ref="E55:K55" si="67">E15</f>
        <v>-29675</v>
      </c>
      <c r="F55" s="30">
        <f t="shared" si="67"/>
        <v>-25330</v>
      </c>
      <c r="G55" s="30">
        <f t="shared" si="67"/>
        <v>-3154</v>
      </c>
      <c r="H55" s="30">
        <f t="shared" si="67"/>
        <v>7773</v>
      </c>
      <c r="I55" s="30">
        <f t="shared" si="67"/>
        <v>-11772</v>
      </c>
      <c r="J55" s="30">
        <f t="shared" si="67"/>
        <v>380672</v>
      </c>
      <c r="K55" s="30">
        <f t="shared" si="67"/>
        <v>-111077</v>
      </c>
      <c r="L55" s="30">
        <f t="shared" ref="L55" si="68">L15</f>
        <v>-50000</v>
      </c>
    </row>
    <row r="56" spans="1:16">
      <c r="A56" s="96" t="s">
        <v>126</v>
      </c>
      <c r="B56" s="30">
        <f t="shared" ref="B56:J56" si="69">B12+B14</f>
        <v>71350</v>
      </c>
      <c r="C56" s="30">
        <f t="shared" si="69"/>
        <v>81470</v>
      </c>
      <c r="D56" s="30">
        <f t="shared" si="69"/>
        <v>91206</v>
      </c>
      <c r="E56" s="30">
        <f t="shared" si="69"/>
        <v>43195</v>
      </c>
      <c r="F56" s="30">
        <f t="shared" si="69"/>
        <v>41957</v>
      </c>
      <c r="G56" s="30">
        <f t="shared" si="69"/>
        <v>45622</v>
      </c>
      <c r="H56" s="30">
        <f t="shared" si="69"/>
        <v>39442</v>
      </c>
      <c r="I56" s="30">
        <f t="shared" si="69"/>
        <v>46793</v>
      </c>
      <c r="J56" s="30">
        <f t="shared" si="69"/>
        <v>-1656794</v>
      </c>
      <c r="K56" s="30">
        <f>K12+K14</f>
        <v>975383</v>
      </c>
      <c r="L56" s="30">
        <f>L12+L14</f>
        <v>46000</v>
      </c>
    </row>
    <row r="57" spans="1:16">
      <c r="A57" s="96" t="s">
        <v>127</v>
      </c>
      <c r="B57" s="30">
        <f>B17+B19+B21+B23+B25+B27</f>
        <v>-356</v>
      </c>
      <c r="C57" s="30">
        <f t="shared" ref="C57" si="70">C17+C19+C21+C23+C25+C27</f>
        <v>-52333</v>
      </c>
      <c r="D57" s="30">
        <f>D17+D19+D21+D23+D25+D27</f>
        <v>42603</v>
      </c>
      <c r="E57" s="30">
        <f t="shared" ref="E57:J57" si="71">E17+E19+E21+E23+E25+E27</f>
        <v>89191</v>
      </c>
      <c r="F57" s="30">
        <f t="shared" si="71"/>
        <v>-20819</v>
      </c>
      <c r="G57" s="30">
        <f t="shared" si="71"/>
        <v>-48076</v>
      </c>
      <c r="H57" s="30">
        <f t="shared" si="71"/>
        <v>180918</v>
      </c>
      <c r="I57" s="30">
        <f t="shared" si="71"/>
        <v>-109152</v>
      </c>
      <c r="J57" s="30">
        <f t="shared" si="71"/>
        <v>-31601</v>
      </c>
      <c r="K57" s="30">
        <f>K17+K19+K21+K23+K25+K27</f>
        <v>-359346</v>
      </c>
      <c r="L57" s="30">
        <f>L17+L19+L21+L23+L25+L27</f>
        <v>-310000</v>
      </c>
    </row>
    <row r="58" spans="1:16">
      <c r="A58" s="95" t="s">
        <v>128</v>
      </c>
      <c r="B58" s="30">
        <f>B52+B53+B55+B54+B56+B57</f>
        <v>349481</v>
      </c>
      <c r="C58" s="30">
        <f t="shared" ref="C58" si="72">C52+C53+C55+C54+C56+C57</f>
        <v>296906</v>
      </c>
      <c r="D58" s="30">
        <f>D52+D53+D55+D54+D56+D57</f>
        <v>411261</v>
      </c>
      <c r="E58" s="30">
        <f t="shared" ref="E58:K58" si="73">E52+E53+E55+E54+E56+E57</f>
        <v>358608</v>
      </c>
      <c r="F58" s="30">
        <f t="shared" si="73"/>
        <v>327493</v>
      </c>
      <c r="G58" s="30">
        <f t="shared" si="73"/>
        <v>436998</v>
      </c>
      <c r="H58" s="30">
        <f t="shared" si="73"/>
        <v>727208</v>
      </c>
      <c r="I58" s="30">
        <f t="shared" si="73"/>
        <v>505406</v>
      </c>
      <c r="J58" s="30">
        <f t="shared" si="73"/>
        <v>367861</v>
      </c>
      <c r="K58" s="30">
        <f t="shared" si="73"/>
        <v>688238</v>
      </c>
      <c r="L58" s="30">
        <f t="shared" ref="L58" si="74">L52+L53+L55+L54+L56+L57</f>
        <v>382819</v>
      </c>
    </row>
    <row r="59" spans="1:16">
      <c r="A59" s="96" t="s">
        <v>129</v>
      </c>
      <c r="B59" s="30">
        <f>B31+B35</f>
        <v>-366492</v>
      </c>
      <c r="C59" s="30">
        <f t="shared" ref="C59" si="75">C31+C35</f>
        <v>-377894</v>
      </c>
      <c r="D59" s="30">
        <f>D31+D35</f>
        <v>-487133</v>
      </c>
      <c r="E59" s="30">
        <f t="shared" ref="E59:K59" si="76">E31+E35</f>
        <v>-511634</v>
      </c>
      <c r="F59" s="30">
        <f t="shared" si="76"/>
        <v>-639194</v>
      </c>
      <c r="G59" s="30">
        <f t="shared" si="76"/>
        <v>-693966</v>
      </c>
      <c r="H59" s="30">
        <f t="shared" si="76"/>
        <v>-827241</v>
      </c>
      <c r="I59" s="30">
        <f>I31+I35</f>
        <v>-938280</v>
      </c>
      <c r="J59" s="30">
        <f t="shared" si="76"/>
        <v>-1076968</v>
      </c>
      <c r="K59" s="30">
        <f t="shared" si="76"/>
        <v>-1621385</v>
      </c>
      <c r="L59" s="30">
        <v>-1200000</v>
      </c>
    </row>
    <row r="60" spans="1:16">
      <c r="A60" s="95" t="s">
        <v>130</v>
      </c>
      <c r="B60" s="30">
        <f>B58+B59</f>
        <v>-17011</v>
      </c>
      <c r="C60" s="30">
        <f t="shared" ref="C60" si="77">C58+C59</f>
        <v>-80988</v>
      </c>
      <c r="D60" s="30">
        <f>D58+D59</f>
        <v>-75872</v>
      </c>
      <c r="E60" s="30">
        <f t="shared" ref="E60:J60" si="78">E58+E59</f>
        <v>-153026</v>
      </c>
      <c r="F60" s="30">
        <f t="shared" si="78"/>
        <v>-311701</v>
      </c>
      <c r="G60" s="30">
        <f t="shared" si="78"/>
        <v>-256968</v>
      </c>
      <c r="H60" s="30">
        <f t="shared" si="78"/>
        <v>-100033</v>
      </c>
      <c r="I60" s="30">
        <f t="shared" si="78"/>
        <v>-432874</v>
      </c>
      <c r="J60" s="30">
        <f t="shared" si="78"/>
        <v>-709107</v>
      </c>
      <c r="K60" s="30">
        <f>K58+K59</f>
        <v>-933147</v>
      </c>
      <c r="L60" s="30">
        <f>L58+L59</f>
        <v>-817181</v>
      </c>
    </row>
    <row r="61" spans="1:16">
      <c r="A61" s="97" t="s">
        <v>131</v>
      </c>
      <c r="B61" s="31">
        <f>B60/'Statement of Operations'!B53</f>
        <v>-0.35230402816609713</v>
      </c>
      <c r="C61" s="31">
        <f>C60/'Statement of Operations'!C53</f>
        <v>-1.6379411467286884</v>
      </c>
      <c r="D61" s="31">
        <f>D60/'Statement of Operations'!D53</f>
        <v>-1.4209304067720427</v>
      </c>
      <c r="E61" s="31">
        <f>E60/'Statement of Operations'!E53</f>
        <v>-2.6186043327971524</v>
      </c>
      <c r="F61" s="31">
        <f>F60/'Statement of Operations'!F53</f>
        <v>-5.2000433752627542</v>
      </c>
      <c r="G61" s="31">
        <f>G60/'Statement of Operations'!G53</f>
        <v>-4.1693925233644862</v>
      </c>
      <c r="H61" s="31">
        <f>H60/'Statement of Operations'!H53</f>
        <v>-1.5055234483173801</v>
      </c>
      <c r="I61" s="31">
        <f>I60/'Statement of Operations'!I53</f>
        <v>-5.897706990748941</v>
      </c>
      <c r="J61" s="31">
        <f>J60/'Statement of Operations'!J53</f>
        <v>-9.3408022130013837</v>
      </c>
      <c r="K61" s="31">
        <f>K60/'Statement of Operations'!K53</f>
        <v>-7.9627524767682978</v>
      </c>
      <c r="L61" s="31">
        <f>L60/'Statement of Operations'!L53</f>
        <v>-6.3655774099318405</v>
      </c>
    </row>
    <row r="62" spans="1:16">
      <c r="A62" s="96" t="s">
        <v>132</v>
      </c>
      <c r="B62" s="30">
        <f t="shared" ref="B62:K62" si="79">B33+B34+B32</f>
        <v>-110062</v>
      </c>
      <c r="C62" s="30">
        <f t="shared" si="79"/>
        <v>-78391</v>
      </c>
      <c r="D62" s="30">
        <f t="shared" si="79"/>
        <v>-227872</v>
      </c>
      <c r="E62" s="30">
        <f t="shared" si="79"/>
        <v>-72853</v>
      </c>
      <c r="F62" s="30">
        <f t="shared" si="79"/>
        <v>149775</v>
      </c>
      <c r="G62" s="30">
        <f t="shared" si="79"/>
        <v>-64835</v>
      </c>
      <c r="H62" s="30">
        <f t="shared" si="79"/>
        <v>-58030</v>
      </c>
      <c r="I62" s="30">
        <f t="shared" si="79"/>
        <v>-191563</v>
      </c>
      <c r="J62" s="30">
        <f t="shared" si="79"/>
        <v>1845005</v>
      </c>
      <c r="K62" s="30">
        <f t="shared" si="79"/>
        <v>330205</v>
      </c>
      <c r="L62" s="30">
        <f t="shared" ref="L62" si="80">L33+L34+L32</f>
        <v>0</v>
      </c>
    </row>
    <row r="63" spans="1:16">
      <c r="A63" s="96" t="s">
        <v>133</v>
      </c>
      <c r="B63" s="30">
        <f>B38+B39+B40</f>
        <v>-2757</v>
      </c>
      <c r="C63" s="30">
        <f t="shared" ref="C63:I63" si="81">C38+C39+C40</f>
        <v>-840</v>
      </c>
      <c r="D63" s="30">
        <f>D38+D39+D40</f>
        <v>-6677</v>
      </c>
      <c r="E63" s="30">
        <f t="shared" si="81"/>
        <v>167744</v>
      </c>
      <c r="F63" s="30">
        <f t="shared" si="81"/>
        <v>367393</v>
      </c>
      <c r="G63" s="30">
        <f t="shared" si="81"/>
        <v>357830</v>
      </c>
      <c r="H63" s="30">
        <f t="shared" si="81"/>
        <v>-25612</v>
      </c>
      <c r="I63" s="30">
        <f t="shared" si="81"/>
        <v>649338</v>
      </c>
      <c r="J63" s="30">
        <f>J38+J39+J40</f>
        <v>-37985</v>
      </c>
      <c r="K63" s="30">
        <f>K38+K39+K40</f>
        <v>1169506</v>
      </c>
      <c r="L63" s="30">
        <f>L38+L39+L40</f>
        <v>750000</v>
      </c>
    </row>
    <row r="64" spans="1:16">
      <c r="A64" s="96" t="s">
        <v>134</v>
      </c>
      <c r="B64" s="30">
        <f>(B44+B42)+(B41+B43)</f>
        <v>8414</v>
      </c>
      <c r="C64" s="30">
        <f t="shared" ref="C64:K64" si="82">(C44+C42)+(C41+C43)</f>
        <v>5912</v>
      </c>
      <c r="D64" s="30">
        <f>(D44+D42)+(D41+D43)</f>
        <v>503794</v>
      </c>
      <c r="E64" s="30">
        <f t="shared" si="82"/>
        <v>10450</v>
      </c>
      <c r="F64" s="30">
        <f t="shared" si="82"/>
        <v>-2496</v>
      </c>
      <c r="G64" s="30">
        <f t="shared" si="82"/>
        <v>9608</v>
      </c>
      <c r="H64" s="30">
        <f t="shared" si="82"/>
        <v>180174</v>
      </c>
      <c r="I64" s="30">
        <f t="shared" si="82"/>
        <v>-2420</v>
      </c>
      <c r="J64" s="30">
        <f t="shared" si="82"/>
        <v>-24807</v>
      </c>
      <c r="K64" s="30">
        <f t="shared" si="82"/>
        <v>-45598</v>
      </c>
      <c r="L64" s="30">
        <v>-20000</v>
      </c>
    </row>
    <row r="65" spans="1:12">
      <c r="A65" s="96" t="s">
        <v>126</v>
      </c>
      <c r="B65" s="30">
        <f>B45+B47</f>
        <v>-3617</v>
      </c>
      <c r="C65" s="30">
        <f t="shared" ref="C65" si="83">C45+C47</f>
        <v>-1733</v>
      </c>
      <c r="D65" s="30">
        <f>D45+D47</f>
        <v>-2869</v>
      </c>
      <c r="E65" s="30">
        <f t="shared" ref="E65:J65" si="84">E45+E47</f>
        <v>-390</v>
      </c>
      <c r="F65" s="30">
        <f t="shared" si="84"/>
        <v>-12774</v>
      </c>
      <c r="G65" s="30">
        <f t="shared" si="84"/>
        <v>-2965</v>
      </c>
      <c r="H65" s="30">
        <f t="shared" si="84"/>
        <v>-4866</v>
      </c>
      <c r="I65" s="30">
        <f t="shared" si="84"/>
        <v>-8206</v>
      </c>
      <c r="J65" s="30">
        <f t="shared" si="84"/>
        <v>-4179</v>
      </c>
      <c r="K65" s="30">
        <f>K45+K47</f>
        <v>723</v>
      </c>
      <c r="L65" s="30">
        <v>300</v>
      </c>
    </row>
    <row r="66" spans="1:12">
      <c r="A66" s="95" t="s">
        <v>135</v>
      </c>
      <c r="B66" s="30">
        <f>B60+B62+B63+B64+B65</f>
        <v>-125033</v>
      </c>
      <c r="C66" s="30">
        <f t="shared" ref="C66" si="85">C60+C62+C63+C64+C65</f>
        <v>-156040</v>
      </c>
      <c r="D66" s="30">
        <f>D60+D62+D63+D64+D65</f>
        <v>190504</v>
      </c>
      <c r="E66" s="30">
        <f t="shared" ref="E66:I66" si="86">E60+E62+E63+E64+E65</f>
        <v>-48075</v>
      </c>
      <c r="F66" s="30">
        <f t="shared" si="86"/>
        <v>190197</v>
      </c>
      <c r="G66" s="30">
        <f t="shared" si="86"/>
        <v>42670</v>
      </c>
      <c r="H66" s="30">
        <f t="shared" si="86"/>
        <v>-8367</v>
      </c>
      <c r="I66" s="30">
        <f t="shared" si="86"/>
        <v>14275</v>
      </c>
      <c r="J66" s="30">
        <f>J60+J62+J63+J64+J65</f>
        <v>1068927</v>
      </c>
      <c r="K66" s="30">
        <f>K60+K62+K63+K64+K65</f>
        <v>521689</v>
      </c>
      <c r="L66" s="30">
        <f>L60+L62+L63+L64+L65</f>
        <v>-86881</v>
      </c>
    </row>
    <row r="67" spans="1:12">
      <c r="A67" s="29"/>
      <c r="B67" s="6"/>
      <c r="C67" s="6"/>
      <c r="D67" s="6"/>
      <c r="E67" s="6"/>
      <c r="F67" s="6"/>
      <c r="G67" s="6"/>
      <c r="H67" s="6"/>
      <c r="I67" s="6"/>
      <c r="J67" s="6"/>
      <c r="K67" s="30"/>
    </row>
  </sheetData>
  <mergeCells count="1">
    <mergeCell ref="A1:A2"/>
  </mergeCells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Forecast and Valuations</vt:lpstr>
      <vt:lpstr>Segment Results</vt:lpstr>
      <vt:lpstr>Balance Sheet</vt:lpstr>
      <vt:lpstr>Statement of Operations</vt:lpstr>
      <vt:lpstr>Statement of Cashflow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Kong, Nam</dc:creator>
  <cp:lastModifiedBy>Janc, Maja</cp:lastModifiedBy>
  <dcterms:created xsi:type="dcterms:W3CDTF">2024-05-22T23:43:47Z</dcterms:created>
  <dcterms:modified xsi:type="dcterms:W3CDTF">2024-08-15T19:55:56Z</dcterms:modified>
</cp:coreProperties>
</file>