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m/Desktop/Stock Valuation/"/>
    </mc:Choice>
  </mc:AlternateContent>
  <xr:revisionPtr revIDLastSave="0" documentId="13_ncr:1_{D0541E63-0DD3-E44B-89CC-DF4670DC9C1B}" xr6:coauthVersionLast="47" xr6:coauthVersionMax="47" xr10:uidLastSave="{00000000-0000-0000-0000-000000000000}"/>
  <bookViews>
    <workbookView xWindow="0" yWindow="500" windowWidth="28800" windowHeight="16280" xr2:uid="{BB1ADA61-519E-D84C-9DAE-EFAFB3671677}"/>
  </bookViews>
  <sheets>
    <sheet name="US Utilities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7" i="1" l="1"/>
  <c r="AC7" i="1"/>
  <c r="AD7" i="1"/>
  <c r="AE7" i="1" s="1"/>
  <c r="AJ7" i="1" s="1"/>
  <c r="AB7" i="1"/>
  <c r="N7" i="1"/>
  <c r="M7" i="1"/>
  <c r="L7" i="1"/>
  <c r="J7" i="1"/>
  <c r="O7" i="1"/>
  <c r="Z7" i="1"/>
  <c r="AA7" i="1" s="1"/>
  <c r="P7" i="1"/>
  <c r="R7" i="1"/>
  <c r="S7" i="1"/>
  <c r="T7" i="1"/>
  <c r="U7" i="1"/>
  <c r="V7" i="1"/>
  <c r="W7" i="1"/>
  <c r="Y7" i="1"/>
  <c r="X7" i="1"/>
  <c r="I7" i="1"/>
  <c r="H7" i="1"/>
  <c r="G7" i="1"/>
  <c r="F7" i="1"/>
  <c r="E7" i="1"/>
  <c r="AB6" i="1"/>
  <c r="AF6" i="1" s="1"/>
  <c r="AH6" i="1" s="1"/>
  <c r="AC6" i="1"/>
  <c r="AD6" i="1"/>
  <c r="N6" i="1"/>
  <c r="Z6" i="1"/>
  <c r="AA6" i="1"/>
  <c r="Y6" i="1"/>
  <c r="X6" i="1"/>
  <c r="M6" i="1"/>
  <c r="V6" i="1" s="1"/>
  <c r="L6" i="1"/>
  <c r="U6" i="1" s="1"/>
  <c r="K6" i="1"/>
  <c r="J6" i="1"/>
  <c r="T6" i="1"/>
  <c r="W6" i="1"/>
  <c r="I6" i="1"/>
  <c r="H6" i="1"/>
  <c r="G6" i="1"/>
  <c r="F6" i="1"/>
  <c r="E6" i="1"/>
  <c r="AA3" i="1"/>
  <c r="AA4" i="1"/>
  <c r="AA5" i="1"/>
  <c r="AA2" i="1"/>
  <c r="AC5" i="1"/>
  <c r="AD5" i="1"/>
  <c r="AB5" i="1"/>
  <c r="N5" i="1"/>
  <c r="R5" i="1" s="1"/>
  <c r="Y5" i="1"/>
  <c r="X5" i="1"/>
  <c r="Z5" i="1" s="1"/>
  <c r="M5" i="1"/>
  <c r="Q5" i="1" s="1"/>
  <c r="L5" i="1"/>
  <c r="K5" i="1"/>
  <c r="O5" i="1" s="1"/>
  <c r="J5" i="1"/>
  <c r="W5" i="1"/>
  <c r="G5" i="1"/>
  <c r="H5" i="1" s="1"/>
  <c r="F5" i="1"/>
  <c r="P5" i="1"/>
  <c r="I5" i="1"/>
  <c r="V5" i="1" s="1"/>
  <c r="E5" i="1"/>
  <c r="AD4" i="1"/>
  <c r="AB4" i="1"/>
  <c r="AC4" i="1"/>
  <c r="AE4" i="1" s="1"/>
  <c r="AG4" i="1" s="1"/>
  <c r="N4" i="1"/>
  <c r="AF4" i="1" s="1"/>
  <c r="AH4" i="1" s="1"/>
  <c r="Y4" i="1"/>
  <c r="X4" i="1"/>
  <c r="Z4" i="1" s="1"/>
  <c r="Q4" i="1"/>
  <c r="M4" i="1"/>
  <c r="W4" i="1" s="1"/>
  <c r="L4" i="1"/>
  <c r="P4" i="1" s="1"/>
  <c r="K4" i="1"/>
  <c r="O4" i="1" s="1"/>
  <c r="J4" i="1"/>
  <c r="AJ4" i="1" s="1"/>
  <c r="G4" i="1"/>
  <c r="F4" i="1"/>
  <c r="H4" i="1"/>
  <c r="E4" i="1"/>
  <c r="M2" i="1"/>
  <c r="AC2" i="1"/>
  <c r="AD2" i="1"/>
  <c r="AB2" i="1"/>
  <c r="N2" i="1"/>
  <c r="R2" i="1" s="1"/>
  <c r="Y2" i="1"/>
  <c r="X2" i="1"/>
  <c r="Z2" i="1" s="1"/>
  <c r="W2" i="1"/>
  <c r="L2" i="1"/>
  <c r="P2" i="1" s="1"/>
  <c r="K2" i="1"/>
  <c r="J2" i="1"/>
  <c r="Q2" i="1" s="1"/>
  <c r="G2" i="1"/>
  <c r="F2" i="1"/>
  <c r="E2" i="1"/>
  <c r="N3" i="1"/>
  <c r="AC3" i="1"/>
  <c r="AD3" i="1"/>
  <c r="AB3" i="1"/>
  <c r="Y3" i="1"/>
  <c r="X3" i="1"/>
  <c r="M3" i="1"/>
  <c r="W3" i="1" s="1"/>
  <c r="L3" i="1"/>
  <c r="K3" i="1"/>
  <c r="O3" i="1" s="1"/>
  <c r="J3" i="1"/>
  <c r="G3" i="1"/>
  <c r="F3" i="1"/>
  <c r="E3" i="1"/>
  <c r="A1" i="1"/>
  <c r="AF7" i="1" l="1"/>
  <c r="AH7" i="1" s="1"/>
  <c r="Q7" i="1"/>
  <c r="AI7" i="1"/>
  <c r="AG7" i="1"/>
  <c r="AE6" i="1"/>
  <c r="O6" i="1"/>
  <c r="R6" i="1"/>
  <c r="Q6" i="1"/>
  <c r="P6" i="1"/>
  <c r="S6" i="1"/>
  <c r="Q3" i="1"/>
  <c r="I4" i="1"/>
  <c r="AF3" i="1"/>
  <c r="AE5" i="1"/>
  <c r="AI5" i="1" s="1"/>
  <c r="AE3" i="1"/>
  <c r="AJ3" i="1" s="1"/>
  <c r="O2" i="1"/>
  <c r="R4" i="1"/>
  <c r="AF5" i="1"/>
  <c r="AH5" i="1" s="1"/>
  <c r="AG5" i="1"/>
  <c r="AJ5" i="1"/>
  <c r="S5" i="1"/>
  <c r="U5" i="1"/>
  <c r="T5" i="1"/>
  <c r="P3" i="1"/>
  <c r="AE2" i="1"/>
  <c r="AJ2" i="1" s="1"/>
  <c r="AF2" i="1"/>
  <c r="AH2" i="1" s="1"/>
  <c r="R3" i="1"/>
  <c r="I3" i="1"/>
  <c r="AI3" i="1" s="1"/>
  <c r="Z3" i="1"/>
  <c r="AG3" i="1" s="1"/>
  <c r="H3" i="1"/>
  <c r="AG2" i="1"/>
  <c r="H2" i="1"/>
  <c r="I2" i="1"/>
  <c r="AJ6" i="1" l="1"/>
  <c r="AI6" i="1"/>
  <c r="AG6" i="1"/>
  <c r="U3" i="1"/>
  <c r="T3" i="1"/>
  <c r="S4" i="1"/>
  <c r="V4" i="1"/>
  <c r="T4" i="1"/>
  <c r="AI4" i="1"/>
  <c r="U4" i="1"/>
  <c r="S3" i="1"/>
  <c r="V2" i="1"/>
  <c r="AI2" i="1"/>
  <c r="V3" i="1"/>
  <c r="AH3" i="1"/>
  <c r="S2" i="1"/>
  <c r="T2" i="1"/>
  <c r="U2" i="1"/>
</calcChain>
</file>

<file path=xl/sharedStrings.xml><?xml version="1.0" encoding="utf-8"?>
<sst xmlns="http://schemas.openxmlformats.org/spreadsheetml/2006/main" count="47" uniqueCount="47">
  <si>
    <t>Companies</t>
  </si>
  <si>
    <t>Market Cap</t>
  </si>
  <si>
    <t>Shares Outstanding</t>
  </si>
  <si>
    <t>Share Price</t>
  </si>
  <si>
    <t>Cash (Most Recent Quarter)</t>
  </si>
  <si>
    <t>Debt (Most Recent Quarter)</t>
  </si>
  <si>
    <t>C/D Ratio (Most Recent Quarter)</t>
  </si>
  <si>
    <t>Enterprise Value</t>
  </si>
  <si>
    <t>Revenue TTM</t>
  </si>
  <si>
    <t>Gross Income TTM</t>
  </si>
  <si>
    <t>Operating Income TTM</t>
  </si>
  <si>
    <t>Net Income TTM</t>
  </si>
  <si>
    <t>OFCF TTM</t>
  </si>
  <si>
    <t>EV/R TTM</t>
  </si>
  <si>
    <t>EV/GI TTM</t>
  </si>
  <si>
    <t>EV/OI TTM</t>
  </si>
  <si>
    <t>EV/NI TTM</t>
  </si>
  <si>
    <t>P/E TTM</t>
  </si>
  <si>
    <t>Operating Assets TTM</t>
  </si>
  <si>
    <t>NWC TTM</t>
  </si>
  <si>
    <t>Invested Capital TTM</t>
  </si>
  <si>
    <t>D&amp;A TTM</t>
  </si>
  <si>
    <t>CapEx TTM</t>
  </si>
  <si>
    <t>Change in NWC TTM</t>
  </si>
  <si>
    <t>Free Cash Flow TTM (OI)</t>
  </si>
  <si>
    <t>Free Cash Flow TTM (OFCF)</t>
  </si>
  <si>
    <t>FCF TTM OI/IC</t>
  </si>
  <si>
    <t>FCF TTM OFCF/IC</t>
  </si>
  <si>
    <t>EV/Adj. OI</t>
  </si>
  <si>
    <t>EV/Adj. OFCF</t>
  </si>
  <si>
    <t>D</t>
  </si>
  <si>
    <t>XEL</t>
  </si>
  <si>
    <t>Xcel Energy</t>
  </si>
  <si>
    <t>Dominion Resources</t>
  </si>
  <si>
    <t>GM</t>
  </si>
  <si>
    <t>OM</t>
  </si>
  <si>
    <t>NM</t>
  </si>
  <si>
    <t>OFCF Margin</t>
  </si>
  <si>
    <t>NEE</t>
  </si>
  <si>
    <t>NextEra Energy</t>
  </si>
  <si>
    <t>DUK</t>
  </si>
  <si>
    <t>Duke Energy</t>
  </si>
  <si>
    <t>EV/IC</t>
  </si>
  <si>
    <t>TRP</t>
  </si>
  <si>
    <t>TC Energy</t>
  </si>
  <si>
    <t>EXC</t>
  </si>
  <si>
    <t>Exelon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</si>
</sst>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[$$-409]* #,##0.00_);_([$$-409]* \(#,##0.00\);_([$$-409]* &quot;-&quot;??_);_(@_)"/>
    <numFmt numFmtId="165" formatCode="0.0"/>
    <numFmt numFmtId="166" formatCode="0.0%"/>
  </numFmts>
  <fonts count="4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164" fontId="2" fillId="0" borderId="0" xfId="0" applyNumberFormat="1" applyFont="1"/>
    <xf numFmtId="165" fontId="2" fillId="2" borderId="0" xfId="0" applyNumberFormat="1" applyFont="1" applyFill="1"/>
    <xf numFmtId="164" fontId="3" fillId="0" borderId="0" xfId="0" applyNumberFormat="1" applyFont="1"/>
    <xf numFmtId="164" fontId="0" fillId="0" borderId="0" xfId="0" applyNumberFormat="1"/>
    <xf numFmtId="2" fontId="2" fillId="3" borderId="0" xfId="0" applyNumberFormat="1" applyFont="1" applyFill="1"/>
    <xf numFmtId="9" fontId="2" fillId="4" borderId="0" xfId="1" applyFont="1" applyFill="1"/>
    <xf numFmtId="166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nam/Desktop/Stock%20Valuation/PORTFOLIO.xlsx" TargetMode="External"/><Relationship Id="rId1" Type="http://schemas.openxmlformats.org/officeDocument/2006/relationships/externalLinkPath" Target="PORTFOLI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Holding Details"/>
      <sheetName val="DPZ Case "/>
    </sheetNames>
    <sheetDataSet>
      <sheetData sheetId="0">
        <row r="1">
          <cell r="B1" t="str">
            <v>Ticker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EABB6-F4CB-404E-8E93-743143B7E168}">
  <dimension ref="A1:AJ7"/>
  <sheetViews>
    <sheetView tabSelected="1" workbookViewId="0">
      <selection activeCell="H13" sqref="H13"/>
    </sheetView>
  </sheetViews>
  <sheetFormatPr baseColWidth="10" defaultRowHeight="16" x14ac:dyDescent="0.2"/>
  <cols>
    <col min="1" max="1" width="6.1640625" bestFit="1" customWidth="1"/>
    <col min="2" max="2" width="18" bestFit="1" customWidth="1"/>
    <col min="3" max="3" width="10.6640625" bestFit="1" customWidth="1"/>
    <col min="4" max="4" width="17.5" bestFit="1" customWidth="1"/>
    <col min="5" max="5" width="10.5" bestFit="1" customWidth="1"/>
    <col min="6" max="6" width="25.83203125" bestFit="1" customWidth="1"/>
    <col min="7" max="7" width="25.5" bestFit="1" customWidth="1"/>
    <col min="8" max="8" width="28.33203125" bestFit="1" customWidth="1"/>
    <col min="9" max="9" width="14.6640625" bestFit="1" customWidth="1"/>
    <col min="10" max="10" width="11.6640625" bestFit="1" customWidth="1"/>
    <col min="11" max="11" width="17.6640625" bestFit="1" customWidth="1"/>
    <col min="12" max="12" width="20.83203125" bestFit="1" customWidth="1"/>
    <col min="13" max="13" width="14.1640625" bestFit="1" customWidth="1"/>
    <col min="14" max="14" width="9.33203125" bestFit="1" customWidth="1"/>
    <col min="15" max="16" width="5.33203125" bestFit="1" customWidth="1"/>
    <col min="17" max="17" width="4.6640625" bestFit="1" customWidth="1"/>
    <col min="18" max="18" width="11.83203125" bestFit="1" customWidth="1"/>
    <col min="19" max="19" width="8.6640625" bestFit="1" customWidth="1"/>
    <col min="20" max="22" width="9.33203125" bestFit="1" customWidth="1"/>
    <col min="23" max="23" width="7.5" bestFit="1" customWidth="1"/>
    <col min="24" max="24" width="20.5" bestFit="1" customWidth="1"/>
    <col min="25" max="25" width="10.33203125" bestFit="1" customWidth="1"/>
    <col min="26" max="26" width="19.5" bestFit="1" customWidth="1"/>
    <col min="27" max="27" width="7.1640625" bestFit="1" customWidth="1"/>
    <col min="28" max="28" width="9.6640625" bestFit="1" customWidth="1"/>
    <col min="29" max="29" width="11.1640625" bestFit="1" customWidth="1"/>
    <col min="30" max="30" width="19" bestFit="1" customWidth="1"/>
    <col min="31" max="31" width="22.33203125" bestFit="1" customWidth="1"/>
    <col min="32" max="32" width="25.1640625" bestFit="1" customWidth="1"/>
    <col min="33" max="33" width="14" style="5" bestFit="1" customWidth="1"/>
    <col min="34" max="34" width="17" style="5" bestFit="1" customWidth="1"/>
    <col min="35" max="35" width="10.6640625" bestFit="1" customWidth="1"/>
    <col min="36" max="36" width="13.5" bestFit="1" customWidth="1"/>
  </cols>
  <sheetData>
    <row r="1" spans="1:36" x14ac:dyDescent="0.2">
      <c r="A1" s="1" t="str">
        <f>[1]Main!B1</f>
        <v>Ticker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2" t="s">
        <v>5</v>
      </c>
      <c r="H1" s="1" t="s">
        <v>6</v>
      </c>
      <c r="I1" s="1" t="s">
        <v>7</v>
      </c>
      <c r="J1" s="1" t="s">
        <v>8</v>
      </c>
      <c r="K1" s="2" t="s">
        <v>9</v>
      </c>
      <c r="L1" s="2" t="s">
        <v>10</v>
      </c>
      <c r="M1" s="1" t="s">
        <v>11</v>
      </c>
      <c r="N1" s="1" t="s">
        <v>12</v>
      </c>
      <c r="O1" s="2" t="s">
        <v>34</v>
      </c>
      <c r="P1" s="2" t="s">
        <v>35</v>
      </c>
      <c r="Q1" s="1" t="s">
        <v>36</v>
      </c>
      <c r="R1" s="1" t="s">
        <v>37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2" t="s">
        <v>18</v>
      </c>
      <c r="Y1" s="2" t="s">
        <v>19</v>
      </c>
      <c r="Z1" s="2" t="s">
        <v>20</v>
      </c>
      <c r="AA1" s="2" t="s">
        <v>42</v>
      </c>
      <c r="AB1" s="2" t="s">
        <v>21</v>
      </c>
      <c r="AC1" s="2" t="s">
        <v>22</v>
      </c>
      <c r="AD1" s="2" t="s">
        <v>23</v>
      </c>
      <c r="AE1" s="2" t="s">
        <v>24</v>
      </c>
      <c r="AF1" s="2" t="s">
        <v>25</v>
      </c>
      <c r="AG1" s="2" t="s">
        <v>26</v>
      </c>
      <c r="AH1" s="2" t="s">
        <v>27</v>
      </c>
      <c r="AI1" s="2" t="s">
        <v>28</v>
      </c>
      <c r="AJ1" s="2" t="s">
        <v>29</v>
      </c>
    </row>
    <row r="2" spans="1:36" x14ac:dyDescent="0.2">
      <c r="A2" t="s">
        <v>31</v>
      </c>
      <c r="B2" t="s">
        <v>32</v>
      </c>
      <c r="C2">
        <v>34.78</v>
      </c>
      <c r="D2">
        <v>0.5575</v>
      </c>
      <c r="E2" s="5">
        <f t="shared" ref="E2:E7" si="0">C2/D2</f>
        <v>62.385650224215247</v>
      </c>
      <c r="F2" s="5">
        <f>1.6+0.084</f>
        <v>1.6840000000000002</v>
      </c>
      <c r="G2" s="5">
        <f>1.66+27.72</f>
        <v>29.38</v>
      </c>
      <c r="H2" s="8">
        <f t="shared" ref="H2:H7" si="1">F2/G2</f>
        <v>5.7317903335602459E-2</v>
      </c>
      <c r="I2" s="5">
        <f t="shared" ref="I2:I7" si="2">C2+G2-F2</f>
        <v>62.475999999999999</v>
      </c>
      <c r="J2" s="5">
        <f>3.03+3.65+3.44+1.85</f>
        <v>11.969999999999999</v>
      </c>
      <c r="K2" s="5">
        <f>1.39+1.61+1.53+1.81</f>
        <v>6.34</v>
      </c>
      <c r="L2" s="5">
        <f>0.449+0.679+0.648+0.949</f>
        <v>2.7250000000000001</v>
      </c>
      <c r="M2" s="5">
        <f>0.302+0.488+0.409+0.656</f>
        <v>1.855</v>
      </c>
      <c r="N2" s="5">
        <f>1.19+1.05+0.974+1.9</f>
        <v>5.1140000000000008</v>
      </c>
      <c r="O2" s="7">
        <f t="shared" ref="O2:O7" si="3">K2/$J2</f>
        <v>0.52965747702589816</v>
      </c>
      <c r="P2" s="7">
        <f t="shared" ref="P2:R2" si="4">L2/$J2</f>
        <v>0.2276524644945698</v>
      </c>
      <c r="Q2" s="7">
        <f t="shared" si="4"/>
        <v>0.15497076023391815</v>
      </c>
      <c r="R2" s="7">
        <f t="shared" si="4"/>
        <v>0.42723475355054313</v>
      </c>
      <c r="S2" s="3">
        <f t="shared" ref="S2:S7" si="5">$I2/J2</f>
        <v>5.219381787802841</v>
      </c>
      <c r="T2" s="3">
        <f t="shared" ref="T2" si="6">$I2/K2</f>
        <v>9.8542586750788637</v>
      </c>
      <c r="U2" s="3">
        <f t="shared" ref="U2" si="7">$I2/L2</f>
        <v>22.926972477064218</v>
      </c>
      <c r="V2" s="3">
        <f t="shared" ref="V2" si="8">$I2/M2</f>
        <v>33.679784366576818</v>
      </c>
      <c r="W2" s="3">
        <f t="shared" ref="W2:W7" si="9">C2/M2</f>
        <v>18.749326145552562</v>
      </c>
      <c r="X2" s="4">
        <f>55.04</f>
        <v>55.04</v>
      </c>
      <c r="Y2" s="5">
        <f>5.7-1.6-5.9</f>
        <v>-1.8000000000000007</v>
      </c>
      <c r="Z2" s="5">
        <f t="shared" ref="Z2:Z7" si="10">SUM(X2:Y2)</f>
        <v>53.239999999999995</v>
      </c>
      <c r="AA2" s="6">
        <f>I2/Z2</f>
        <v>1.1734785875281744</v>
      </c>
      <c r="AB2" s="5">
        <f>0.739+0.684+0.659+0.653</f>
        <v>2.7349999999999999</v>
      </c>
      <c r="AC2" s="5">
        <f>-1.83-1.54-1.61-1.64</f>
        <v>-6.62</v>
      </c>
      <c r="AD2" s="5">
        <f>-0.104-0.18-0.148+0.597</f>
        <v>0.16500000000000004</v>
      </c>
      <c r="AE2" s="5">
        <f t="shared" ref="AE2:AE7" si="11">L2+SUM(AB2:AD2)</f>
        <v>-0.99500000000000011</v>
      </c>
      <c r="AF2" s="5">
        <f t="shared" ref="AF2:AF7" si="12">N2+SUM(AB2:AD2)</f>
        <v>1.3940000000000006</v>
      </c>
      <c r="AG2" s="8">
        <f t="shared" ref="AG2:AH7" si="13">AE2/$Z2</f>
        <v>-1.868895567242675E-2</v>
      </c>
      <c r="AH2" s="8">
        <f t="shared" si="13"/>
        <v>2.6183320811419997E-2</v>
      </c>
      <c r="AI2" s="3">
        <f>I2/$AE2</f>
        <v>-62.789949748743709</v>
      </c>
      <c r="AJ2" s="3">
        <f>J2/$AE2</f>
        <v>-12.030150753768842</v>
      </c>
    </row>
    <row r="3" spans="1:36" x14ac:dyDescent="0.2">
      <c r="A3" t="s">
        <v>30</v>
      </c>
      <c r="B3" t="s">
        <v>33</v>
      </c>
      <c r="C3">
        <v>47.21</v>
      </c>
      <c r="D3">
        <v>0.83894000000000002</v>
      </c>
      <c r="E3" s="5">
        <f t="shared" si="0"/>
        <v>56.273392614489715</v>
      </c>
      <c r="F3" s="5">
        <f>0.139+8.08</f>
        <v>8.2189999999999994</v>
      </c>
      <c r="G3" s="5">
        <f>4.96+36.62</f>
        <v>41.58</v>
      </c>
      <c r="H3" s="8">
        <f t="shared" si="1"/>
        <v>0.19766714766714766</v>
      </c>
      <c r="I3" s="5">
        <f t="shared" si="2"/>
        <v>80.570999999999998</v>
      </c>
      <c r="J3" s="5">
        <f>3.49+3.63+3.53+3.81</f>
        <v>14.46</v>
      </c>
      <c r="K3" s="5">
        <f>1.66+1.69+1.73+1.85</f>
        <v>6.93</v>
      </c>
      <c r="L3" s="5">
        <f>0.871+0.862+0.865+1.03</f>
        <v>3.6280000000000001</v>
      </c>
      <c r="M3" s="5">
        <f>0.572+0.674+0.235+0.163</f>
        <v>1.6439999999999999</v>
      </c>
      <c r="N3" s="5">
        <f>0.856+1.98+1.39+1.99</f>
        <v>6.2160000000000002</v>
      </c>
      <c r="O3" s="7">
        <f t="shared" si="3"/>
        <v>0.47925311203319498</v>
      </c>
      <c r="P3" s="7">
        <f t="shared" ref="P3" si="14">L3/$J3</f>
        <v>0.25089903181189488</v>
      </c>
      <c r="Q3" s="7">
        <f t="shared" ref="Q3" si="15">M3/$J3</f>
        <v>0.11369294605809127</v>
      </c>
      <c r="R3" s="7">
        <f t="shared" ref="R3" si="16">N3/$J3</f>
        <v>0.42987551867219914</v>
      </c>
      <c r="S3" s="3">
        <f t="shared" si="5"/>
        <v>5.571991701244813</v>
      </c>
      <c r="T3" s="3">
        <f t="shared" ref="T3:V7" si="17">$I3/K3</f>
        <v>11.626406926406927</v>
      </c>
      <c r="U3" s="3">
        <f t="shared" si="17"/>
        <v>22.208103638368247</v>
      </c>
      <c r="V3" s="3">
        <f t="shared" si="17"/>
        <v>49.009124087591239</v>
      </c>
      <c r="W3" s="3">
        <f t="shared" si="9"/>
        <v>28.716545012165451</v>
      </c>
      <c r="X3" s="4">
        <f>63.36+4.14</f>
        <v>67.5</v>
      </c>
      <c r="Y3" s="5">
        <f>10.75-0.139-11.51</f>
        <v>-0.89899999999999913</v>
      </c>
      <c r="Z3" s="5">
        <f t="shared" si="10"/>
        <v>66.600999999999999</v>
      </c>
      <c r="AA3" s="6">
        <f t="shared" ref="AA3:AA5" si="18">I3/Z3</f>
        <v>1.2097566102611073</v>
      </c>
      <c r="AB3" s="5">
        <f>0.695+0.694+0.768+0.797</f>
        <v>2.9540000000000002</v>
      </c>
      <c r="AC3" s="5">
        <f>-2.97-2.77-3.05-2.32</f>
        <v>-11.11</v>
      </c>
      <c r="AD3" s="5">
        <f>-0.454+0.808-0.272+0.432</f>
        <v>0.51400000000000001</v>
      </c>
      <c r="AE3" s="5">
        <f t="shared" si="11"/>
        <v>-4.0139999999999985</v>
      </c>
      <c r="AF3" s="5">
        <f t="shared" si="12"/>
        <v>-1.4259999999999984</v>
      </c>
      <c r="AG3" s="8">
        <f t="shared" si="13"/>
        <v>-6.0269365324844948E-2</v>
      </c>
      <c r="AH3" s="8">
        <f t="shared" si="13"/>
        <v>-2.1411089923574697E-2</v>
      </c>
      <c r="AI3" s="3">
        <f t="shared" ref="AI3:AI4" si="19">I3/$AE3</f>
        <v>-20.072496263079231</v>
      </c>
      <c r="AJ3" s="3">
        <f t="shared" ref="AJ3:AJ4" si="20">J3/$AE3</f>
        <v>-3.6023916292974607</v>
      </c>
    </row>
    <row r="4" spans="1:36" x14ac:dyDescent="0.2">
      <c r="A4" t="s">
        <v>38</v>
      </c>
      <c r="B4" t="s">
        <v>39</v>
      </c>
      <c r="C4">
        <v>167.43</v>
      </c>
      <c r="D4">
        <v>2.06</v>
      </c>
      <c r="E4" s="5">
        <f t="shared" si="0"/>
        <v>81.27669902912622</v>
      </c>
      <c r="F4" s="5">
        <f>1.55+1.6</f>
        <v>3.1500000000000004</v>
      </c>
      <c r="G4" s="5">
        <f>14.14+68.49</f>
        <v>82.63</v>
      </c>
      <c r="H4" s="8">
        <f t="shared" si="1"/>
        <v>3.8121747549316236E-2</v>
      </c>
      <c r="I4" s="5">
        <f t="shared" si="2"/>
        <v>246.91</v>
      </c>
      <c r="J4" s="5">
        <f>6.07+5.73+6.88+7.17</f>
        <v>25.85</v>
      </c>
      <c r="K4" s="5">
        <f>3.62+3.4+4.41+4.42</f>
        <v>15.85</v>
      </c>
      <c r="L4" s="5">
        <f>1.64+1.96+2.27+1.83</f>
        <v>7.6999999999999993</v>
      </c>
      <c r="M4" s="5">
        <f>1.3+1.94+0.915+1.02</f>
        <v>5.1750000000000007</v>
      </c>
      <c r="N4" s="5">
        <f>3.93+3.08+2.88</f>
        <v>9.89</v>
      </c>
      <c r="O4" s="7">
        <f t="shared" si="3"/>
        <v>0.61315280464216626</v>
      </c>
      <c r="P4" s="7">
        <f t="shared" ref="P4" si="21">L4/$J4</f>
        <v>0.29787234042553185</v>
      </c>
      <c r="Q4" s="7">
        <f t="shared" ref="Q4" si="22">M4/$J4</f>
        <v>0.20019342359767894</v>
      </c>
      <c r="R4" s="7">
        <f t="shared" ref="R4" si="23">N4/$J4</f>
        <v>0.38259187620889751</v>
      </c>
      <c r="S4" s="3">
        <f t="shared" si="5"/>
        <v>9.5516441005802708</v>
      </c>
      <c r="T4" s="3">
        <f t="shared" si="17"/>
        <v>15.577917981072556</v>
      </c>
      <c r="U4" s="3">
        <f t="shared" si="17"/>
        <v>32.066233766233772</v>
      </c>
      <c r="V4" s="3">
        <f t="shared" si="17"/>
        <v>47.712077294685983</v>
      </c>
      <c r="W4" s="3">
        <f t="shared" si="9"/>
        <v>32.353623188405791</v>
      </c>
      <c r="X4" s="4">
        <f>133.11+5.09</f>
        <v>138.20000000000002</v>
      </c>
      <c r="Y4" s="5">
        <f>12.8-1.55-26.23</f>
        <v>-14.98</v>
      </c>
      <c r="Z4" s="5">
        <f t="shared" si="10"/>
        <v>123.22000000000001</v>
      </c>
      <c r="AA4" s="6">
        <f t="shared" si="18"/>
        <v>2.0038143158578152</v>
      </c>
      <c r="AB4" s="5">
        <f>1.47+0.988+1.68+2.03</f>
        <v>6.1679999999999993</v>
      </c>
      <c r="AC4" s="5">
        <f>-2.145-2.47-2.099-2.655</f>
        <v>-9.3689999999999998</v>
      </c>
      <c r="AD4" s="5">
        <f>0.229+0.022-0.138-0.447</f>
        <v>-0.33400000000000002</v>
      </c>
      <c r="AE4" s="5">
        <f t="shared" si="11"/>
        <v>4.1649999999999991</v>
      </c>
      <c r="AF4" s="5">
        <f t="shared" si="12"/>
        <v>6.3550000000000004</v>
      </c>
      <c r="AG4" s="8">
        <f t="shared" si="13"/>
        <v>3.3801330952767397E-2</v>
      </c>
      <c r="AH4" s="8">
        <f t="shared" si="13"/>
        <v>5.157441973705567E-2</v>
      </c>
      <c r="AI4" s="3">
        <f t="shared" si="19"/>
        <v>59.282112845138066</v>
      </c>
      <c r="AJ4" s="3">
        <f t="shared" si="20"/>
        <v>6.2064825930372161</v>
      </c>
    </row>
    <row r="5" spans="1:36" x14ac:dyDescent="0.2">
      <c r="A5" t="s">
        <v>40</v>
      </c>
      <c r="B5" t="s">
        <v>41</v>
      </c>
      <c r="C5">
        <v>87.09</v>
      </c>
      <c r="D5">
        <v>0.7722</v>
      </c>
      <c r="E5" s="5">
        <f t="shared" si="0"/>
        <v>112.78166278166279</v>
      </c>
      <c r="F5" s="5">
        <f>0.39</f>
        <v>0.39</v>
      </c>
      <c r="G5" s="5">
        <f>6.01+76.44</f>
        <v>82.45</v>
      </c>
      <c r="H5" s="8">
        <f t="shared" si="1"/>
        <v>4.7301394784718008E-3</v>
      </c>
      <c r="I5" s="5">
        <f t="shared" si="2"/>
        <v>169.15000000000003</v>
      </c>
      <c r="J5" s="5">
        <f>7.17+7.67+7.21+7.99</f>
        <v>30.04</v>
      </c>
      <c r="K5" s="5">
        <f>3.55+3.73+3.44+3.94</f>
        <v>14.659999999999998</v>
      </c>
      <c r="L5" s="5">
        <f>1.74+1.95+1.84+2.19</f>
        <v>7.7200000000000006</v>
      </c>
      <c r="M5" s="5">
        <f>0.921+1.15+0.996+1.32</f>
        <v>4.3869999999999996</v>
      </c>
      <c r="N5" s="5">
        <f>2.95+2.47+2.57+3.52</f>
        <v>11.51</v>
      </c>
      <c r="O5" s="7">
        <f t="shared" si="3"/>
        <v>0.48801597869507318</v>
      </c>
      <c r="P5" s="7">
        <f t="shared" ref="P5" si="24">L5/$J5</f>
        <v>0.25699067909454065</v>
      </c>
      <c r="Q5" s="7">
        <f t="shared" ref="Q5" si="25">M5/$J5</f>
        <v>0.1460386151797603</v>
      </c>
      <c r="R5" s="7">
        <f t="shared" ref="R5" si="26">N5/$J5</f>
        <v>0.38315579227696406</v>
      </c>
      <c r="S5" s="3">
        <f t="shared" si="5"/>
        <v>5.6308255659121187</v>
      </c>
      <c r="T5" s="3">
        <f t="shared" si="17"/>
        <v>11.538199181446116</v>
      </c>
      <c r="U5" s="3">
        <f t="shared" si="17"/>
        <v>21.910621761658035</v>
      </c>
      <c r="V5" s="3">
        <f t="shared" si="17"/>
        <v>38.557100524276279</v>
      </c>
      <c r="W5" s="3">
        <f t="shared" si="9"/>
        <v>19.851834966947802</v>
      </c>
      <c r="X5" s="4">
        <f>121.21+19.3</f>
        <v>140.51</v>
      </c>
      <c r="Y5" s="5">
        <f>12.56-0.39-15.48</f>
        <v>-3.3100000000000005</v>
      </c>
      <c r="Z5" s="5">
        <f t="shared" si="10"/>
        <v>137.19999999999999</v>
      </c>
      <c r="AA5" s="6">
        <f t="shared" si="18"/>
        <v>1.2328717201166184</v>
      </c>
      <c r="AB5" s="5">
        <f>1.57+1.53+1.55+1.62</f>
        <v>6.2700000000000005</v>
      </c>
      <c r="AC5" s="5">
        <f>-3-3.21-3.29-3.05</f>
        <v>-12.55</v>
      </c>
      <c r="AD5" s="5">
        <f>0.531-1.48+1.83+0.663</f>
        <v>1.544</v>
      </c>
      <c r="AE5" s="5">
        <f t="shared" si="11"/>
        <v>2.984</v>
      </c>
      <c r="AF5" s="5">
        <f t="shared" si="12"/>
        <v>6.7739999999999991</v>
      </c>
      <c r="AG5" s="8">
        <f t="shared" si="13"/>
        <v>2.1749271137026242E-2</v>
      </c>
      <c r="AH5" s="8">
        <f t="shared" si="13"/>
        <v>4.9373177842565598E-2</v>
      </c>
      <c r="AI5" s="3">
        <f t="shared" ref="AI5" si="27">I5/$AE5</f>
        <v>56.685656836461135</v>
      </c>
      <c r="AJ5" s="3">
        <f t="shared" ref="AJ5" si="28">J5/$AE5</f>
        <v>10.067024128686327</v>
      </c>
    </row>
    <row r="6" spans="1:36" x14ac:dyDescent="0.2">
      <c r="A6" t="s">
        <v>43</v>
      </c>
      <c r="B6" t="s">
        <v>44</v>
      </c>
      <c r="C6">
        <v>46.87</v>
      </c>
      <c r="D6">
        <v>1.04</v>
      </c>
      <c r="E6" s="5">
        <f t="shared" si="0"/>
        <v>45.067307692307686</v>
      </c>
      <c r="F6">
        <f>2.47</f>
        <v>2.4700000000000002</v>
      </c>
      <c r="G6">
        <f>5.25+59.74</f>
        <v>64.990000000000009</v>
      </c>
      <c r="H6" s="8">
        <f t="shared" si="1"/>
        <v>3.8005847053392827E-2</v>
      </c>
      <c r="I6" s="5">
        <f t="shared" si="2"/>
        <v>109.39000000000001</v>
      </c>
      <c r="J6" s="5">
        <f>4.09+4.24+4.24+3.94</f>
        <v>16.510000000000002</v>
      </c>
      <c r="K6" s="5">
        <f>1.85+2.14+2.03+1.8</f>
        <v>7.8199999999999994</v>
      </c>
      <c r="L6" s="5">
        <f>1.62+1.91+1.8+1.58</f>
        <v>6.91</v>
      </c>
      <c r="M6" s="5">
        <f>1.15+1.4+1.62-0.173</f>
        <v>3.9969999999999999</v>
      </c>
      <c r="N6" s="5">
        <f>1.66+2.04+1.86+1.82</f>
        <v>7.3800000000000008</v>
      </c>
      <c r="O6" s="7">
        <f t="shared" si="3"/>
        <v>0.47365233192004835</v>
      </c>
      <c r="P6" s="7">
        <f t="shared" ref="P6" si="29">L6/$J6</f>
        <v>0.41853422168382798</v>
      </c>
      <c r="Q6" s="7">
        <f t="shared" ref="Q6" si="30">M6/$J6</f>
        <v>0.24209569957601451</v>
      </c>
      <c r="R6" s="7">
        <f t="shared" ref="R6" si="31">N6/$J6</f>
        <v>0.44700181708055725</v>
      </c>
      <c r="S6" s="3">
        <f t="shared" si="5"/>
        <v>6.6256814052089643</v>
      </c>
      <c r="T6" s="3">
        <f t="shared" si="17"/>
        <v>13.988491048593353</v>
      </c>
      <c r="U6" s="3">
        <f t="shared" si="17"/>
        <v>15.830680173661362</v>
      </c>
      <c r="V6" s="3">
        <f t="shared" si="17"/>
        <v>27.368026019514641</v>
      </c>
      <c r="W6" s="3">
        <f t="shared" si="9"/>
        <v>11.72629472104078</v>
      </c>
      <c r="X6" s="4">
        <f>86+12.99</f>
        <v>98.99</v>
      </c>
      <c r="Y6" s="5">
        <f>10.46-2.47-13.8</f>
        <v>-5.8100000000000005</v>
      </c>
      <c r="Z6" s="5">
        <f t="shared" si="10"/>
        <v>93.179999999999993</v>
      </c>
      <c r="AA6" s="6">
        <f t="shared" ref="AA6" si="32">I6/Z6</f>
        <v>1.1739643700364888</v>
      </c>
      <c r="AB6" s="5">
        <f>0.717+0.719+0.717+0.69</f>
        <v>2.843</v>
      </c>
      <c r="AC6" s="5">
        <f>-1.35-1.6-2.08-2.06</f>
        <v>-7.09</v>
      </c>
      <c r="AD6" s="5">
        <f>-0.172-0.344+0.222+0.102</f>
        <v>-0.19200000000000006</v>
      </c>
      <c r="AE6" s="5">
        <f t="shared" si="11"/>
        <v>2.4710000000000001</v>
      </c>
      <c r="AF6" s="5">
        <f t="shared" si="12"/>
        <v>2.9410000000000007</v>
      </c>
      <c r="AG6" s="8">
        <f t="shared" si="13"/>
        <v>2.6518566215926166E-2</v>
      </c>
      <c r="AH6" s="8">
        <f t="shared" si="13"/>
        <v>3.1562567074479513E-2</v>
      </c>
      <c r="AI6" s="3">
        <f t="shared" ref="AI6" si="33">I6/$AE6</f>
        <v>44.269526507486852</v>
      </c>
      <c r="AJ6" s="3">
        <f t="shared" ref="AJ6" si="34">J6/$AE6</f>
        <v>6.6815054633751521</v>
      </c>
    </row>
    <row r="7" spans="1:36" x14ac:dyDescent="0.2">
      <c r="A7" t="s">
        <v>45</v>
      </c>
      <c r="B7" t="s">
        <v>46</v>
      </c>
      <c r="C7">
        <v>39.619999999999997</v>
      </c>
      <c r="D7">
        <v>1</v>
      </c>
      <c r="E7" s="5">
        <f t="shared" si="0"/>
        <v>39.619999999999997</v>
      </c>
      <c r="F7">
        <f>0.934+0.53+0.27</f>
        <v>1.734</v>
      </c>
      <c r="G7">
        <f>2.76+43.43</f>
        <v>46.19</v>
      </c>
      <c r="H7" s="8">
        <f t="shared" si="1"/>
        <v>3.7540593201991775E-2</v>
      </c>
      <c r="I7" s="5">
        <f t="shared" si="2"/>
        <v>84.076000000000008</v>
      </c>
      <c r="J7" s="5">
        <f>5.36+6.04+5.37+5.98</f>
        <v>22.75</v>
      </c>
      <c r="K7" s="5">
        <f>2.16+2.36+2.32+2.4</f>
        <v>9.24</v>
      </c>
      <c r="L7" s="5">
        <f>0.906+1.11+1.08+1.12</f>
        <v>4.2160000000000002</v>
      </c>
      <c r="M7" s="5">
        <f>0.448+0.658+0.617+0.7</f>
        <v>2.423</v>
      </c>
      <c r="N7" s="5">
        <f>1.46+0.992+1.41+1.53</f>
        <v>5.3920000000000003</v>
      </c>
      <c r="O7" s="7">
        <f t="shared" si="3"/>
        <v>0.40615384615384614</v>
      </c>
      <c r="P7" s="7">
        <f t="shared" ref="P7" si="35">L7/$J7</f>
        <v>0.18531868131868132</v>
      </c>
      <c r="Q7" s="7">
        <f t="shared" ref="Q7" si="36">M7/$J7</f>
        <v>0.10650549450549451</v>
      </c>
      <c r="R7" s="7">
        <f t="shared" ref="R7" si="37">N7/$J7</f>
        <v>0.23701098901098902</v>
      </c>
      <c r="S7" s="3">
        <f t="shared" si="5"/>
        <v>3.695648351648352</v>
      </c>
      <c r="T7" s="3">
        <f t="shared" si="17"/>
        <v>9.0991341991342001</v>
      </c>
      <c r="U7" s="3">
        <f t="shared" si="17"/>
        <v>19.94212523719165</v>
      </c>
      <c r="V7" s="3">
        <f t="shared" si="17"/>
        <v>34.699133305819238</v>
      </c>
      <c r="W7" s="3">
        <f t="shared" si="9"/>
        <v>16.35163021048287</v>
      </c>
      <c r="X7" s="5">
        <f>6.63+75.65</f>
        <v>82.28</v>
      </c>
      <c r="Y7" s="5">
        <f>8.56-0.934-0.53-8.28</f>
        <v>-1.1839999999999993</v>
      </c>
      <c r="Z7" s="5">
        <f t="shared" si="10"/>
        <v>81.096000000000004</v>
      </c>
      <c r="AA7" s="6">
        <f t="shared" ref="AA7" si="38">I7/Z7</f>
        <v>1.036746571964092</v>
      </c>
      <c r="AB7" s="5">
        <f>0.894+0.88+0.707+0.352</f>
        <v>2.8329999999999997</v>
      </c>
      <c r="AC7" s="5">
        <f>-1.7-1.77-1.86-1.86</f>
        <v>-7.19</v>
      </c>
      <c r="AD7" s="5">
        <f>-0.097-0.526-0.103-0.167</f>
        <v>-0.89300000000000002</v>
      </c>
      <c r="AE7" s="5">
        <f t="shared" si="11"/>
        <v>-1.0340000000000007</v>
      </c>
      <c r="AF7" s="5">
        <f t="shared" si="12"/>
        <v>0.14199999999999946</v>
      </c>
      <c r="AG7" s="8">
        <f t="shared" si="13"/>
        <v>-1.2750320607674863E-2</v>
      </c>
      <c r="AH7" s="8">
        <f t="shared" si="13"/>
        <v>1.7510111472822266E-3</v>
      </c>
      <c r="AI7" s="3">
        <f t="shared" ref="AI7" si="39">I7/$AE7</f>
        <v>-81.311411992263004</v>
      </c>
      <c r="AJ7" s="3">
        <f t="shared" ref="AJ7" si="40">J7/$AE7</f>
        <v>-22.001934235976773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 Utilities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Janc, Maja</dc:creator>
  <cp:lastModifiedBy>Janc, Maja</cp:lastModifiedBy>
  <dcterms:created xsi:type="dcterms:W3CDTF">2024-10-10T15:12:14Z</dcterms:created>
  <dcterms:modified xsi:type="dcterms:W3CDTF">2024-10-14T15:08:18Z</dcterms:modified>
</cp:coreProperties>
</file>