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"/>
    </mc:Choice>
  </mc:AlternateContent>
  <xr:revisionPtr revIDLastSave="0" documentId="13_ncr:1_{E7F8D15C-6709-5E4C-A4DF-D87CB167E579}" xr6:coauthVersionLast="47" xr6:coauthVersionMax="47" xr10:uidLastSave="{00000000-0000-0000-0000-000000000000}"/>
  <bookViews>
    <workbookView xWindow="13400" yWindow="500" windowWidth="15400" windowHeight="16020" activeTab="2" xr2:uid="{90A33E96-3D14-F540-805A-FCAE5AADAF3C}"/>
  </bookViews>
  <sheets>
    <sheet name="Valuation" sheetId="4" r:id="rId1"/>
    <sheet name="Balance Sheet" sheetId="1" r:id="rId2"/>
    <sheet name="Statement of Operations" sheetId="2" r:id="rId3"/>
    <sheet name="Statement of Cashflo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22" i="4"/>
  <c r="C22" i="4"/>
  <c r="D70" i="4"/>
  <c r="E70" i="4"/>
  <c r="F70" i="4"/>
  <c r="C70" i="4"/>
  <c r="F78" i="4"/>
  <c r="C78" i="4"/>
  <c r="D85" i="4"/>
  <c r="E85" i="4"/>
  <c r="F85" i="4"/>
  <c r="C85" i="4"/>
  <c r="D92" i="4"/>
  <c r="E92" i="4"/>
  <c r="F92" i="4"/>
  <c r="C92" i="4"/>
  <c r="C106" i="4"/>
  <c r="D106" i="4"/>
  <c r="E106" i="4"/>
  <c r="F106" i="4"/>
  <c r="B105" i="4"/>
  <c r="C76" i="4"/>
  <c r="D76" i="4"/>
  <c r="D78" i="4" s="1"/>
  <c r="E76" i="4"/>
  <c r="E78" i="4" s="1"/>
  <c r="F76" i="4"/>
  <c r="B76" i="4"/>
  <c r="B77" i="4" s="1"/>
  <c r="B87" i="4"/>
  <c r="C89" i="4" s="1"/>
  <c r="C87" i="4"/>
  <c r="C84" i="4" s="1"/>
  <c r="D87" i="4"/>
  <c r="D89" i="4" s="1"/>
  <c r="F87" i="4"/>
  <c r="F84" i="4" s="1"/>
  <c r="E87" i="4"/>
  <c r="E84" i="4" s="1"/>
  <c r="C95" i="4"/>
  <c r="C88" i="4" s="1"/>
  <c r="D95" i="4"/>
  <c r="D88" i="4" s="1"/>
  <c r="B69" i="4"/>
  <c r="G34" i="4"/>
  <c r="G35" i="4"/>
  <c r="F34" i="4"/>
  <c r="G24" i="4"/>
  <c r="G25" i="4"/>
  <c r="G27" i="4"/>
  <c r="G23" i="4"/>
  <c r="F23" i="4"/>
  <c r="G13" i="4"/>
  <c r="G14" i="4"/>
  <c r="G15" i="4"/>
  <c r="G16" i="4"/>
  <c r="G12" i="4"/>
  <c r="F12" i="4"/>
  <c r="G6" i="4"/>
  <c r="F6" i="4"/>
  <c r="G3" i="4"/>
  <c r="Q17" i="4"/>
  <c r="Q18" i="4" s="1"/>
  <c r="R17" i="4"/>
  <c r="R18" i="4" s="1"/>
  <c r="S17" i="4"/>
  <c r="S18" i="4" s="1"/>
  <c r="T17" i="4"/>
  <c r="T18" i="4" s="1"/>
  <c r="Q9" i="4"/>
  <c r="R9" i="4"/>
  <c r="R20" i="4" s="1"/>
  <c r="S9" i="4"/>
  <c r="T9" i="4"/>
  <c r="Q8" i="4"/>
  <c r="R8" i="4"/>
  <c r="S8" i="4"/>
  <c r="T8" i="4"/>
  <c r="Q7" i="4"/>
  <c r="R7" i="4"/>
  <c r="S7" i="4"/>
  <c r="T7" i="4"/>
  <c r="Q4" i="4"/>
  <c r="R4" i="4"/>
  <c r="S4" i="4"/>
  <c r="T4" i="4"/>
  <c r="P17" i="4"/>
  <c r="P18" i="4" s="1"/>
  <c r="F24" i="4"/>
  <c r="E24" i="4"/>
  <c r="D4" i="4"/>
  <c r="C4" i="4"/>
  <c r="N4" i="4"/>
  <c r="O4" i="4"/>
  <c r="P4" i="4"/>
  <c r="M4" i="4"/>
  <c r="D8" i="4"/>
  <c r="C8" i="4"/>
  <c r="N8" i="4"/>
  <c r="O8" i="4"/>
  <c r="P8" i="4"/>
  <c r="M8" i="4"/>
  <c r="E25" i="4"/>
  <c r="E27" i="4"/>
  <c r="E23" i="4"/>
  <c r="E13" i="4"/>
  <c r="E14" i="4"/>
  <c r="E15" i="4"/>
  <c r="E16" i="4"/>
  <c r="E12" i="4"/>
  <c r="E6" i="4"/>
  <c r="E8" i="4" s="1"/>
  <c r="E3" i="4"/>
  <c r="E4" i="4" s="1"/>
  <c r="L17" i="4"/>
  <c r="L18" i="4" s="1"/>
  <c r="L9" i="4"/>
  <c r="L10" i="4" s="1"/>
  <c r="L7" i="4"/>
  <c r="F25" i="4"/>
  <c r="F27" i="4"/>
  <c r="F13" i="4"/>
  <c r="F14" i="4"/>
  <c r="F15" i="4"/>
  <c r="F16" i="4"/>
  <c r="F3" i="4"/>
  <c r="I17" i="4"/>
  <c r="I18" i="4" s="1"/>
  <c r="J17" i="4"/>
  <c r="K17" i="4"/>
  <c r="K18" i="4" s="1"/>
  <c r="M17" i="4"/>
  <c r="N17" i="4"/>
  <c r="N18" i="4" s="1"/>
  <c r="O17" i="4"/>
  <c r="O18" i="4" s="1"/>
  <c r="P9" i="4"/>
  <c r="I9" i="4"/>
  <c r="I10" i="4" s="1"/>
  <c r="J9" i="4"/>
  <c r="K9" i="4"/>
  <c r="K10" i="4" s="1"/>
  <c r="M9" i="4"/>
  <c r="M10" i="4" s="1"/>
  <c r="N9" i="4"/>
  <c r="O9" i="4"/>
  <c r="O10" i="4" s="1"/>
  <c r="P7" i="4"/>
  <c r="I7" i="4"/>
  <c r="J7" i="4"/>
  <c r="K7" i="4"/>
  <c r="M7" i="4"/>
  <c r="N7" i="4"/>
  <c r="O7" i="4"/>
  <c r="S18" i="2"/>
  <c r="S19" i="2"/>
  <c r="S20" i="2"/>
  <c r="S21" i="2"/>
  <c r="S24" i="2" s="1"/>
  <c r="S22" i="2"/>
  <c r="S23" i="2" s="1"/>
  <c r="R19" i="2"/>
  <c r="R20" i="2"/>
  <c r="R21" i="2"/>
  <c r="R22" i="2"/>
  <c r="R23" i="2" s="1"/>
  <c r="R18" i="2"/>
  <c r="S10" i="2"/>
  <c r="S11" i="2"/>
  <c r="S12" i="2"/>
  <c r="S13" i="2"/>
  <c r="S14" i="2"/>
  <c r="S15" i="2"/>
  <c r="S16" i="2"/>
  <c r="R11" i="2"/>
  <c r="R12" i="2"/>
  <c r="R13" i="2"/>
  <c r="R14" i="2"/>
  <c r="R15" i="2"/>
  <c r="R16" i="2"/>
  <c r="R10" i="2"/>
  <c r="S4" i="2"/>
  <c r="S7" i="2" s="1"/>
  <c r="S6" i="2"/>
  <c r="R6" i="2"/>
  <c r="R4" i="2"/>
  <c r="R17" i="2" s="1"/>
  <c r="M24" i="2"/>
  <c r="L24" i="2"/>
  <c r="M23" i="2"/>
  <c r="L23" i="2"/>
  <c r="M17" i="2"/>
  <c r="L17" i="2"/>
  <c r="L9" i="2"/>
  <c r="M8" i="2"/>
  <c r="M9" i="2" s="1"/>
  <c r="L8" i="2"/>
  <c r="M7" i="2"/>
  <c r="L7" i="2"/>
  <c r="P4" i="2"/>
  <c r="P8" i="2" s="1"/>
  <c r="P9" i="2" s="1"/>
  <c r="P6" i="2"/>
  <c r="P7" i="2" s="1"/>
  <c r="P10" i="2"/>
  <c r="P11" i="2"/>
  <c r="P12" i="2"/>
  <c r="P13" i="2"/>
  <c r="P14" i="2"/>
  <c r="P15" i="2"/>
  <c r="P16" i="2"/>
  <c r="P17" i="2" s="1"/>
  <c r="P18" i="2"/>
  <c r="P19" i="2"/>
  <c r="P20" i="2"/>
  <c r="P21" i="2"/>
  <c r="P23" i="2" s="1"/>
  <c r="P22" i="2"/>
  <c r="O10" i="2"/>
  <c r="O11" i="2"/>
  <c r="O12" i="2"/>
  <c r="O13" i="2"/>
  <c r="O14" i="2"/>
  <c r="O15" i="2"/>
  <c r="O16" i="2"/>
  <c r="O17" i="2" s="1"/>
  <c r="O18" i="2"/>
  <c r="O19" i="2"/>
  <c r="O20" i="2"/>
  <c r="O21" i="2"/>
  <c r="O24" i="2" s="1"/>
  <c r="O22" i="2"/>
  <c r="O6" i="2"/>
  <c r="O7" i="2" s="1"/>
  <c r="O4" i="2"/>
  <c r="O8" i="2" s="1"/>
  <c r="O9" i="2" s="1"/>
  <c r="K24" i="2"/>
  <c r="J24" i="2"/>
  <c r="K23" i="2"/>
  <c r="J23" i="2"/>
  <c r="K17" i="2"/>
  <c r="J17" i="2"/>
  <c r="K9" i="2"/>
  <c r="K8" i="2"/>
  <c r="J8" i="2"/>
  <c r="J9" i="2" s="1"/>
  <c r="K7" i="2"/>
  <c r="J7" i="2"/>
  <c r="F23" i="2"/>
  <c r="G23" i="2"/>
  <c r="H23" i="2"/>
  <c r="N7" i="2"/>
  <c r="Q7" i="2"/>
  <c r="N8" i="2"/>
  <c r="N9" i="2" s="1"/>
  <c r="Q8" i="2"/>
  <c r="S8" i="2"/>
  <c r="S9" i="2" s="1"/>
  <c r="Q9" i="2"/>
  <c r="N17" i="2"/>
  <c r="Q17" i="2"/>
  <c r="N23" i="2"/>
  <c r="Q23" i="2"/>
  <c r="N24" i="2"/>
  <c r="Q24" i="2"/>
  <c r="C9" i="4"/>
  <c r="C10" i="4" s="1"/>
  <c r="D9" i="4"/>
  <c r="D10" i="4" s="1"/>
  <c r="B9" i="4"/>
  <c r="B10" i="4" s="1"/>
  <c r="C17" i="4"/>
  <c r="D17" i="4"/>
  <c r="D18" i="4" s="1"/>
  <c r="B17" i="4"/>
  <c r="B18" i="4" s="1"/>
  <c r="C121" i="4"/>
  <c r="D121" i="4"/>
  <c r="E121" i="4"/>
  <c r="F121" i="4"/>
  <c r="C122" i="4"/>
  <c r="D122" i="4"/>
  <c r="E122" i="4"/>
  <c r="F122" i="4"/>
  <c r="B122" i="4"/>
  <c r="B121" i="4"/>
  <c r="D68" i="4"/>
  <c r="D79" i="4" s="1"/>
  <c r="D105" i="4" s="1"/>
  <c r="E68" i="4"/>
  <c r="E79" i="4" s="1"/>
  <c r="E105" i="4" s="1"/>
  <c r="F68" i="4"/>
  <c r="F79" i="4" s="1"/>
  <c r="F105" i="4" s="1"/>
  <c r="C68" i="4"/>
  <c r="C79" i="4" s="1"/>
  <c r="C105" i="4" s="1"/>
  <c r="D133" i="4"/>
  <c r="E133" i="4"/>
  <c r="F133" i="4"/>
  <c r="D132" i="4"/>
  <c r="E132" i="4"/>
  <c r="F132" i="4"/>
  <c r="D54" i="4"/>
  <c r="E54" i="4"/>
  <c r="F54" i="4"/>
  <c r="C53" i="4"/>
  <c r="D53" i="4"/>
  <c r="E53" i="4"/>
  <c r="F53" i="4"/>
  <c r="E52" i="4"/>
  <c r="F52" i="4"/>
  <c r="D52" i="4"/>
  <c r="D51" i="4"/>
  <c r="E51" i="4"/>
  <c r="F51" i="4"/>
  <c r="D50" i="4"/>
  <c r="E50" i="4"/>
  <c r="F50" i="4"/>
  <c r="C7" i="4"/>
  <c r="D7" i="4"/>
  <c r="B7" i="4"/>
  <c r="D44" i="4"/>
  <c r="E44" i="4"/>
  <c r="E20" i="3"/>
  <c r="C44" i="4" s="1"/>
  <c r="F20" i="3"/>
  <c r="F21" i="3" s="1"/>
  <c r="G20" i="3"/>
  <c r="G21" i="3" s="1"/>
  <c r="H20" i="3"/>
  <c r="H21" i="3" s="1"/>
  <c r="D43" i="4"/>
  <c r="E43" i="4"/>
  <c r="F43" i="4"/>
  <c r="D42" i="4"/>
  <c r="E42" i="4"/>
  <c r="F42" i="4"/>
  <c r="D41" i="4"/>
  <c r="E41" i="4"/>
  <c r="F41" i="4"/>
  <c r="D6" i="3"/>
  <c r="B41" i="4" s="1"/>
  <c r="E6" i="3"/>
  <c r="C41" i="4" s="1"/>
  <c r="D7" i="3"/>
  <c r="E7" i="3"/>
  <c r="D8" i="3"/>
  <c r="B42" i="4" s="1"/>
  <c r="E8" i="3"/>
  <c r="C42" i="4" s="1"/>
  <c r="D9" i="3"/>
  <c r="E9" i="3"/>
  <c r="D10" i="3"/>
  <c r="E10" i="3"/>
  <c r="D11" i="3"/>
  <c r="E11" i="3"/>
  <c r="D13" i="3"/>
  <c r="E13" i="3"/>
  <c r="D14" i="3"/>
  <c r="D20" i="3" s="1"/>
  <c r="E14" i="3"/>
  <c r="D15" i="3"/>
  <c r="E15" i="3"/>
  <c r="D16" i="3"/>
  <c r="E16" i="3"/>
  <c r="D17" i="3"/>
  <c r="E17" i="3"/>
  <c r="D18" i="3"/>
  <c r="E18" i="3"/>
  <c r="D19" i="3"/>
  <c r="E19" i="3"/>
  <c r="D23" i="3"/>
  <c r="B53" i="4" s="1"/>
  <c r="E23" i="3"/>
  <c r="D25" i="3"/>
  <c r="E25" i="3"/>
  <c r="D26" i="3"/>
  <c r="B50" i="4" s="1"/>
  <c r="E26" i="3"/>
  <c r="C50" i="4" s="1"/>
  <c r="D28" i="3"/>
  <c r="E28" i="3"/>
  <c r="D30" i="3"/>
  <c r="E30" i="3"/>
  <c r="D31" i="3"/>
  <c r="E31" i="3"/>
  <c r="D32" i="3"/>
  <c r="B52" i="4" s="1"/>
  <c r="E32" i="3"/>
  <c r="C52" i="4" s="1"/>
  <c r="D33" i="3"/>
  <c r="E33" i="3"/>
  <c r="D34" i="3"/>
  <c r="E34" i="3"/>
  <c r="D35" i="3"/>
  <c r="E35" i="3"/>
  <c r="D36" i="3"/>
  <c r="E36" i="3"/>
  <c r="D37" i="3"/>
  <c r="E37" i="3"/>
  <c r="D38" i="3"/>
  <c r="B51" i="4" s="1"/>
  <c r="E38" i="3"/>
  <c r="C51" i="4" s="1"/>
  <c r="D39" i="3"/>
  <c r="E39" i="3"/>
  <c r="D40" i="3"/>
  <c r="B54" i="4" s="1"/>
  <c r="E40" i="3"/>
  <c r="C54" i="4" s="1"/>
  <c r="D41" i="3"/>
  <c r="E41" i="3"/>
  <c r="D42" i="3"/>
  <c r="E42" i="3"/>
  <c r="D43" i="3"/>
  <c r="E43" i="3"/>
  <c r="D44" i="3"/>
  <c r="E44" i="3"/>
  <c r="D45" i="3"/>
  <c r="E45" i="3"/>
  <c r="E4" i="3"/>
  <c r="D4" i="3"/>
  <c r="C27" i="3"/>
  <c r="E27" i="3" s="1"/>
  <c r="B27" i="3"/>
  <c r="D27" i="3" s="1"/>
  <c r="B24" i="3"/>
  <c r="D24" i="3" s="1"/>
  <c r="C24" i="3"/>
  <c r="E24" i="3" s="1"/>
  <c r="F89" i="4" l="1"/>
  <c r="D96" i="4"/>
  <c r="E89" i="4"/>
  <c r="C96" i="4"/>
  <c r="D97" i="4"/>
  <c r="D91" i="4"/>
  <c r="F77" i="4"/>
  <c r="C91" i="4"/>
  <c r="D77" i="4"/>
  <c r="E77" i="4"/>
  <c r="C77" i="4"/>
  <c r="G9" i="4"/>
  <c r="G10" i="4" s="1"/>
  <c r="F69" i="4"/>
  <c r="D119" i="4"/>
  <c r="D123" i="4" s="1"/>
  <c r="D135" i="4" s="1"/>
  <c r="D84" i="4"/>
  <c r="C119" i="4"/>
  <c r="C123" i="4" s="1"/>
  <c r="B84" i="4"/>
  <c r="B95" i="4"/>
  <c r="B119" i="4"/>
  <c r="B123" i="4" s="1"/>
  <c r="B135" i="4" s="1"/>
  <c r="G8" i="4"/>
  <c r="E69" i="4"/>
  <c r="D69" i="4"/>
  <c r="C69" i="4"/>
  <c r="G7" i="4"/>
  <c r="G4" i="4"/>
  <c r="D20" i="4"/>
  <c r="C20" i="4"/>
  <c r="G17" i="4"/>
  <c r="S20" i="4"/>
  <c r="S21" i="4" s="1"/>
  <c r="Q20" i="4"/>
  <c r="Q21" i="4" s="1"/>
  <c r="C19" i="4"/>
  <c r="N20" i="4"/>
  <c r="N26" i="4" s="1"/>
  <c r="M19" i="4"/>
  <c r="T20" i="4"/>
  <c r="T21" i="4" s="1"/>
  <c r="P11" i="4"/>
  <c r="N19" i="4"/>
  <c r="R26" i="4"/>
  <c r="R21" i="4"/>
  <c r="D19" i="4"/>
  <c r="Q11" i="4"/>
  <c r="J20" i="4"/>
  <c r="M18" i="4"/>
  <c r="T10" i="4"/>
  <c r="T11" i="4"/>
  <c r="T19" i="4"/>
  <c r="J18" i="4"/>
  <c r="Q10" i="4"/>
  <c r="F4" i="4"/>
  <c r="C18" i="4"/>
  <c r="O19" i="4"/>
  <c r="S10" i="4"/>
  <c r="S11" i="4"/>
  <c r="S19" i="4"/>
  <c r="Q19" i="4"/>
  <c r="F8" i="4"/>
  <c r="R10" i="4"/>
  <c r="R11" i="4"/>
  <c r="R19" i="4"/>
  <c r="P19" i="4"/>
  <c r="M11" i="4"/>
  <c r="C11" i="4"/>
  <c r="O11" i="4"/>
  <c r="D11" i="4"/>
  <c r="N11" i="4"/>
  <c r="E17" i="4"/>
  <c r="E9" i="4"/>
  <c r="N10" i="4"/>
  <c r="P20" i="4"/>
  <c r="L20" i="4"/>
  <c r="F7" i="4"/>
  <c r="F17" i="4"/>
  <c r="I20" i="4"/>
  <c r="P10" i="4"/>
  <c r="M20" i="4"/>
  <c r="E7" i="4"/>
  <c r="F9" i="4"/>
  <c r="J21" i="4"/>
  <c r="J10" i="4"/>
  <c r="K20" i="4"/>
  <c r="O20" i="4"/>
  <c r="R24" i="2"/>
  <c r="S17" i="2"/>
  <c r="R8" i="2"/>
  <c r="R9" i="2" s="1"/>
  <c r="R7" i="2"/>
  <c r="P24" i="2"/>
  <c r="O23" i="2"/>
  <c r="B20" i="4"/>
  <c r="B44" i="4"/>
  <c r="F44" i="4"/>
  <c r="F134" i="4"/>
  <c r="E134" i="4"/>
  <c r="D134" i="4"/>
  <c r="E55" i="4"/>
  <c r="B55" i="4"/>
  <c r="C55" i="4"/>
  <c r="D55" i="4"/>
  <c r="F55" i="4"/>
  <c r="B96" i="4" l="1"/>
  <c r="C97" i="4"/>
  <c r="B88" i="4"/>
  <c r="B91" i="4"/>
  <c r="S26" i="4"/>
  <c r="S29" i="4" s="1"/>
  <c r="G20" i="4"/>
  <c r="G21" i="4" s="1"/>
  <c r="S22" i="4"/>
  <c r="Q22" i="4"/>
  <c r="E20" i="4"/>
  <c r="E22" i="4" s="1"/>
  <c r="F20" i="4"/>
  <c r="G22" i="4" s="1"/>
  <c r="G11" i="4"/>
  <c r="G19" i="4"/>
  <c r="G18" i="4"/>
  <c r="Q26" i="4"/>
  <c r="R22" i="4"/>
  <c r="F11" i="4"/>
  <c r="N21" i="4"/>
  <c r="N22" i="4"/>
  <c r="J26" i="4"/>
  <c r="J28" i="4" s="1"/>
  <c r="T26" i="4"/>
  <c r="T28" i="4" s="1"/>
  <c r="E19" i="4"/>
  <c r="E18" i="4"/>
  <c r="N29" i="4"/>
  <c r="N28" i="4"/>
  <c r="P22" i="4"/>
  <c r="P26" i="4"/>
  <c r="P28" i="4" s="1"/>
  <c r="R29" i="4"/>
  <c r="R28" i="4"/>
  <c r="T22" i="4"/>
  <c r="F18" i="4"/>
  <c r="F19" i="4"/>
  <c r="E10" i="4"/>
  <c r="E11" i="4"/>
  <c r="M22" i="4"/>
  <c r="O22" i="4"/>
  <c r="D21" i="4"/>
  <c r="M26" i="4"/>
  <c r="P21" i="4"/>
  <c r="L26" i="4"/>
  <c r="L21" i="4"/>
  <c r="I21" i="4"/>
  <c r="I26" i="4"/>
  <c r="I28" i="4" s="1"/>
  <c r="M21" i="4"/>
  <c r="F10" i="4"/>
  <c r="O26" i="4"/>
  <c r="O21" i="4"/>
  <c r="C21" i="4"/>
  <c r="C26" i="4"/>
  <c r="K26" i="4"/>
  <c r="K21" i="4"/>
  <c r="B21" i="4"/>
  <c r="B26" i="4"/>
  <c r="B28" i="4" s="1"/>
  <c r="D111" i="4"/>
  <c r="D26" i="4"/>
  <c r="D136" i="4"/>
  <c r="D137" i="4" s="1"/>
  <c r="C111" i="4"/>
  <c r="C124" i="4"/>
  <c r="C136" i="4"/>
  <c r="C137" i="4" s="1"/>
  <c r="B136" i="4"/>
  <c r="B137" i="4" s="1"/>
  <c r="B111" i="4"/>
  <c r="D124" i="4"/>
  <c r="D140" i="4"/>
  <c r="C135" i="4"/>
  <c r="S28" i="4" l="1"/>
  <c r="J29" i="4"/>
  <c r="N31" i="4" s="1"/>
  <c r="Q28" i="4"/>
  <c r="G26" i="4"/>
  <c r="S33" i="4"/>
  <c r="S32" i="4"/>
  <c r="N33" i="4"/>
  <c r="N32" i="4"/>
  <c r="Q29" i="4"/>
  <c r="Q30" i="4" s="1"/>
  <c r="R33" i="4"/>
  <c r="R32" i="4"/>
  <c r="N30" i="4"/>
  <c r="F22" i="4"/>
  <c r="P29" i="4"/>
  <c r="T29" i="4"/>
  <c r="T30" i="4" s="1"/>
  <c r="K29" i="4"/>
  <c r="K28" i="4"/>
  <c r="O29" i="4"/>
  <c r="O28" i="4"/>
  <c r="R31" i="4"/>
  <c r="R30" i="4"/>
  <c r="L29" i="4"/>
  <c r="L28" i="4"/>
  <c r="M29" i="4"/>
  <c r="M28" i="4"/>
  <c r="S30" i="4"/>
  <c r="F111" i="4"/>
  <c r="E111" i="4"/>
  <c r="E21" i="4"/>
  <c r="E136" i="4"/>
  <c r="E137" i="4" s="1"/>
  <c r="E138" i="4" s="1"/>
  <c r="E26" i="4"/>
  <c r="E29" i="4" s="1"/>
  <c r="I29" i="4"/>
  <c r="F26" i="4"/>
  <c r="D138" i="4"/>
  <c r="D139" i="4"/>
  <c r="F136" i="4"/>
  <c r="F21" i="4"/>
  <c r="C29" i="4"/>
  <c r="C28" i="4"/>
  <c r="C112" i="4" s="1"/>
  <c r="C113" i="4" s="1"/>
  <c r="C114" i="4" s="1"/>
  <c r="B29" i="4"/>
  <c r="B112" i="4"/>
  <c r="B113" i="4" s="1"/>
  <c r="B114" i="4" s="1"/>
  <c r="D29" i="4"/>
  <c r="D28" i="4"/>
  <c r="D112" i="4" s="1"/>
  <c r="D113" i="4" s="1"/>
  <c r="D114" i="4" s="1"/>
  <c r="D115" i="4" s="1"/>
  <c r="C138" i="4"/>
  <c r="F7" i="2"/>
  <c r="G7" i="2"/>
  <c r="H7" i="2"/>
  <c r="F15" i="2"/>
  <c r="G15" i="2"/>
  <c r="H15" i="2"/>
  <c r="F8" i="2"/>
  <c r="G8" i="2"/>
  <c r="G9" i="2" s="1"/>
  <c r="H8" i="2"/>
  <c r="B12" i="3"/>
  <c r="D12" i="3" s="1"/>
  <c r="C12" i="3"/>
  <c r="E12" i="3" s="1"/>
  <c r="D30" i="2"/>
  <c r="B133" i="4" s="1"/>
  <c r="E30" i="2"/>
  <c r="C133" i="4" s="1"/>
  <c r="E29" i="2"/>
  <c r="D29" i="2"/>
  <c r="D27" i="2"/>
  <c r="E27" i="2"/>
  <c r="E26" i="2"/>
  <c r="D26" i="2"/>
  <c r="D6" i="2"/>
  <c r="E6" i="2"/>
  <c r="D10" i="2"/>
  <c r="E10" i="2"/>
  <c r="D11" i="2"/>
  <c r="E11" i="2"/>
  <c r="D12" i="2"/>
  <c r="E12" i="2"/>
  <c r="D13" i="2"/>
  <c r="E13" i="2"/>
  <c r="D14" i="2"/>
  <c r="E14" i="2"/>
  <c r="D18" i="2"/>
  <c r="E18" i="2"/>
  <c r="D19" i="2"/>
  <c r="E19" i="2"/>
  <c r="D20" i="2"/>
  <c r="E20" i="2"/>
  <c r="D21" i="2"/>
  <c r="E21" i="2"/>
  <c r="D22" i="2"/>
  <c r="E22" i="2"/>
  <c r="D24" i="2"/>
  <c r="E24" i="2"/>
  <c r="E4" i="2"/>
  <c r="D4" i="2"/>
  <c r="D8" i="2" s="1"/>
  <c r="D9" i="2" s="1"/>
  <c r="E3" i="1"/>
  <c r="E4" i="1"/>
  <c r="E5" i="1"/>
  <c r="E6" i="1"/>
  <c r="E7" i="1"/>
  <c r="E8" i="1"/>
  <c r="E9" i="1"/>
  <c r="E11" i="1"/>
  <c r="E12" i="1"/>
  <c r="E13" i="1"/>
  <c r="E15" i="1"/>
  <c r="E17" i="1"/>
  <c r="E19" i="1"/>
  <c r="E20" i="1"/>
  <c r="E21" i="1"/>
  <c r="E23" i="1"/>
  <c r="E24" i="1"/>
  <c r="E25" i="1"/>
  <c r="E27" i="1"/>
  <c r="E28" i="1"/>
  <c r="E29" i="1"/>
  <c r="E30" i="1"/>
  <c r="E31" i="1"/>
  <c r="E32" i="1"/>
  <c r="E33" i="1"/>
  <c r="E34" i="1"/>
  <c r="D4" i="1"/>
  <c r="D5" i="1"/>
  <c r="D6" i="1"/>
  <c r="D7" i="1"/>
  <c r="D8" i="1"/>
  <c r="D9" i="1"/>
  <c r="D11" i="1"/>
  <c r="D12" i="1"/>
  <c r="D13" i="1"/>
  <c r="D15" i="1"/>
  <c r="D17" i="1"/>
  <c r="D19" i="1"/>
  <c r="D20" i="1"/>
  <c r="D21" i="1"/>
  <c r="D23" i="1"/>
  <c r="D24" i="1"/>
  <c r="D25" i="1"/>
  <c r="D27" i="1"/>
  <c r="D28" i="1"/>
  <c r="D29" i="1"/>
  <c r="D30" i="1"/>
  <c r="D31" i="1"/>
  <c r="D32" i="1"/>
  <c r="D33" i="1"/>
  <c r="D34" i="1"/>
  <c r="D3" i="1"/>
  <c r="B132" i="4" s="1"/>
  <c r="B14" i="1"/>
  <c r="D14" i="1" s="1"/>
  <c r="C14" i="1"/>
  <c r="E14" i="1" s="1"/>
  <c r="B18" i="1"/>
  <c r="B22" i="1" s="1"/>
  <c r="B26" i="1" s="1"/>
  <c r="D26" i="1" s="1"/>
  <c r="C18" i="1"/>
  <c r="C22" i="1" s="1"/>
  <c r="C26" i="1" s="1"/>
  <c r="E26" i="1" s="1"/>
  <c r="F22" i="1"/>
  <c r="F26" i="1" s="1"/>
  <c r="G22" i="1"/>
  <c r="G26" i="1" s="1"/>
  <c r="F10" i="1"/>
  <c r="F16" i="1" s="1"/>
  <c r="G10" i="1"/>
  <c r="G16" i="1" s="1"/>
  <c r="C126" i="4" l="1"/>
  <c r="C115" i="4"/>
  <c r="J32" i="4"/>
  <c r="J30" i="4"/>
  <c r="J33" i="4"/>
  <c r="G29" i="4"/>
  <c r="G28" i="4"/>
  <c r="T32" i="4"/>
  <c r="T33" i="4"/>
  <c r="B33" i="4"/>
  <c r="B32" i="4"/>
  <c r="I30" i="4"/>
  <c r="I33" i="4"/>
  <c r="I32" i="4"/>
  <c r="Q31" i="4"/>
  <c r="M33" i="4"/>
  <c r="M32" i="4"/>
  <c r="O30" i="4"/>
  <c r="O33" i="4"/>
  <c r="O32" i="4"/>
  <c r="P33" i="4"/>
  <c r="P32" i="4"/>
  <c r="D32" i="4"/>
  <c r="D33" i="4"/>
  <c r="C32" i="4"/>
  <c r="C33" i="4"/>
  <c r="L30" i="4"/>
  <c r="L33" i="4"/>
  <c r="L32" i="4"/>
  <c r="K30" i="4"/>
  <c r="K33" i="4"/>
  <c r="K32" i="4"/>
  <c r="E32" i="4"/>
  <c r="E33" i="4"/>
  <c r="Q33" i="4"/>
  <c r="Q32" i="4"/>
  <c r="T31" i="4"/>
  <c r="S31" i="4"/>
  <c r="O31" i="4"/>
  <c r="P30" i="4"/>
  <c r="M30" i="4"/>
  <c r="P31" i="4"/>
  <c r="M31" i="4"/>
  <c r="E139" i="4"/>
  <c r="D40" i="4"/>
  <c r="D45" i="4" s="1"/>
  <c r="D47" i="4" s="1"/>
  <c r="D48" i="4" s="1"/>
  <c r="D31" i="4"/>
  <c r="D30" i="4"/>
  <c r="C40" i="4"/>
  <c r="C30" i="4"/>
  <c r="C31" i="4"/>
  <c r="E40" i="4"/>
  <c r="E45" i="4" s="1"/>
  <c r="E47" i="4" s="1"/>
  <c r="E48" i="4" s="1"/>
  <c r="E31" i="4"/>
  <c r="E30" i="4"/>
  <c r="B40" i="4"/>
  <c r="B30" i="4"/>
  <c r="E28" i="4"/>
  <c r="E112" i="4" s="1"/>
  <c r="E113" i="4" s="1"/>
  <c r="E114" i="4" s="1"/>
  <c r="E115" i="4" s="1"/>
  <c r="F137" i="4"/>
  <c r="F138" i="4" s="1"/>
  <c r="F139" i="4"/>
  <c r="F28" i="4"/>
  <c r="F112" i="4" s="1"/>
  <c r="F113" i="4" s="1"/>
  <c r="F114" i="4" s="1"/>
  <c r="F29" i="4"/>
  <c r="B126" i="4"/>
  <c r="D126" i="4"/>
  <c r="E23" i="2"/>
  <c r="E7" i="2"/>
  <c r="D23" i="2"/>
  <c r="D7" i="2"/>
  <c r="F16" i="2"/>
  <c r="F17" i="2" s="1"/>
  <c r="C43" i="4"/>
  <c r="E21" i="3"/>
  <c r="C132" i="4"/>
  <c r="C134" i="4" s="1"/>
  <c r="B43" i="4"/>
  <c r="D21" i="3"/>
  <c r="E22" i="1"/>
  <c r="E18" i="1"/>
  <c r="H16" i="2"/>
  <c r="H17" i="2" s="1"/>
  <c r="D22" i="1"/>
  <c r="D18" i="1"/>
  <c r="E8" i="2"/>
  <c r="E9" i="2" s="1"/>
  <c r="B134" i="4"/>
  <c r="D15" i="2"/>
  <c r="D16" i="2" s="1"/>
  <c r="H9" i="2"/>
  <c r="G16" i="2"/>
  <c r="G17" i="2" s="1"/>
  <c r="F9" i="2"/>
  <c r="E15" i="2"/>
  <c r="B10" i="1"/>
  <c r="C10" i="1"/>
  <c r="F115" i="4" l="1"/>
  <c r="G40" i="4"/>
  <c r="G33" i="4"/>
  <c r="G31" i="4"/>
  <c r="G30" i="4"/>
  <c r="G32" i="4"/>
  <c r="D56" i="4"/>
  <c r="F33" i="4"/>
  <c r="F32" i="4"/>
  <c r="C45" i="4"/>
  <c r="C47" i="4" s="1"/>
  <c r="C56" i="4" s="1"/>
  <c r="F40" i="4"/>
  <c r="F45" i="4" s="1"/>
  <c r="F47" i="4" s="1"/>
  <c r="F48" i="4" s="1"/>
  <c r="F31" i="4"/>
  <c r="F30" i="4"/>
  <c r="E56" i="4"/>
  <c r="B45" i="4"/>
  <c r="B47" i="4" s="1"/>
  <c r="B56" i="4" s="1"/>
  <c r="C16" i="1"/>
  <c r="E16" i="1" s="1"/>
  <c r="E10" i="1"/>
  <c r="C139" i="4"/>
  <c r="C140" i="4"/>
  <c r="B16" i="1"/>
  <c r="D16" i="1" s="1"/>
  <c r="D10" i="1"/>
  <c r="E16" i="2"/>
  <c r="E17" i="2" s="1"/>
  <c r="B139" i="4"/>
  <c r="B140" i="4"/>
  <c r="C48" i="4" l="1"/>
  <c r="B48" i="4"/>
  <c r="F56" i="4"/>
  <c r="E119" i="4"/>
  <c r="E123" i="4" s="1"/>
  <c r="E95" i="4"/>
  <c r="F95" i="4"/>
  <c r="F119" i="4"/>
  <c r="F123" i="4" s="1"/>
  <c r="F135" i="4" s="1"/>
  <c r="F140" i="4" s="1"/>
  <c r="E97" i="4" l="1"/>
  <c r="E96" i="4"/>
  <c r="F96" i="4"/>
  <c r="F97" i="4"/>
  <c r="E88" i="4"/>
  <c r="E91" i="4"/>
  <c r="F88" i="4"/>
  <c r="F91" i="4"/>
  <c r="E135" i="4"/>
  <c r="E140" i="4" s="1"/>
  <c r="E124" i="4"/>
  <c r="F126" i="4"/>
  <c r="F124" i="4"/>
  <c r="E126" i="4"/>
</calcChain>
</file>

<file path=xl/sharedStrings.xml><?xml version="1.0" encoding="utf-8"?>
<sst xmlns="http://schemas.openxmlformats.org/spreadsheetml/2006/main" count="298" uniqueCount="158">
  <si>
    <t>Consolidated Balance Sheets - USD ($) $ in Millions</t>
  </si>
  <si>
    <t>Dec. 31, 2023</t>
  </si>
  <si>
    <t>Dec. 31, 2022</t>
  </si>
  <si>
    <t>Current assets:</t>
  </si>
  <si>
    <t> </t>
  </si>
  <si>
    <t>Cash and cash equivalents</t>
  </si>
  <si>
    <t>Short-term investments (including assets reported at fair value of $2,224 and $2,507, respectively)</t>
  </si>
  <si>
    <t>Funds receivable and amounts held on behalf of customers</t>
  </si>
  <si>
    <t>Prepaids and other current assets (including customer receivables of $200 and $249 and allowances of $39 and $44, respectively)</t>
  </si>
  <si>
    <t>Total current assets</t>
  </si>
  <si>
    <t>Deferred Income Tax Assets, Net</t>
  </si>
  <si>
    <t>Intangible Assets, Net (Including Goodwill)</t>
  </si>
  <si>
    <t>Other Assets, Noncurrent</t>
  </si>
  <si>
    <t>Assets, Total</t>
  </si>
  <si>
    <t>Current liabilities:</t>
  </si>
  <si>
    <t>Accrued expenses, accounts payable, and other current liabilities</t>
  </si>
  <si>
    <t>Funds payable and amounts payable to customers</t>
  </si>
  <si>
    <t>Unearned fees</t>
  </si>
  <si>
    <t>Total current liabilities</t>
  </si>
  <si>
    <t>Long-term debt</t>
  </si>
  <si>
    <t>Operating lease liabilities, noncurrent</t>
  </si>
  <si>
    <t>Other liabilities, noncurrent</t>
  </si>
  <si>
    <t>Total liabilities</t>
  </si>
  <si>
    <t>Commitments and contingencies (Note 13)</t>
  </si>
  <si>
    <t xml:space="preserve"> </t>
  </si>
  <si>
    <t>Stockholders’ equity:</t>
  </si>
  <si>
    <t>Common stock</t>
  </si>
  <si>
    <t>Additional paid-in capital</t>
  </si>
  <si>
    <t>Accumulated other comprehensive loss</t>
  </si>
  <si>
    <t>Accumulated deficit</t>
  </si>
  <si>
    <t>Total stockholders’ equity</t>
  </si>
  <si>
    <t>Total liabilities and stockholders’ equity</t>
  </si>
  <si>
    <t>Consolidated Statements of Operations - USD ($) shares in Millions</t>
  </si>
  <si>
    <t>12 Months Ended</t>
  </si>
  <si>
    <t>Dec. 31, 2021</t>
  </si>
  <si>
    <t>Revenues [Abstract]</t>
  </si>
  <si>
    <t>Revenue</t>
  </si>
  <si>
    <t>Costs and expenses:</t>
  </si>
  <si>
    <t>Cost of revenue</t>
  </si>
  <si>
    <t>Operations and support</t>
  </si>
  <si>
    <t>Product development</t>
  </si>
  <si>
    <t>Sales and marketing</t>
  </si>
  <si>
    <t>General and administrative</t>
  </si>
  <si>
    <t>Restructuring charges</t>
  </si>
  <si>
    <t>Income from operations</t>
  </si>
  <si>
    <t>Interest income</t>
  </si>
  <si>
    <t>Interest expense</t>
  </si>
  <si>
    <t>Other income (expense), net</t>
  </si>
  <si>
    <t>Income (loss) before income taxes</t>
  </si>
  <si>
    <t>Provision for (benefit from) income taxes</t>
  </si>
  <si>
    <t>Net income (loss)</t>
  </si>
  <si>
    <t>Net income (loss) per share attributable to Class A and Class B common stockholders:</t>
  </si>
  <si>
    <t>Basic (in USD per share)</t>
  </si>
  <si>
    <t>Diluted (in USD per share)</t>
  </si>
  <si>
    <t>Weighted-average shares used in computing net income (loss) per share attributable to Class A and Class B common stockholders:</t>
  </si>
  <si>
    <t>Basic (in shares)</t>
  </si>
  <si>
    <t>Diluted (in Shares)</t>
  </si>
  <si>
    <t>Consolidated Statements of Cash Flows - USD ($) $ in Millions</t>
  </si>
  <si>
    <t>Cash flows from operating activities:</t>
  </si>
  <si>
    <t>Adjustments to reconcile net income (loss) to cash provided by operating activities:</t>
  </si>
  <si>
    <t>Depreciation and amortization</t>
  </si>
  <si>
    <t>Stock-based compensation expense</t>
  </si>
  <si>
    <t>Deferred income taxes</t>
  </si>
  <si>
    <t>Loss on warrants, net</t>
  </si>
  <si>
    <t>Impairment of long-lived assets</t>
  </si>
  <si>
    <t>Loss from extinguishment of debt</t>
  </si>
  <si>
    <t>Other, net</t>
  </si>
  <si>
    <t>Changes in operating assets and liabilities, net of acquisitions:</t>
  </si>
  <si>
    <t>Prepaids and other assets</t>
  </si>
  <si>
    <t>Accrued expenses and other liabilities</t>
  </si>
  <si>
    <t>Net cash provided by operating activities</t>
  </si>
  <si>
    <t>Cash flows from investing activities:</t>
  </si>
  <si>
    <t>Purchases of short-term investments</t>
  </si>
  <si>
    <t>Sales and maturities of short-term investments</t>
  </si>
  <si>
    <t>Other investing activities, net</t>
  </si>
  <si>
    <t>Net cash used in investing activities</t>
  </si>
  <si>
    <t>Cash flows from financing activities:</t>
  </si>
  <si>
    <t>Taxes paid related to net share settlement of equity awards</t>
  </si>
  <si>
    <t>Principal repayment of long-term debt</t>
  </si>
  <si>
    <t>Prepayment penalty on long-term debt</t>
  </si>
  <si>
    <t>Proceeds from issuance of convertible senior notes, net of issuance costs</t>
  </si>
  <si>
    <t>Purchases of capped calls related to convertible senior notes</t>
  </si>
  <si>
    <t>Proceeds from exercise of equity awards and employee stock purchase plan</t>
  </si>
  <si>
    <t>Repurchase of common stock</t>
  </si>
  <si>
    <t>Change in funds payable and amounts payable to customers</t>
  </si>
  <si>
    <t>Net cash provided by (used in) financing activities</t>
  </si>
  <si>
    <t>Effect of exchange rate changes on cash, cash equivalents, and restricted cash</t>
  </si>
  <si>
    <t>Net increase in cash, cash equivalents, and restricted cash</t>
  </si>
  <si>
    <t>Cash, cash equivalents, and restricted cash, beginning of year</t>
  </si>
  <si>
    <t>Cash, cash equivalents, and restricted cash, end of year</t>
  </si>
  <si>
    <t>Dec. 31, 2020</t>
  </si>
  <si>
    <t>Marketable securities</t>
  </si>
  <si>
    <t>Restricted cash</t>
  </si>
  <si>
    <t>Property and equipment, net</t>
  </si>
  <si>
    <t>Operating lease right-of-use assets</t>
  </si>
  <si>
    <t>Operating lease liabilities, current</t>
  </si>
  <si>
    <t>Dec. 31, 2019</t>
  </si>
  <si>
    <t xml:space="preserve">Gross Profit </t>
  </si>
  <si>
    <t>Total Operating Costs</t>
  </si>
  <si>
    <t>Basic EPS (in USD per share)</t>
  </si>
  <si>
    <t>Diluted EPS (in USD per share)</t>
  </si>
  <si>
    <t>Funds Flow</t>
  </si>
  <si>
    <t>Net income</t>
  </si>
  <si>
    <t>Dep and amort</t>
  </si>
  <si>
    <t>Other</t>
  </si>
  <si>
    <t>Changes in working capital</t>
  </si>
  <si>
    <t xml:space="preserve">  Total</t>
  </si>
  <si>
    <t>Capital spending</t>
  </si>
  <si>
    <t>Excess cash flow</t>
  </si>
  <si>
    <t>Excess cash flow/share</t>
  </si>
  <si>
    <t>Acquisitions, net</t>
  </si>
  <si>
    <t>Purchase of treasury shares</t>
  </si>
  <si>
    <t>Addition/reduction in debt</t>
  </si>
  <si>
    <t>Change in marketable securities</t>
  </si>
  <si>
    <t>Change in cash</t>
  </si>
  <si>
    <t>Restricted cash included in accounts receivable, net and other</t>
  </si>
  <si>
    <t>Restricted cash included in other assets</t>
  </si>
  <si>
    <t>Cash, Cash Equivalents, and Restricted Cash, End of Period</t>
  </si>
  <si>
    <t>Accounts Payable</t>
  </si>
  <si>
    <t xml:space="preserve">Operating lease liabilities </t>
  </si>
  <si>
    <t>Payments for equity investments in privately-held companies</t>
  </si>
  <si>
    <t>Acquisitions, net of cash acquired</t>
  </si>
  <si>
    <t>Proceeds from issuance of common stock upon initial public offering, net of underwriting discounts and offering costs</t>
  </si>
  <si>
    <t>Proceeds from issuance of long-term debt and warrants, net of issuance costs</t>
  </si>
  <si>
    <t>Other financing activities, net</t>
  </si>
  <si>
    <t xml:space="preserve">Working Capital </t>
  </si>
  <si>
    <t xml:space="preserve">Stock Price </t>
  </si>
  <si>
    <t>Net Debt</t>
  </si>
  <si>
    <t>Market Capitalization</t>
  </si>
  <si>
    <t xml:space="preserve">Total Market Value </t>
  </si>
  <si>
    <t>EBITDA</t>
  </si>
  <si>
    <t>EBITDA Margin</t>
  </si>
  <si>
    <t>EBITDA Growth</t>
  </si>
  <si>
    <t>TMV/EBITDA</t>
  </si>
  <si>
    <t>Invested Capital</t>
  </si>
  <si>
    <t>Net working capital</t>
  </si>
  <si>
    <t>PP&amp;E</t>
  </si>
  <si>
    <t>Other assets</t>
  </si>
  <si>
    <t>Total</t>
  </si>
  <si>
    <t>Return on invested capital (ROIC)</t>
  </si>
  <si>
    <t>ROIC</t>
  </si>
  <si>
    <t>Operating income</t>
  </si>
  <si>
    <t xml:space="preserve">Tax Rate </t>
  </si>
  <si>
    <t>Taxes</t>
  </si>
  <si>
    <t>NOPAT</t>
  </si>
  <si>
    <t>Tax Rate</t>
  </si>
  <si>
    <t>TMV/Invested Capital</t>
  </si>
  <si>
    <t>Sep. 30, 2023</t>
  </si>
  <si>
    <t>Sep. 30, 2022</t>
  </si>
  <si>
    <t>Jun. 30, 2023</t>
  </si>
  <si>
    <t>Jun. 30, 2022</t>
  </si>
  <si>
    <t>Mar. 31, 2023</t>
  </si>
  <si>
    <t>Mar. 31, 2022</t>
  </si>
  <si>
    <t>Mar. 31, 2024</t>
  </si>
  <si>
    <t>Jun. 30, 2024</t>
  </si>
  <si>
    <t>Sep. 30, 2024</t>
  </si>
  <si>
    <t>Dec. 31, 2024</t>
  </si>
  <si>
    <t>Total long-term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</si>
</sst>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 &quot;#,##0_);_(&quot;$ &quot;\(#,##0\)"/>
    <numFmt numFmtId="165" formatCode="_(&quot;$ &quot;#,##0.00_);_(&quot;$ &quot;\(#,##0.00\)"/>
    <numFmt numFmtId="166" formatCode="_([$$-409]* #,##0_);_([$$-409]* \(#,##0\);_([$$-409]* &quot;-&quot;_);_(@_)"/>
    <numFmt numFmtId="167" formatCode="#,##0.0_);\(#,##0.0\)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right" vertical="top"/>
    </xf>
    <xf numFmtId="37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vertical="top" wrapText="1"/>
    </xf>
    <xf numFmtId="0" fontId="1" fillId="0" borderId="0" xfId="0" applyFont="1"/>
    <xf numFmtId="1" fontId="3" fillId="0" borderId="0" xfId="0" applyNumberFormat="1" applyFont="1" applyAlignment="1">
      <alignment horizontal="right" vertical="top"/>
    </xf>
    <xf numFmtId="10" fontId="4" fillId="0" borderId="0" xfId="0" applyNumberFormat="1" applyFont="1" applyAlignment="1">
      <alignment horizontal="right" vertical="top"/>
    </xf>
    <xf numFmtId="0" fontId="5" fillId="0" borderId="0" xfId="0" applyFont="1"/>
    <xf numFmtId="166" fontId="5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0" fontId="3" fillId="2" borderId="0" xfId="0" applyNumberFormat="1" applyFont="1" applyFill="1" applyAlignment="1">
      <alignment horizontal="right" vertical="top"/>
    </xf>
    <xf numFmtId="10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164" fontId="0" fillId="0" borderId="0" xfId="0" applyNumberFormat="1"/>
    <xf numFmtId="10" fontId="8" fillId="0" borderId="0" xfId="0" applyNumberFormat="1" applyFont="1" applyAlignment="1">
      <alignment horizontal="right" vertical="top"/>
    </xf>
    <xf numFmtId="37" fontId="0" fillId="0" borderId="0" xfId="0" applyNumberFormat="1"/>
    <xf numFmtId="9" fontId="4" fillId="0" borderId="0" xfId="1" applyFont="1" applyAlignment="1">
      <alignment horizontal="right" vertical="top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/>
    <xf numFmtId="10" fontId="7" fillId="0" borderId="0" xfId="0" applyNumberFormat="1" applyFont="1"/>
    <xf numFmtId="0" fontId="7" fillId="0" borderId="0" xfId="0" applyFont="1" applyAlignment="1">
      <alignment horizontal="center" vertical="center" wrapText="1"/>
    </xf>
    <xf numFmtId="166" fontId="7" fillId="0" borderId="0" xfId="0" applyNumberFormat="1" applyFont="1" applyAlignment="1">
      <alignment wrapText="1"/>
    </xf>
    <xf numFmtId="10" fontId="5" fillId="0" borderId="0" xfId="0" applyNumberFormat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11" fillId="0" borderId="0" xfId="0" applyNumberFormat="1" applyFont="1"/>
    <xf numFmtId="1" fontId="5" fillId="0" borderId="0" xfId="0" applyNumberFormat="1" applyFont="1"/>
    <xf numFmtId="0" fontId="4" fillId="0" borderId="0" xfId="1" applyNumberFormat="1" applyFont="1" applyAlignment="1">
      <alignment horizontal="right" vertical="top"/>
    </xf>
    <xf numFmtId="10" fontId="12" fillId="0" borderId="0" xfId="0" applyNumberFormat="1" applyFont="1"/>
    <xf numFmtId="9" fontId="12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8113-E776-7948-B9C2-F7AA757F28A6}">
  <dimension ref="A1:T140"/>
  <sheetViews>
    <sheetView topLeftCell="A81" zoomScaleNormal="94" workbookViewId="0">
      <pane xSplit="1" topLeftCell="B1" activePane="topRight" state="frozen"/>
      <selection pane="topRight" activeCell="D98" sqref="D98"/>
    </sheetView>
  </sheetViews>
  <sheetFormatPr baseColWidth="10" defaultRowHeight="16" x14ac:dyDescent="0.2"/>
  <cols>
    <col min="1" max="1" width="33.6640625" customWidth="1"/>
    <col min="2" max="2" width="14.83203125" customWidth="1"/>
    <col min="3" max="3" width="16.33203125" customWidth="1"/>
    <col min="4" max="4" width="14.83203125" customWidth="1"/>
    <col min="5" max="5" width="16.6640625" customWidth="1"/>
    <col min="6" max="6" width="16.33203125" customWidth="1"/>
    <col min="9" max="9" width="16" customWidth="1"/>
    <col min="10" max="10" width="15.5" customWidth="1"/>
    <col min="11" max="11" width="14" customWidth="1"/>
    <col min="12" max="12" width="15.5" customWidth="1"/>
    <col min="13" max="13" width="15.1640625" customWidth="1"/>
    <col min="14" max="14" width="14.83203125" customWidth="1"/>
    <col min="15" max="15" width="13.5" customWidth="1"/>
    <col min="16" max="16" width="12.1640625" customWidth="1"/>
  </cols>
  <sheetData>
    <row r="1" spans="1:20" x14ac:dyDescent="0.2">
      <c r="A1" s="42" t="s">
        <v>32</v>
      </c>
      <c r="B1" s="44"/>
      <c r="C1" s="44"/>
      <c r="D1" s="44"/>
      <c r="E1" s="44"/>
      <c r="F1" s="44"/>
      <c r="I1" s="2"/>
      <c r="J1" s="2"/>
      <c r="L1" s="2"/>
      <c r="M1" s="2"/>
      <c r="N1" s="2"/>
    </row>
    <row r="2" spans="1:20" ht="32" x14ac:dyDescent="0.2">
      <c r="A2" s="43"/>
      <c r="B2" s="2" t="s">
        <v>96</v>
      </c>
      <c r="C2" s="2" t="s">
        <v>90</v>
      </c>
      <c r="D2" s="2" t="s">
        <v>34</v>
      </c>
      <c r="E2" s="2" t="s">
        <v>2</v>
      </c>
      <c r="F2" s="2" t="s">
        <v>1</v>
      </c>
      <c r="G2" s="2" t="s">
        <v>156</v>
      </c>
      <c r="I2" s="2" t="s">
        <v>152</v>
      </c>
      <c r="J2" s="2" t="s">
        <v>150</v>
      </c>
      <c r="K2" s="2" t="s">
        <v>148</v>
      </c>
      <c r="L2" s="2" t="s">
        <v>2</v>
      </c>
      <c r="M2" s="2" t="s">
        <v>151</v>
      </c>
      <c r="N2" s="2" t="s">
        <v>149</v>
      </c>
      <c r="O2" s="2" t="s">
        <v>147</v>
      </c>
      <c r="P2" s="2" t="s">
        <v>1</v>
      </c>
      <c r="Q2" s="2" t="s">
        <v>153</v>
      </c>
      <c r="R2" s="2" t="s">
        <v>154</v>
      </c>
      <c r="S2" s="2" t="s">
        <v>155</v>
      </c>
      <c r="T2" s="2" t="s">
        <v>156</v>
      </c>
    </row>
    <row r="3" spans="1:20" x14ac:dyDescent="0.2">
      <c r="A3" s="3" t="s">
        <v>36</v>
      </c>
      <c r="B3" s="5">
        <v>4805.2389999999996</v>
      </c>
      <c r="C3" s="5">
        <v>3378.1990000000001</v>
      </c>
      <c r="D3" s="5">
        <v>5992</v>
      </c>
      <c r="E3" s="5">
        <f>SUM(I3:L3)</f>
        <v>8399</v>
      </c>
      <c r="F3" s="5">
        <f>SUM(M3:P3)</f>
        <v>9917</v>
      </c>
      <c r="G3" s="5">
        <f>SUM(Q3:T3)</f>
        <v>11570</v>
      </c>
      <c r="I3" s="5">
        <v>1509</v>
      </c>
      <c r="J3" s="5">
        <v>2104</v>
      </c>
      <c r="K3" s="5">
        <v>2884</v>
      </c>
      <c r="L3" s="5">
        <v>1902</v>
      </c>
      <c r="M3" s="5">
        <v>1818</v>
      </c>
      <c r="N3" s="5">
        <v>2484</v>
      </c>
      <c r="O3" s="5">
        <v>3397</v>
      </c>
      <c r="P3" s="5">
        <v>2218</v>
      </c>
      <c r="Q3" s="22">
        <v>2190</v>
      </c>
      <c r="R3" s="5">
        <v>2900</v>
      </c>
      <c r="S3" s="5">
        <v>3950</v>
      </c>
      <c r="T3" s="5">
        <v>2530</v>
      </c>
    </row>
    <row r="4" spans="1:20" x14ac:dyDescent="0.2">
      <c r="A4" s="3"/>
      <c r="B4" s="5"/>
      <c r="C4" s="23">
        <f>(C3-B3)/ABS(B3)</f>
        <v>-0.29697586321929037</v>
      </c>
      <c r="D4" s="23">
        <f t="shared" ref="D4:G4" si="0">(D3-C3)/ABS(C3)</f>
        <v>0.77372617776513453</v>
      </c>
      <c r="E4" s="23">
        <f t="shared" si="0"/>
        <v>0.40170226969292389</v>
      </c>
      <c r="F4" s="23">
        <f t="shared" si="0"/>
        <v>0.18073580188117633</v>
      </c>
      <c r="G4" s="23">
        <f t="shared" si="0"/>
        <v>0.16668347282444287</v>
      </c>
      <c r="I4" s="5"/>
      <c r="J4" s="5"/>
      <c r="K4" s="5"/>
      <c r="L4" s="5"/>
      <c r="M4" s="23">
        <f>(M3-I3)/ABS(I3)</f>
        <v>0.2047713717693837</v>
      </c>
      <c r="N4" s="23">
        <f t="shared" ref="N4:P4" si="1">(N3-J3)/ABS(J3)</f>
        <v>0.1806083650190114</v>
      </c>
      <c r="O4" s="23">
        <f t="shared" si="1"/>
        <v>0.17787794729542303</v>
      </c>
      <c r="P4" s="23">
        <f t="shared" si="1"/>
        <v>0.16614090431125131</v>
      </c>
      <c r="Q4" s="23">
        <f t="shared" ref="Q4" si="2">(Q3-M3)/ABS(M3)</f>
        <v>0.20462046204620463</v>
      </c>
      <c r="R4" s="23">
        <f t="shared" ref="R4" si="3">(R3-N3)/ABS(N3)</f>
        <v>0.16747181964573268</v>
      </c>
      <c r="S4" s="23">
        <f t="shared" ref="S4" si="4">(S3-O3)/ABS(O3)</f>
        <v>0.16279069767441862</v>
      </c>
      <c r="T4" s="23">
        <f t="shared" ref="T4" si="5">(T3-P3)/ABS(P3)</f>
        <v>0.14066726780883679</v>
      </c>
    </row>
    <row r="5" spans="1:20" x14ac:dyDescent="0.2">
      <c r="A5" s="3" t="s">
        <v>37</v>
      </c>
      <c r="B5" s="5"/>
      <c r="C5" s="5"/>
      <c r="D5" s="4"/>
      <c r="E5" s="5"/>
      <c r="F5" s="5"/>
      <c r="I5" s="4" t="s">
        <v>4</v>
      </c>
      <c r="J5" s="4"/>
      <c r="K5" s="4"/>
      <c r="L5" s="4"/>
      <c r="M5" s="23"/>
      <c r="N5" s="23"/>
      <c r="O5" s="23"/>
      <c r="P5" s="23"/>
    </row>
    <row r="6" spans="1:20" x14ac:dyDescent="0.2">
      <c r="A6" s="4" t="s">
        <v>38</v>
      </c>
      <c r="B6" s="5">
        <v>1196.3130000000001</v>
      </c>
      <c r="C6" s="5">
        <v>876.04200000000003</v>
      </c>
      <c r="D6" s="6">
        <v>1156</v>
      </c>
      <c r="E6" s="5">
        <f>SUM(I6:L6)</f>
        <v>1499</v>
      </c>
      <c r="F6" s="5">
        <f>SUM(M6:P6)</f>
        <v>1703</v>
      </c>
      <c r="G6" s="5">
        <f>SUM(Q6:T6)</f>
        <v>1930</v>
      </c>
      <c r="I6" s="8">
        <v>363</v>
      </c>
      <c r="J6" s="8">
        <v>390</v>
      </c>
      <c r="K6" s="8">
        <v>401</v>
      </c>
      <c r="L6" s="8">
        <v>345</v>
      </c>
      <c r="M6" s="8">
        <v>428</v>
      </c>
      <c r="N6" s="8">
        <v>432</v>
      </c>
      <c r="O6" s="8">
        <v>459</v>
      </c>
      <c r="P6" s="8">
        <v>384</v>
      </c>
      <c r="Q6" s="8">
        <v>500</v>
      </c>
      <c r="R6" s="8">
        <v>490</v>
      </c>
      <c r="S6" s="8">
        <v>520</v>
      </c>
      <c r="T6" s="8">
        <v>420</v>
      </c>
    </row>
    <row r="7" spans="1:20" x14ac:dyDescent="0.2">
      <c r="A7" s="4"/>
      <c r="B7" s="12">
        <f t="shared" ref="B7:G7" si="6">B6/B3</f>
        <v>0.24896014537466299</v>
      </c>
      <c r="C7" s="12">
        <f t="shared" si="6"/>
        <v>0.25932220097158282</v>
      </c>
      <c r="D7" s="12">
        <f t="shared" si="6"/>
        <v>0.19292389853137518</v>
      </c>
      <c r="E7" s="12">
        <f t="shared" si="6"/>
        <v>0.17847362781283485</v>
      </c>
      <c r="F7" s="12">
        <f t="shared" si="6"/>
        <v>0.17172532015730563</v>
      </c>
      <c r="G7" s="12">
        <f t="shared" si="6"/>
        <v>0.16681071737251513</v>
      </c>
      <c r="H7" s="12"/>
      <c r="I7" s="12">
        <f>I6/I3</f>
        <v>0.24055666003976142</v>
      </c>
      <c r="J7" s="12">
        <f>J6/J3</f>
        <v>0.18536121673003803</v>
      </c>
      <c r="K7" s="12">
        <f>K6/K3</f>
        <v>0.13904299583911234</v>
      </c>
      <c r="L7" s="12">
        <f t="shared" ref="L7" si="7">L6/L3</f>
        <v>0.18138801261829654</v>
      </c>
      <c r="M7" s="12">
        <f>M6/M3</f>
        <v>0.23542354235423543</v>
      </c>
      <c r="N7" s="12">
        <f>N6/N3</f>
        <v>0.17391304347826086</v>
      </c>
      <c r="O7" s="12">
        <f>O6/O3</f>
        <v>0.1351192228436856</v>
      </c>
      <c r="P7" s="12">
        <f>P6/P3</f>
        <v>0.17312894499549145</v>
      </c>
      <c r="Q7" s="12">
        <f t="shared" ref="Q7:T7" si="8">Q6/Q3</f>
        <v>0.22831050228310501</v>
      </c>
      <c r="R7" s="12">
        <f t="shared" si="8"/>
        <v>0.16896551724137931</v>
      </c>
      <c r="S7" s="12">
        <f t="shared" si="8"/>
        <v>0.13164556962025317</v>
      </c>
      <c r="T7" s="12">
        <f t="shared" si="8"/>
        <v>0.16600790513833993</v>
      </c>
    </row>
    <row r="8" spans="1:20" x14ac:dyDescent="0.2">
      <c r="A8" s="4"/>
      <c r="B8" s="12"/>
      <c r="C8" s="23">
        <f>(C6-B6)/ABS(B6)</f>
        <v>-0.26771505450496652</v>
      </c>
      <c r="D8" s="23">
        <f t="shared" ref="D8:G8" si="9">(D6-C6)/ABS(C6)</f>
        <v>0.31957143607269967</v>
      </c>
      <c r="E8" s="23">
        <f t="shared" si="9"/>
        <v>0.29671280276816608</v>
      </c>
      <c r="F8" s="23">
        <f t="shared" si="9"/>
        <v>0.13609072715143428</v>
      </c>
      <c r="G8" s="23">
        <f t="shared" si="9"/>
        <v>0.13329418672930124</v>
      </c>
      <c r="H8" s="12"/>
      <c r="I8" s="12"/>
      <c r="J8" s="12"/>
      <c r="K8" s="12"/>
      <c r="L8" s="12"/>
      <c r="M8" s="23">
        <f>(M6-I6)/ABS(I6)</f>
        <v>0.1790633608815427</v>
      </c>
      <c r="N8" s="23">
        <f t="shared" ref="N8:P8" si="10">(N6-J6)/ABS(J6)</f>
        <v>0.1076923076923077</v>
      </c>
      <c r="O8" s="23">
        <f t="shared" si="10"/>
        <v>0.14463840399002495</v>
      </c>
      <c r="P8" s="23">
        <f t="shared" si="10"/>
        <v>0.11304347826086956</v>
      </c>
      <c r="Q8" s="23">
        <f t="shared" ref="Q8" si="11">(Q6-M6)/ABS(M6)</f>
        <v>0.16822429906542055</v>
      </c>
      <c r="R8" s="23">
        <f t="shared" ref="R8" si="12">(R6-N6)/ABS(N6)</f>
        <v>0.13425925925925927</v>
      </c>
      <c r="S8" s="23">
        <f t="shared" ref="S8" si="13">(S6-O6)/ABS(O6)</f>
        <v>0.13289760348583879</v>
      </c>
      <c r="T8" s="23">
        <f t="shared" ref="T8" si="14">(T6-P6)/ABS(P6)</f>
        <v>9.375E-2</v>
      </c>
    </row>
    <row r="9" spans="1:20" x14ac:dyDescent="0.2">
      <c r="A9" s="3" t="s">
        <v>97</v>
      </c>
      <c r="B9" s="5">
        <f t="shared" ref="B9:G9" si="15">B3-B6</f>
        <v>3608.9259999999995</v>
      </c>
      <c r="C9" s="5">
        <f t="shared" si="15"/>
        <v>2502.1570000000002</v>
      </c>
      <c r="D9" s="5">
        <f t="shared" si="15"/>
        <v>4836</v>
      </c>
      <c r="E9" s="5">
        <f t="shared" si="15"/>
        <v>6900</v>
      </c>
      <c r="F9" s="5">
        <f t="shared" si="15"/>
        <v>8214</v>
      </c>
      <c r="G9" s="5">
        <f t="shared" si="15"/>
        <v>9640</v>
      </c>
      <c r="H9" s="5"/>
      <c r="I9" s="5">
        <f t="shared" ref="I9:P9" si="16">I3-I6</f>
        <v>1146</v>
      </c>
      <c r="J9" s="5">
        <f t="shared" si="16"/>
        <v>1714</v>
      </c>
      <c r="K9" s="5">
        <f t="shared" si="16"/>
        <v>2483</v>
      </c>
      <c r="L9" s="5">
        <f t="shared" si="16"/>
        <v>1557</v>
      </c>
      <c r="M9" s="5">
        <f t="shared" si="16"/>
        <v>1390</v>
      </c>
      <c r="N9" s="5">
        <f t="shared" si="16"/>
        <v>2052</v>
      </c>
      <c r="O9" s="5">
        <f t="shared" si="16"/>
        <v>2938</v>
      </c>
      <c r="P9" s="5">
        <f t="shared" si="16"/>
        <v>1834</v>
      </c>
      <c r="Q9" s="5">
        <f t="shared" ref="Q9:T9" si="17">Q3-Q6</f>
        <v>1690</v>
      </c>
      <c r="R9" s="5">
        <f t="shared" si="17"/>
        <v>2410</v>
      </c>
      <c r="S9" s="5">
        <f t="shared" si="17"/>
        <v>3430</v>
      </c>
      <c r="T9" s="5">
        <f t="shared" si="17"/>
        <v>2110</v>
      </c>
    </row>
    <row r="10" spans="1:20" x14ac:dyDescent="0.2">
      <c r="A10" s="3"/>
      <c r="B10" s="12">
        <f t="shared" ref="B10:G10" si="18">B9/B3</f>
        <v>0.75103985462533696</v>
      </c>
      <c r="C10" s="12">
        <f t="shared" si="18"/>
        <v>0.74067779902841724</v>
      </c>
      <c r="D10" s="12">
        <f t="shared" si="18"/>
        <v>0.80707610146862485</v>
      </c>
      <c r="E10" s="12">
        <f t="shared" si="18"/>
        <v>0.82152637218716518</v>
      </c>
      <c r="F10" s="12">
        <f t="shared" si="18"/>
        <v>0.82827467984269432</v>
      </c>
      <c r="G10" s="12">
        <f t="shared" si="18"/>
        <v>0.83318928262748493</v>
      </c>
      <c r="H10" s="12"/>
      <c r="I10" s="12">
        <f t="shared" ref="I10:P10" si="19">I9/I3</f>
        <v>0.75944333996023861</v>
      </c>
      <c r="J10" s="12">
        <f t="shared" si="19"/>
        <v>0.81463878326996197</v>
      </c>
      <c r="K10" s="12">
        <f t="shared" si="19"/>
        <v>0.86095700416088761</v>
      </c>
      <c r="L10" s="12">
        <f t="shared" si="19"/>
        <v>0.81861198738170349</v>
      </c>
      <c r="M10" s="12">
        <f t="shared" si="19"/>
        <v>0.76457645764576454</v>
      </c>
      <c r="N10" s="12">
        <f t="shared" si="19"/>
        <v>0.82608695652173914</v>
      </c>
      <c r="O10" s="12">
        <f t="shared" si="19"/>
        <v>0.8648807771563144</v>
      </c>
      <c r="P10" s="12">
        <f t="shared" si="19"/>
        <v>0.82687105500450853</v>
      </c>
      <c r="Q10" s="12">
        <f t="shared" ref="Q10:T10" si="20">Q9/Q3</f>
        <v>0.77168949771689499</v>
      </c>
      <c r="R10" s="12">
        <f t="shared" si="20"/>
        <v>0.83103448275862069</v>
      </c>
      <c r="S10" s="12">
        <f t="shared" si="20"/>
        <v>0.8683544303797468</v>
      </c>
      <c r="T10" s="12">
        <f t="shared" si="20"/>
        <v>0.83399209486166004</v>
      </c>
    </row>
    <row r="11" spans="1:20" x14ac:dyDescent="0.2">
      <c r="A11" s="3"/>
      <c r="B11" s="12"/>
      <c r="C11" s="23">
        <f>(C9-B9)/ABS(B9)</f>
        <v>-0.30667544859606416</v>
      </c>
      <c r="D11" s="23">
        <f t="shared" ref="D11:G11" si="21">(D9-C9)/ABS(C9)</f>
        <v>0.93273243845210341</v>
      </c>
      <c r="E11" s="23">
        <f t="shared" si="21"/>
        <v>0.42679900744416871</v>
      </c>
      <c r="F11" s="23">
        <f t="shared" si="21"/>
        <v>0.19043478260869565</v>
      </c>
      <c r="G11" s="23">
        <f t="shared" si="21"/>
        <v>0.17360603847090333</v>
      </c>
      <c r="H11" s="12"/>
      <c r="I11" s="12"/>
      <c r="J11" s="12"/>
      <c r="K11" s="12"/>
      <c r="L11" s="12"/>
      <c r="M11" s="23">
        <f>(M9-I9)/ABS(I9)</f>
        <v>0.21291448516579406</v>
      </c>
      <c r="N11" s="23">
        <f t="shared" ref="N11:P11" si="22">(N9-J9)/ABS(J9)</f>
        <v>0.1971995332555426</v>
      </c>
      <c r="O11" s="23">
        <f t="shared" si="22"/>
        <v>0.18324607329842932</v>
      </c>
      <c r="P11" s="23">
        <f t="shared" si="22"/>
        <v>0.17790622992935132</v>
      </c>
      <c r="Q11" s="23">
        <f t="shared" ref="Q11" si="23">(Q9-M9)/ABS(M9)</f>
        <v>0.21582733812949639</v>
      </c>
      <c r="R11" s="23">
        <f t="shared" ref="R11" si="24">(R9-N9)/ABS(N9)</f>
        <v>0.17446393762183235</v>
      </c>
      <c r="S11" s="23">
        <f t="shared" ref="S11" si="25">(S9-O9)/ABS(O9)</f>
        <v>0.16746085772634445</v>
      </c>
      <c r="T11" s="23">
        <f t="shared" ref="T11" si="26">(T9-P9)/ABS(P9)</f>
        <v>0.1504907306434024</v>
      </c>
    </row>
    <row r="12" spans="1:20" x14ac:dyDescent="0.2">
      <c r="A12" s="4" t="s">
        <v>39</v>
      </c>
      <c r="B12" s="5">
        <v>815.07399999999996</v>
      </c>
      <c r="C12" s="5">
        <v>877.90099999999995</v>
      </c>
      <c r="D12" s="8">
        <v>847</v>
      </c>
      <c r="E12" s="8">
        <f>SUM(I12:L12)</f>
        <v>1041</v>
      </c>
      <c r="F12" s="8">
        <f>SUM(M12:P12)</f>
        <v>1186</v>
      </c>
      <c r="G12" s="8">
        <f>SUM(Q12:T12)</f>
        <v>1415</v>
      </c>
      <c r="I12" s="8">
        <v>233</v>
      </c>
      <c r="J12" s="8">
        <v>258</v>
      </c>
      <c r="K12" s="8">
        <v>290</v>
      </c>
      <c r="L12" s="8">
        <v>260</v>
      </c>
      <c r="M12" s="8">
        <v>282</v>
      </c>
      <c r="N12" s="8">
        <v>317</v>
      </c>
      <c r="O12" s="8">
        <v>316</v>
      </c>
      <c r="P12" s="8">
        <v>271</v>
      </c>
      <c r="Q12" s="8">
        <v>350</v>
      </c>
      <c r="R12" s="8">
        <v>390</v>
      </c>
      <c r="S12" s="8">
        <v>385</v>
      </c>
      <c r="T12" s="8">
        <v>290</v>
      </c>
    </row>
    <row r="13" spans="1:20" x14ac:dyDescent="0.2">
      <c r="A13" s="4" t="s">
        <v>40</v>
      </c>
      <c r="B13" s="5">
        <v>976.69500000000005</v>
      </c>
      <c r="C13" s="5">
        <v>2752.8719999999998</v>
      </c>
      <c r="D13" s="8">
        <v>1425</v>
      </c>
      <c r="E13" s="8">
        <f t="shared" ref="E13:E17" si="27">SUM(I13:L13)</f>
        <v>1502</v>
      </c>
      <c r="F13" s="8">
        <f t="shared" ref="F13:F17" si="28">SUM(M13:P13)</f>
        <v>1722</v>
      </c>
      <c r="G13" s="8">
        <f t="shared" ref="G13:G17" si="29">SUM(Q13:T13)</f>
        <v>1905</v>
      </c>
      <c r="I13" s="8">
        <v>363</v>
      </c>
      <c r="J13" s="8">
        <v>375</v>
      </c>
      <c r="K13" s="8">
        <v>366</v>
      </c>
      <c r="L13" s="8">
        <v>398</v>
      </c>
      <c r="M13" s="8">
        <v>420</v>
      </c>
      <c r="N13" s="8">
        <v>451</v>
      </c>
      <c r="O13" s="8">
        <v>419</v>
      </c>
      <c r="P13" s="8">
        <v>432</v>
      </c>
      <c r="Q13" s="8">
        <v>490</v>
      </c>
      <c r="R13" s="8">
        <v>470</v>
      </c>
      <c r="S13" s="8">
        <v>490</v>
      </c>
      <c r="T13" s="8">
        <v>455</v>
      </c>
    </row>
    <row r="14" spans="1:20" x14ac:dyDescent="0.2">
      <c r="A14" s="4" t="s">
        <v>41</v>
      </c>
      <c r="B14" s="5">
        <v>1621.519</v>
      </c>
      <c r="C14" s="5">
        <v>1175.325</v>
      </c>
      <c r="D14" s="8">
        <v>1186</v>
      </c>
      <c r="E14" s="8">
        <f t="shared" si="27"/>
        <v>1516</v>
      </c>
      <c r="F14" s="8">
        <f t="shared" si="28"/>
        <v>1763</v>
      </c>
      <c r="G14" s="8">
        <f t="shared" si="29"/>
        <v>2197</v>
      </c>
      <c r="I14" s="8">
        <v>345</v>
      </c>
      <c r="J14" s="8">
        <v>379</v>
      </c>
      <c r="K14" s="8">
        <v>384</v>
      </c>
      <c r="L14" s="8">
        <v>408</v>
      </c>
      <c r="M14" s="8">
        <v>450</v>
      </c>
      <c r="N14" s="8">
        <v>486</v>
      </c>
      <c r="O14" s="8">
        <v>403</v>
      </c>
      <c r="P14" s="8">
        <v>424</v>
      </c>
      <c r="Q14">
        <v>550</v>
      </c>
      <c r="R14" s="8">
        <v>594</v>
      </c>
      <c r="S14" s="8">
        <v>512</v>
      </c>
      <c r="T14" s="8">
        <v>541</v>
      </c>
    </row>
    <row r="15" spans="1:20" x14ac:dyDescent="0.2">
      <c r="A15" s="4" t="s">
        <v>42</v>
      </c>
      <c r="B15" s="5">
        <v>697.18100000000004</v>
      </c>
      <c r="C15" s="5">
        <v>1134.8510000000001</v>
      </c>
      <c r="D15" s="8">
        <v>836</v>
      </c>
      <c r="E15" s="8">
        <f t="shared" si="27"/>
        <v>950</v>
      </c>
      <c r="F15" s="8">
        <f t="shared" si="28"/>
        <v>2025</v>
      </c>
      <c r="G15" s="8">
        <f t="shared" si="29"/>
        <v>1308</v>
      </c>
      <c r="I15" s="8">
        <v>210</v>
      </c>
      <c r="J15" s="8">
        <v>244</v>
      </c>
      <c r="K15" s="8">
        <v>240</v>
      </c>
      <c r="L15" s="8">
        <v>256</v>
      </c>
      <c r="M15" s="8">
        <v>243</v>
      </c>
      <c r="N15" s="8">
        <v>275</v>
      </c>
      <c r="O15" s="8">
        <v>304</v>
      </c>
      <c r="P15" s="8">
        <v>1203</v>
      </c>
      <c r="Q15" s="8">
        <v>278</v>
      </c>
      <c r="R15" s="8">
        <v>310</v>
      </c>
      <c r="S15" s="8">
        <v>410</v>
      </c>
      <c r="T15" s="8">
        <v>310</v>
      </c>
    </row>
    <row r="16" spans="1:20" x14ac:dyDescent="0.2">
      <c r="A16" s="4" t="s">
        <v>43</v>
      </c>
      <c r="B16" s="5">
        <v>0</v>
      </c>
      <c r="C16" s="5">
        <v>151.35499999999999</v>
      </c>
      <c r="D16" s="8">
        <v>113</v>
      </c>
      <c r="E16" s="8">
        <f t="shared" si="27"/>
        <v>89</v>
      </c>
      <c r="F16" s="8">
        <f t="shared" si="28"/>
        <v>0</v>
      </c>
      <c r="G16" s="8">
        <f t="shared" si="29"/>
        <v>0</v>
      </c>
      <c r="I16" s="8">
        <v>0</v>
      </c>
      <c r="J16" s="8">
        <v>89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 x14ac:dyDescent="0.2">
      <c r="A17" s="4" t="s">
        <v>98</v>
      </c>
      <c r="B17" s="5">
        <f>B12+B13+B14+B15+B16</f>
        <v>4110.4690000000001</v>
      </c>
      <c r="C17" s="5">
        <f t="shared" ref="C17:D17" si="30">C12+C13+C14+C15+C16</f>
        <v>6092.3040000000001</v>
      </c>
      <c r="D17" s="8">
        <f t="shared" si="30"/>
        <v>4407</v>
      </c>
      <c r="E17" s="8">
        <f t="shared" si="27"/>
        <v>5098</v>
      </c>
      <c r="F17" s="8">
        <f t="shared" si="28"/>
        <v>6696</v>
      </c>
      <c r="G17" s="8">
        <f t="shared" si="29"/>
        <v>6825</v>
      </c>
      <c r="H17" s="5"/>
      <c r="I17" s="5">
        <f t="shared" ref="I17:P17" si="31">I12+I13+I14+I15+I16</f>
        <v>1151</v>
      </c>
      <c r="J17" s="5">
        <f t="shared" si="31"/>
        <v>1345</v>
      </c>
      <c r="K17" s="5">
        <f t="shared" si="31"/>
        <v>1280</v>
      </c>
      <c r="L17" s="5">
        <f t="shared" si="31"/>
        <v>1322</v>
      </c>
      <c r="M17" s="5">
        <f t="shared" si="31"/>
        <v>1395</v>
      </c>
      <c r="N17" s="5">
        <f t="shared" si="31"/>
        <v>1529</v>
      </c>
      <c r="O17" s="5">
        <f t="shared" si="31"/>
        <v>1442</v>
      </c>
      <c r="P17" s="5">
        <f t="shared" si="31"/>
        <v>2330</v>
      </c>
      <c r="Q17" s="5">
        <f t="shared" ref="Q17" si="32">Q12+Q13+Q14+Q15+Q16</f>
        <v>1668</v>
      </c>
      <c r="R17" s="5">
        <f t="shared" ref="R17" si="33">R12+R13+R14+R15+R16</f>
        <v>1764</v>
      </c>
      <c r="S17" s="5">
        <f t="shared" ref="S17" si="34">S12+S13+S14+S15+S16</f>
        <v>1797</v>
      </c>
      <c r="T17" s="5">
        <f t="shared" ref="T17" si="35">T12+T13+T14+T15+T16</f>
        <v>1596</v>
      </c>
    </row>
    <row r="18" spans="1:20" x14ac:dyDescent="0.2">
      <c r="A18" s="4"/>
      <c r="B18" s="12">
        <f>B17/B3</f>
        <v>0.85541405952960936</v>
      </c>
      <c r="C18" s="12">
        <f t="shared" ref="C18:G18" si="36">C17/C3</f>
        <v>1.803417738268231</v>
      </c>
      <c r="D18" s="12">
        <f t="shared" si="36"/>
        <v>0.73548064085447262</v>
      </c>
      <c r="E18" s="12">
        <f t="shared" si="36"/>
        <v>0.60697702107393736</v>
      </c>
      <c r="F18" s="12">
        <f t="shared" si="36"/>
        <v>0.67520419481698091</v>
      </c>
      <c r="G18" s="12">
        <f t="shared" si="36"/>
        <v>0.5898876404494382</v>
      </c>
      <c r="H18" s="12"/>
      <c r="I18" s="12">
        <f t="shared" ref="I18" si="37">I17/I3</f>
        <v>0.76275679257786611</v>
      </c>
      <c r="J18" s="12">
        <f t="shared" ref="J18" si="38">J17/J3</f>
        <v>0.63925855513307983</v>
      </c>
      <c r="K18" s="12">
        <f t="shared" ref="K18" si="39">K17/K3</f>
        <v>0.44382801664355065</v>
      </c>
      <c r="L18" s="12">
        <f t="shared" ref="L18:M18" si="40">L17/L3</f>
        <v>0.6950578338590957</v>
      </c>
      <c r="M18" s="12">
        <f t="shared" si="40"/>
        <v>0.76732673267326734</v>
      </c>
      <c r="N18" s="12">
        <f t="shared" ref="N18" si="41">N17/N3</f>
        <v>0.61553945249597419</v>
      </c>
      <c r="O18" s="12">
        <f t="shared" ref="O18" si="42">O17/O3</f>
        <v>0.42449219899911689</v>
      </c>
      <c r="P18" s="12">
        <f t="shared" ref="P18" si="43">P17/P3</f>
        <v>1.0504959422903517</v>
      </c>
      <c r="Q18" s="12">
        <f t="shared" ref="Q18" si="44">Q17/Q3</f>
        <v>0.76164383561643834</v>
      </c>
      <c r="R18" s="12">
        <f t="shared" ref="R18" si="45">R17/R3</f>
        <v>0.60827586206896556</v>
      </c>
      <c r="S18" s="12">
        <f t="shared" ref="S18" si="46">S17/S3</f>
        <v>0.45493670886075949</v>
      </c>
      <c r="T18" s="12">
        <f t="shared" ref="T18" si="47">T17/T3</f>
        <v>0.63083003952569172</v>
      </c>
    </row>
    <row r="19" spans="1:20" x14ac:dyDescent="0.2">
      <c r="A19" s="4"/>
      <c r="B19" s="5"/>
      <c r="C19" s="23">
        <f>(C17-B17)/ABS(B17)</f>
        <v>0.48214327854072125</v>
      </c>
      <c r="D19" s="23">
        <f t="shared" ref="D19:G19" si="48">(D17-C17)/ABS(C17)</f>
        <v>-0.27662834947172699</v>
      </c>
      <c r="E19" s="23">
        <f t="shared" si="48"/>
        <v>0.15679600635352847</v>
      </c>
      <c r="F19" s="23">
        <f t="shared" si="48"/>
        <v>0.31345625735582583</v>
      </c>
      <c r="G19" s="23">
        <f t="shared" si="48"/>
        <v>1.9265232974910396E-2</v>
      </c>
      <c r="H19" s="5"/>
      <c r="I19" s="5"/>
      <c r="J19" s="5"/>
      <c r="K19" s="5"/>
      <c r="L19" s="5"/>
      <c r="M19" s="23">
        <f>(M17-I17)/ABS(I17)</f>
        <v>0.21198957428323198</v>
      </c>
      <c r="N19" s="23">
        <f t="shared" ref="N19:P19" si="49">(N17-J17)/ABS(J17)</f>
        <v>0.13680297397769517</v>
      </c>
      <c r="O19" s="23">
        <f t="shared" si="49"/>
        <v>0.12656249999999999</v>
      </c>
      <c r="P19" s="23">
        <f t="shared" si="49"/>
        <v>0.76248108925869895</v>
      </c>
      <c r="Q19" s="23">
        <f t="shared" ref="Q19" si="50">(Q17-M17)/ABS(M17)</f>
        <v>0.19569892473118281</v>
      </c>
      <c r="R19" s="23">
        <f t="shared" ref="R19" si="51">(R17-N17)/ABS(N17)</f>
        <v>0.15369522563767168</v>
      </c>
      <c r="S19" s="23">
        <f t="shared" ref="S19" si="52">(S17-O17)/ABS(O17)</f>
        <v>0.24618585298196949</v>
      </c>
      <c r="T19" s="23">
        <f t="shared" ref="T19" si="53">(T17-P17)/ABS(P17)</f>
        <v>-0.31502145922746783</v>
      </c>
    </row>
    <row r="20" spans="1:20" x14ac:dyDescent="0.2">
      <c r="A20" s="3" t="s">
        <v>44</v>
      </c>
      <c r="B20" s="5">
        <f>B9-B17</f>
        <v>-501.54300000000057</v>
      </c>
      <c r="C20" s="5">
        <f t="shared" ref="C20:G20" si="54">C9-C17</f>
        <v>-3590.1469999999999</v>
      </c>
      <c r="D20" s="5">
        <f t="shared" si="54"/>
        <v>429</v>
      </c>
      <c r="E20" s="5">
        <f t="shared" si="54"/>
        <v>1802</v>
      </c>
      <c r="F20" s="5">
        <f t="shared" si="54"/>
        <v>1518</v>
      </c>
      <c r="G20" s="5">
        <f t="shared" si="54"/>
        <v>2815</v>
      </c>
      <c r="H20" s="5"/>
      <c r="I20" s="5">
        <f t="shared" ref="I20:P20" si="55">I9-I17</f>
        <v>-5</v>
      </c>
      <c r="J20" s="5">
        <f t="shared" si="55"/>
        <v>369</v>
      </c>
      <c r="K20" s="5">
        <f t="shared" si="55"/>
        <v>1203</v>
      </c>
      <c r="L20" s="5">
        <f t="shared" si="55"/>
        <v>235</v>
      </c>
      <c r="M20" s="5">
        <f t="shared" si="55"/>
        <v>-5</v>
      </c>
      <c r="N20" s="5">
        <f t="shared" si="55"/>
        <v>523</v>
      </c>
      <c r="O20" s="5">
        <f t="shared" si="55"/>
        <v>1496</v>
      </c>
      <c r="P20" s="5">
        <f t="shared" si="55"/>
        <v>-496</v>
      </c>
      <c r="Q20" s="5">
        <f t="shared" ref="Q20:T20" si="56">Q9-Q17</f>
        <v>22</v>
      </c>
      <c r="R20" s="5">
        <f t="shared" si="56"/>
        <v>646</v>
      </c>
      <c r="S20" s="5">
        <f t="shared" si="56"/>
        <v>1633</v>
      </c>
      <c r="T20" s="5">
        <f t="shared" si="56"/>
        <v>514</v>
      </c>
    </row>
    <row r="21" spans="1:20" x14ac:dyDescent="0.2">
      <c r="A21" s="3"/>
      <c r="B21" s="12">
        <f t="shared" ref="B21:G21" si="57">B20/B3</f>
        <v>-0.10437420490427232</v>
      </c>
      <c r="C21" s="12">
        <f t="shared" si="57"/>
        <v>-1.0627399392398138</v>
      </c>
      <c r="D21" s="12">
        <f t="shared" si="57"/>
        <v>7.1595460614152201E-2</v>
      </c>
      <c r="E21" s="12">
        <f t="shared" si="57"/>
        <v>0.21454935111322776</v>
      </c>
      <c r="F21" s="12">
        <f t="shared" si="57"/>
        <v>0.15307048502571341</v>
      </c>
      <c r="G21" s="12">
        <f t="shared" si="57"/>
        <v>0.24330164217804667</v>
      </c>
      <c r="H21" s="12"/>
      <c r="I21" s="12">
        <f t="shared" ref="I21:P21" si="58">I20/I3</f>
        <v>-3.3134526176275677E-3</v>
      </c>
      <c r="J21" s="12">
        <f t="shared" si="58"/>
        <v>0.17538022813688212</v>
      </c>
      <c r="K21" s="12">
        <f t="shared" si="58"/>
        <v>0.41712898751733701</v>
      </c>
      <c r="L21" s="12">
        <f t="shared" si="58"/>
        <v>0.12355415352260778</v>
      </c>
      <c r="M21" s="12">
        <f t="shared" si="58"/>
        <v>-2.7502750275027505E-3</v>
      </c>
      <c r="N21" s="12">
        <f t="shared" si="58"/>
        <v>0.21054750402576489</v>
      </c>
      <c r="O21" s="12">
        <f t="shared" si="58"/>
        <v>0.44038857815719751</v>
      </c>
      <c r="P21" s="12">
        <f t="shared" si="58"/>
        <v>-0.22362488728584309</v>
      </c>
      <c r="Q21" s="12">
        <f t="shared" ref="Q21:T21" si="59">Q20/Q3</f>
        <v>1.0045662100456621E-2</v>
      </c>
      <c r="R21" s="12">
        <f t="shared" si="59"/>
        <v>0.22275862068965518</v>
      </c>
      <c r="S21" s="12">
        <f t="shared" si="59"/>
        <v>0.41341772151898737</v>
      </c>
      <c r="T21" s="12">
        <f t="shared" si="59"/>
        <v>0.20316205533596837</v>
      </c>
    </row>
    <row r="22" spans="1:20" x14ac:dyDescent="0.2">
      <c r="A22" s="3"/>
      <c r="B22" s="12"/>
      <c r="C22" s="23">
        <f>(C20-B20)/ABS(B20)</f>
        <v>-6.1582037831252672</v>
      </c>
      <c r="D22" s="23">
        <f>(D20-C20)/ABS(C20)</f>
        <v>1.1194937143242325</v>
      </c>
      <c r="E22" s="23">
        <f t="shared" ref="E22:G22" si="60">(E20-D20)/ABS(D20)</f>
        <v>3.2004662004662006</v>
      </c>
      <c r="F22" s="23">
        <f t="shared" si="60"/>
        <v>-0.15760266370699222</v>
      </c>
      <c r="G22" s="23">
        <f t="shared" si="60"/>
        <v>0.85441370223978919</v>
      </c>
      <c r="H22" s="12"/>
      <c r="I22" s="12"/>
      <c r="J22" s="12"/>
      <c r="K22" s="12"/>
      <c r="L22" s="12"/>
      <c r="M22" s="23">
        <f>(M20-I20)/ABS(I20)</f>
        <v>0</v>
      </c>
      <c r="N22" s="23">
        <f t="shared" ref="N22:P22" si="61">(N20-J20)/ABS(J20)</f>
        <v>0.41734417344173441</v>
      </c>
      <c r="O22" s="23">
        <f t="shared" si="61"/>
        <v>0.24355777223607647</v>
      </c>
      <c r="P22" s="23">
        <f t="shared" si="61"/>
        <v>-3.1106382978723404</v>
      </c>
      <c r="Q22" s="23">
        <f>(Q20-M20)/ABS(M20)</f>
        <v>5.4</v>
      </c>
      <c r="R22" s="23">
        <f t="shared" ref="R22" si="62">(R20-N20)/ABS(N20)</f>
        <v>0.23518164435946462</v>
      </c>
      <c r="S22" s="23">
        <f t="shared" ref="S22" si="63">(S20-O20)/ABS(O20)</f>
        <v>9.1577540106951877E-2</v>
      </c>
      <c r="T22" s="23">
        <f t="shared" ref="T22" si="64">(T20-P20)/ABS(P20)</f>
        <v>2.036290322580645</v>
      </c>
    </row>
    <row r="23" spans="1:20" x14ac:dyDescent="0.2">
      <c r="A23" s="4" t="s">
        <v>45</v>
      </c>
      <c r="B23" s="5">
        <v>85.902000000000001</v>
      </c>
      <c r="C23" s="5">
        <v>27.117000000000001</v>
      </c>
      <c r="D23" s="6">
        <v>13</v>
      </c>
      <c r="E23" s="6">
        <f>SUM(I23:L23)</f>
        <v>186</v>
      </c>
      <c r="F23" s="6">
        <f>SUM(M23:P23)</f>
        <v>721</v>
      </c>
      <c r="G23" s="6">
        <f>SUM(Q23:T23)</f>
        <v>639</v>
      </c>
      <c r="I23" s="8">
        <v>5</v>
      </c>
      <c r="J23" s="8">
        <v>20</v>
      </c>
      <c r="K23" s="8">
        <v>59</v>
      </c>
      <c r="L23" s="8">
        <v>102</v>
      </c>
      <c r="M23" s="8">
        <v>146</v>
      </c>
      <c r="N23" s="8">
        <v>191</v>
      </c>
      <c r="O23" s="8">
        <v>192</v>
      </c>
      <c r="P23" s="8">
        <v>192</v>
      </c>
      <c r="Q23" s="8">
        <v>192</v>
      </c>
      <c r="R23" s="8">
        <v>192</v>
      </c>
      <c r="S23" s="8">
        <v>145</v>
      </c>
      <c r="T23" s="8">
        <v>110</v>
      </c>
    </row>
    <row r="24" spans="1:20" x14ac:dyDescent="0.2">
      <c r="A24" s="4" t="s">
        <v>46</v>
      </c>
      <c r="B24" s="5">
        <v>-9.968</v>
      </c>
      <c r="C24" s="5">
        <v>-171.68799999999999</v>
      </c>
      <c r="D24" s="6">
        <v>-438</v>
      </c>
      <c r="E24" s="6">
        <f>SUM(I24:L24)</f>
        <v>-24</v>
      </c>
      <c r="F24" s="6">
        <f>SUM(M24:P24)</f>
        <v>-83</v>
      </c>
      <c r="G24" s="6">
        <f t="shared" ref="G24:G27" si="65">SUM(Q24:T24)</f>
        <v>-140</v>
      </c>
      <c r="I24" s="8">
        <v>-6</v>
      </c>
      <c r="J24" s="8">
        <v>-8</v>
      </c>
      <c r="K24" s="8">
        <v>-5</v>
      </c>
      <c r="L24" s="8">
        <v>-5</v>
      </c>
      <c r="M24" s="8">
        <v>-4</v>
      </c>
      <c r="N24" s="8">
        <v>-2</v>
      </c>
      <c r="O24" s="8">
        <v>-6</v>
      </c>
      <c r="P24" s="8">
        <v>-71</v>
      </c>
      <c r="Q24" s="8">
        <v>-70</v>
      </c>
      <c r="R24" s="8">
        <v>-45</v>
      </c>
      <c r="S24" s="8">
        <v>-20</v>
      </c>
      <c r="T24" s="8">
        <v>-5</v>
      </c>
    </row>
    <row r="25" spans="1:20" x14ac:dyDescent="0.2">
      <c r="A25" s="4" t="s">
        <v>47</v>
      </c>
      <c r="B25" s="5">
        <v>13.906000000000001</v>
      </c>
      <c r="C25" s="5">
        <v>-947.22</v>
      </c>
      <c r="D25" s="6">
        <v>-304</v>
      </c>
      <c r="E25" s="6">
        <f t="shared" ref="E25:E27" si="66">SUM(I25:L25)</f>
        <v>25</v>
      </c>
      <c r="F25" s="6">
        <f t="shared" ref="F25:F27" si="67">SUM(M25:P25)</f>
        <v>-54</v>
      </c>
      <c r="G25" s="6">
        <f t="shared" si="65"/>
        <v>-10</v>
      </c>
      <c r="I25" s="8">
        <v>-2</v>
      </c>
      <c r="J25" s="8">
        <v>2</v>
      </c>
      <c r="K25" s="8">
        <v>13</v>
      </c>
      <c r="L25" s="8">
        <v>12</v>
      </c>
      <c r="M25" s="8">
        <v>-7</v>
      </c>
      <c r="N25" s="8">
        <v>-36</v>
      </c>
      <c r="O25" s="8">
        <v>-3</v>
      </c>
      <c r="P25" s="8">
        <v>-8</v>
      </c>
      <c r="Q25" s="8">
        <v>-10</v>
      </c>
      <c r="R25" s="8">
        <v>4</v>
      </c>
      <c r="S25" s="8">
        <v>3</v>
      </c>
      <c r="T25" s="8">
        <v>-7</v>
      </c>
    </row>
    <row r="26" spans="1:20" x14ac:dyDescent="0.2">
      <c r="A26" s="4" t="s">
        <v>48</v>
      </c>
      <c r="B26" s="5">
        <f>B20+B23+B24+B25</f>
        <v>-411.7030000000006</v>
      </c>
      <c r="C26" s="5">
        <f>C20+C23+C24+C25</f>
        <v>-4681.9380000000001</v>
      </c>
      <c r="D26" s="5">
        <f>D20+D23+D24+D25</f>
        <v>-300</v>
      </c>
      <c r="E26" s="6">
        <f t="shared" si="66"/>
        <v>1989</v>
      </c>
      <c r="F26" s="6">
        <f t="shared" si="67"/>
        <v>2102</v>
      </c>
      <c r="G26" s="6">
        <f t="shared" si="65"/>
        <v>3304</v>
      </c>
      <c r="H26" s="5"/>
      <c r="I26" s="5">
        <f>I20+I23+I24+I25</f>
        <v>-8</v>
      </c>
      <c r="J26" s="5">
        <f>J20+J23+J24+J25</f>
        <v>383</v>
      </c>
      <c r="K26" s="5">
        <f t="shared" ref="K26" si="68">K20+K23+K24+K25</f>
        <v>1270</v>
      </c>
      <c r="L26" s="5">
        <f>L20+L23+L24+L25</f>
        <v>344</v>
      </c>
      <c r="M26" s="5">
        <f t="shared" ref="M26:O26" si="69">M20+M23+M24+M25</f>
        <v>130</v>
      </c>
      <c r="N26" s="5">
        <f t="shared" si="69"/>
        <v>676</v>
      </c>
      <c r="O26" s="5">
        <f t="shared" si="69"/>
        <v>1679</v>
      </c>
      <c r="P26" s="5">
        <f>P20+P23+P24+P25</f>
        <v>-383</v>
      </c>
      <c r="Q26" s="5">
        <f t="shared" ref="Q26" si="70">Q20+Q23+Q24+Q25</f>
        <v>134</v>
      </c>
      <c r="R26" s="5">
        <f t="shared" ref="R26" si="71">R20+R23+R24+R25</f>
        <v>797</v>
      </c>
      <c r="S26" s="5">
        <f t="shared" ref="S26" si="72">S20+S23+S24+S25</f>
        <v>1761</v>
      </c>
      <c r="T26" s="5">
        <f t="shared" ref="T26" si="73">T20+T23+T24+T25</f>
        <v>612</v>
      </c>
    </row>
    <row r="27" spans="1:20" x14ac:dyDescent="0.2">
      <c r="A27" s="4" t="s">
        <v>49</v>
      </c>
      <c r="B27" s="5">
        <v>262.63600000000002</v>
      </c>
      <c r="C27" s="5">
        <v>-97.221999999999994</v>
      </c>
      <c r="D27" s="6">
        <v>52</v>
      </c>
      <c r="E27" s="6">
        <f t="shared" si="66"/>
        <v>95.7</v>
      </c>
      <c r="F27" s="6">
        <f t="shared" si="67"/>
        <v>-2689.6</v>
      </c>
      <c r="G27" s="6">
        <f t="shared" si="65"/>
        <v>579</v>
      </c>
      <c r="I27" s="8">
        <v>10.7</v>
      </c>
      <c r="J27" s="8">
        <v>4</v>
      </c>
      <c r="K27" s="8">
        <v>56</v>
      </c>
      <c r="L27" s="8">
        <v>25</v>
      </c>
      <c r="M27" s="8">
        <v>13.4</v>
      </c>
      <c r="N27" s="8">
        <v>26</v>
      </c>
      <c r="O27" s="8">
        <v>-2695</v>
      </c>
      <c r="P27" s="8">
        <v>-34</v>
      </c>
      <c r="Q27" s="8">
        <v>24</v>
      </c>
      <c r="R27" s="8">
        <v>140</v>
      </c>
      <c r="S27" s="8">
        <v>310</v>
      </c>
      <c r="T27" s="8">
        <v>105</v>
      </c>
    </row>
    <row r="28" spans="1:20" x14ac:dyDescent="0.2">
      <c r="A28" s="18" t="s">
        <v>145</v>
      </c>
      <c r="B28" s="19">
        <f>-B27/B26</f>
        <v>0.63792588346453549</v>
      </c>
      <c r="C28" s="19">
        <f>-C27/C26</f>
        <v>-2.0765332646438289E-2</v>
      </c>
      <c r="D28" s="19">
        <f>-D27/D26</f>
        <v>0.17333333333333334</v>
      </c>
      <c r="E28" s="19">
        <f>E27/E26</f>
        <v>4.8114630467571647E-2</v>
      </c>
      <c r="F28" s="19">
        <f>F27/F26</f>
        <v>-1.2795432921027592</v>
      </c>
      <c r="G28" s="19">
        <f>G27/G26</f>
        <v>0.17524213075060532</v>
      </c>
      <c r="H28" s="20"/>
      <c r="I28" s="19">
        <f>-I27/I26</f>
        <v>1.3374999999999999</v>
      </c>
      <c r="J28" s="19">
        <f t="shared" ref="J28:N28" si="74">J27/J26</f>
        <v>1.0443864229765013E-2</v>
      </c>
      <c r="K28" s="19">
        <f t="shared" si="74"/>
        <v>4.4094488188976377E-2</v>
      </c>
      <c r="L28" s="19">
        <f t="shared" si="74"/>
        <v>7.2674418604651167E-2</v>
      </c>
      <c r="M28" s="19">
        <f t="shared" si="74"/>
        <v>0.10307692307692308</v>
      </c>
      <c r="N28" s="19">
        <f t="shared" si="74"/>
        <v>3.8461538461538464E-2</v>
      </c>
      <c r="O28" s="19">
        <f>O27/O26</f>
        <v>-1.6051220964860036</v>
      </c>
      <c r="P28" s="19">
        <f>-P27/P26</f>
        <v>-8.877284595300261E-2</v>
      </c>
      <c r="Q28" s="19">
        <f>Q27/Q26</f>
        <v>0.17910447761194029</v>
      </c>
      <c r="R28" s="19">
        <f t="shared" ref="R28:T28" si="75">R27/R26</f>
        <v>0.17565872020075282</v>
      </c>
      <c r="S28" s="19">
        <f t="shared" si="75"/>
        <v>0.17603634298693924</v>
      </c>
      <c r="T28" s="19">
        <f t="shared" si="75"/>
        <v>0.17156862745098039</v>
      </c>
    </row>
    <row r="29" spans="1:20" x14ac:dyDescent="0.2">
      <c r="A29" s="3" t="s">
        <v>50</v>
      </c>
      <c r="B29" s="5">
        <f>B26-B27</f>
        <v>-674.33900000000062</v>
      </c>
      <c r="C29" s="5">
        <f t="shared" ref="C29:T29" si="76">C26-C27</f>
        <v>-4584.7160000000003</v>
      </c>
      <c r="D29" s="5">
        <f t="shared" si="76"/>
        <v>-352</v>
      </c>
      <c r="E29" s="5">
        <f>E26-E27</f>
        <v>1893.3</v>
      </c>
      <c r="F29" s="5">
        <f t="shared" si="76"/>
        <v>4791.6000000000004</v>
      </c>
      <c r="G29" s="5">
        <f t="shared" si="76"/>
        <v>2725</v>
      </c>
      <c r="H29" s="5"/>
      <c r="I29" s="5">
        <f t="shared" si="76"/>
        <v>-18.7</v>
      </c>
      <c r="J29" s="5">
        <f t="shared" si="76"/>
        <v>379</v>
      </c>
      <c r="K29" s="5">
        <f t="shared" si="76"/>
        <v>1214</v>
      </c>
      <c r="L29" s="5">
        <f t="shared" ref="L29" si="77">L26-L27</f>
        <v>319</v>
      </c>
      <c r="M29" s="5">
        <f t="shared" si="76"/>
        <v>116.6</v>
      </c>
      <c r="N29" s="5">
        <f t="shared" si="76"/>
        <v>650</v>
      </c>
      <c r="O29" s="5">
        <f t="shared" si="76"/>
        <v>4374</v>
      </c>
      <c r="P29" s="5">
        <f t="shared" si="76"/>
        <v>-349</v>
      </c>
      <c r="Q29" s="5">
        <f t="shared" si="76"/>
        <v>110</v>
      </c>
      <c r="R29" s="5">
        <f t="shared" si="76"/>
        <v>657</v>
      </c>
      <c r="S29" s="5">
        <f t="shared" si="76"/>
        <v>1451</v>
      </c>
      <c r="T29" s="5">
        <f t="shared" si="76"/>
        <v>507</v>
      </c>
    </row>
    <row r="30" spans="1:20" x14ac:dyDescent="0.2">
      <c r="A30" s="3"/>
      <c r="B30" s="12">
        <f t="shared" ref="B30:G30" si="78">B29/B3</f>
        <v>-0.14033412281886515</v>
      </c>
      <c r="C30" s="12">
        <f t="shared" si="78"/>
        <v>-1.3571479951299494</v>
      </c>
      <c r="D30" s="12">
        <f t="shared" si="78"/>
        <v>-5.8744993324432573E-2</v>
      </c>
      <c r="E30" s="12">
        <f t="shared" si="78"/>
        <v>0.22541969282057386</v>
      </c>
      <c r="F30" s="12">
        <f t="shared" si="78"/>
        <v>0.48317031360290413</v>
      </c>
      <c r="G30" s="12">
        <f t="shared" si="78"/>
        <v>0.23552290406222989</v>
      </c>
      <c r="H30" s="12"/>
      <c r="I30" s="12">
        <f t="shared" ref="I30:P30" si="79">I29/I3</f>
        <v>-1.2392312789927104E-2</v>
      </c>
      <c r="J30" s="12">
        <f t="shared" si="79"/>
        <v>0.18013307984790874</v>
      </c>
      <c r="K30" s="12">
        <f t="shared" si="79"/>
        <v>0.42094313453536752</v>
      </c>
      <c r="L30" s="12">
        <f t="shared" si="79"/>
        <v>0.16771819137749738</v>
      </c>
      <c r="M30" s="12">
        <f t="shared" si="79"/>
        <v>6.4136413641364132E-2</v>
      </c>
      <c r="N30" s="12">
        <f t="shared" si="79"/>
        <v>0.26167471819645732</v>
      </c>
      <c r="O30" s="12">
        <f t="shared" si="79"/>
        <v>1.2876067118045333</v>
      </c>
      <c r="P30" s="12">
        <f t="shared" si="79"/>
        <v>-0.15734896302975654</v>
      </c>
      <c r="Q30" s="12">
        <f t="shared" ref="Q30:T30" si="80">Q29/Q3</f>
        <v>5.0228310502283102E-2</v>
      </c>
      <c r="R30" s="12">
        <f t="shared" si="80"/>
        <v>0.22655172413793104</v>
      </c>
      <c r="S30" s="12">
        <f t="shared" si="80"/>
        <v>0.36734177215189873</v>
      </c>
      <c r="T30" s="12">
        <f t="shared" si="80"/>
        <v>0.20039525691699606</v>
      </c>
    </row>
    <row r="31" spans="1:20" x14ac:dyDescent="0.2">
      <c r="A31" s="3"/>
      <c r="B31" s="5"/>
      <c r="C31" s="23">
        <f>(C29-B29)/ABS(B29)</f>
        <v>-5.7988296687571026</v>
      </c>
      <c r="D31" s="23">
        <f t="shared" ref="D31:G31" si="81">(D29-C29)/ABS(C29)</f>
        <v>0.92322316147826822</v>
      </c>
      <c r="E31" s="23">
        <f t="shared" si="81"/>
        <v>6.378693181818182</v>
      </c>
      <c r="F31" s="23">
        <f t="shared" si="81"/>
        <v>1.5308192045634608</v>
      </c>
      <c r="G31" s="23">
        <f t="shared" si="81"/>
        <v>-0.43129643542866686</v>
      </c>
      <c r="H31" s="23"/>
      <c r="I31" s="23"/>
      <c r="J31" s="23"/>
      <c r="K31" s="23"/>
      <c r="L31" s="23"/>
      <c r="M31" s="23">
        <f>(M29-I29)/ABS(I29)</f>
        <v>7.235294117647058</v>
      </c>
      <c r="N31" s="23">
        <f t="shared" ref="N31:P31" si="82">(N29-J29)/ABS(J29)</f>
        <v>0.71503957783641159</v>
      </c>
      <c r="O31" s="23">
        <f t="shared" si="82"/>
        <v>2.6029654036243821</v>
      </c>
      <c r="P31" s="23">
        <f t="shared" si="82"/>
        <v>-2.0940438871473352</v>
      </c>
      <c r="Q31" s="23">
        <f t="shared" ref="Q31" si="83">(Q29-M29)/ABS(M29)</f>
        <v>-5.6603773584905613E-2</v>
      </c>
      <c r="R31" s="23">
        <f t="shared" ref="R31" si="84">(R29-N29)/ABS(N29)</f>
        <v>1.0769230769230769E-2</v>
      </c>
      <c r="S31" s="23">
        <f t="shared" ref="S31" si="85">(S29-O29)/ABS(O29)</f>
        <v>-0.66826703246456332</v>
      </c>
      <c r="T31" s="23">
        <f t="shared" ref="T31" si="86">(T29-P29)/ABS(P29)</f>
        <v>2.4527220630372493</v>
      </c>
    </row>
    <row r="32" spans="1:20" x14ac:dyDescent="0.2">
      <c r="A32" s="4" t="s">
        <v>99</v>
      </c>
      <c r="B32" s="7">
        <f>B$29/B34</f>
        <v>-2.5880770352630553</v>
      </c>
      <c r="C32" s="7">
        <f t="shared" ref="C32:T32" si="87">C$29/C34</f>
        <v>-16.122758586735969</v>
      </c>
      <c r="D32" s="7">
        <f t="shared" si="87"/>
        <v>-0.5714285714285714</v>
      </c>
      <c r="E32" s="7">
        <f t="shared" si="87"/>
        <v>2.9722135007849291</v>
      </c>
      <c r="F32" s="7">
        <f t="shared" si="87"/>
        <v>7.5191839937230291</v>
      </c>
      <c r="G32" s="7">
        <f t="shared" si="87"/>
        <v>4.2578125</v>
      </c>
      <c r="H32" s="7"/>
      <c r="I32" s="7">
        <f t="shared" si="87"/>
        <v>-2.9448818897637796E-2</v>
      </c>
      <c r="J32" s="7">
        <f t="shared" si="87"/>
        <v>0.59404388714733547</v>
      </c>
      <c r="K32" s="7">
        <f t="shared" si="87"/>
        <v>1.8998435054773084</v>
      </c>
      <c r="L32" s="7">
        <f t="shared" si="87"/>
        <v>0.50315457413249209</v>
      </c>
      <c r="M32" s="7">
        <f t="shared" si="87"/>
        <v>0.1839116719242902</v>
      </c>
      <c r="N32" s="7">
        <f t="shared" si="87"/>
        <v>1.0236220472440944</v>
      </c>
      <c r="O32" s="7">
        <f t="shared" si="87"/>
        <v>6.8343749999999996</v>
      </c>
      <c r="P32" s="7">
        <f t="shared" si="87"/>
        <v>-0.54531249999999998</v>
      </c>
      <c r="Q32" s="7">
        <f t="shared" si="87"/>
        <v>0.171875</v>
      </c>
      <c r="R32" s="7">
        <f t="shared" si="87"/>
        <v>1.0265625</v>
      </c>
      <c r="S32" s="7">
        <f t="shared" si="87"/>
        <v>2.2671874999999999</v>
      </c>
      <c r="T32" s="7">
        <f t="shared" si="87"/>
        <v>0.79218750000000004</v>
      </c>
    </row>
    <row r="33" spans="1:20" x14ac:dyDescent="0.2">
      <c r="A33" s="4" t="s">
        <v>100</v>
      </c>
      <c r="B33" s="7">
        <f>B$29/B35</f>
        <v>-2.5880770352630553</v>
      </c>
      <c r="C33" s="7">
        <f t="shared" ref="C33:T33" si="88">C$29/C35</f>
        <v>-16.122758586735969</v>
      </c>
      <c r="D33" s="7">
        <f t="shared" si="88"/>
        <v>-0.5714285714285714</v>
      </c>
      <c r="E33" s="7">
        <f t="shared" si="88"/>
        <v>2.7842647058823529</v>
      </c>
      <c r="F33" s="7">
        <f t="shared" si="88"/>
        <v>7.2380664652567983</v>
      </c>
      <c r="G33" s="7">
        <f t="shared" si="88"/>
        <v>4.2578125</v>
      </c>
      <c r="H33" s="7"/>
      <c r="I33" s="7">
        <f t="shared" si="88"/>
        <v>-2.9448818897637796E-2</v>
      </c>
      <c r="J33" s="7">
        <f t="shared" si="88"/>
        <v>0.55409356725146197</v>
      </c>
      <c r="K33" s="7">
        <f t="shared" si="88"/>
        <v>1.7852941176470589</v>
      </c>
      <c r="L33" s="7">
        <f t="shared" si="88"/>
        <v>0.47470238095238093</v>
      </c>
      <c r="M33" s="7">
        <f t="shared" si="88"/>
        <v>0.17402985074626864</v>
      </c>
      <c r="N33" s="7">
        <f t="shared" si="88"/>
        <v>0.97744360902255634</v>
      </c>
      <c r="O33" s="7">
        <f t="shared" si="88"/>
        <v>6.627272727272727</v>
      </c>
      <c r="P33" s="7">
        <f t="shared" si="88"/>
        <v>-0.54531249999999998</v>
      </c>
      <c r="Q33" s="7">
        <f t="shared" si="88"/>
        <v>0.171875</v>
      </c>
      <c r="R33" s="7">
        <f t="shared" si="88"/>
        <v>1.0265625</v>
      </c>
      <c r="S33" s="7">
        <f t="shared" si="88"/>
        <v>2.2671874999999999</v>
      </c>
      <c r="T33" s="7">
        <f t="shared" si="88"/>
        <v>0.79218750000000004</v>
      </c>
    </row>
    <row r="34" spans="1:20" x14ac:dyDescent="0.2">
      <c r="A34" s="4" t="s">
        <v>55</v>
      </c>
      <c r="B34" s="11">
        <v>260.55599999999998</v>
      </c>
      <c r="C34" s="11">
        <v>284.363</v>
      </c>
      <c r="D34" s="6">
        <v>616</v>
      </c>
      <c r="E34" s="6">
        <v>637</v>
      </c>
      <c r="F34" s="6">
        <f>AVERAGE(M34:P34)</f>
        <v>637.25</v>
      </c>
      <c r="G34" s="6">
        <f>AVERAGE(Q34:T34)</f>
        <v>640</v>
      </c>
      <c r="H34" s="6"/>
      <c r="I34" s="6">
        <v>635</v>
      </c>
      <c r="J34" s="6">
        <v>638</v>
      </c>
      <c r="K34" s="6">
        <v>639</v>
      </c>
      <c r="L34" s="6">
        <v>634</v>
      </c>
      <c r="M34" s="6">
        <v>634</v>
      </c>
      <c r="N34">
        <v>635</v>
      </c>
      <c r="O34">
        <v>640</v>
      </c>
      <c r="P34">
        <v>640</v>
      </c>
      <c r="Q34">
        <v>640</v>
      </c>
      <c r="R34">
        <v>640</v>
      </c>
      <c r="S34">
        <v>640</v>
      </c>
      <c r="T34">
        <v>640</v>
      </c>
    </row>
    <row r="35" spans="1:20" x14ac:dyDescent="0.2">
      <c r="A35" s="4" t="s">
        <v>56</v>
      </c>
      <c r="B35" s="11">
        <v>260.55599999999998</v>
      </c>
      <c r="C35" s="11">
        <v>284.363</v>
      </c>
      <c r="D35" s="6">
        <v>616</v>
      </c>
      <c r="E35" s="6">
        <v>680</v>
      </c>
      <c r="F35" s="6">
        <v>662</v>
      </c>
      <c r="G35" s="6">
        <f>AVERAGE(Q35:T35)</f>
        <v>640</v>
      </c>
      <c r="H35" s="6"/>
      <c r="I35" s="6">
        <v>635</v>
      </c>
      <c r="J35" s="6">
        <v>684</v>
      </c>
      <c r="K35" s="6">
        <v>680</v>
      </c>
      <c r="L35" s="6">
        <v>672</v>
      </c>
      <c r="M35" s="11">
        <v>670</v>
      </c>
      <c r="N35">
        <v>665</v>
      </c>
      <c r="O35">
        <v>660</v>
      </c>
      <c r="P35">
        <v>640</v>
      </c>
      <c r="Q35">
        <v>640</v>
      </c>
      <c r="R35">
        <v>640</v>
      </c>
      <c r="S35">
        <v>640</v>
      </c>
      <c r="T35">
        <v>640</v>
      </c>
    </row>
    <row r="36" spans="1:20" x14ac:dyDescent="0.2">
      <c r="E36" s="7"/>
      <c r="I36" s="6"/>
      <c r="M36" s="5"/>
    </row>
    <row r="37" spans="1:20" x14ac:dyDescent="0.2">
      <c r="I37" s="20"/>
      <c r="M37" s="7"/>
    </row>
    <row r="38" spans="1:20" x14ac:dyDescent="0.2">
      <c r="A38" s="15" t="s">
        <v>101</v>
      </c>
      <c r="B38" s="13"/>
      <c r="C38" s="13"/>
      <c r="D38" s="13"/>
      <c r="E38" s="13"/>
      <c r="F38" s="13"/>
      <c r="I38" s="5"/>
      <c r="M38" s="7"/>
    </row>
    <row r="39" spans="1:20" x14ac:dyDescent="0.2">
      <c r="A39" s="16"/>
      <c r="B39" s="13"/>
      <c r="C39" s="13"/>
      <c r="D39" s="13"/>
      <c r="E39" s="13"/>
      <c r="F39" s="13"/>
      <c r="I39" s="7"/>
      <c r="N39" s="24"/>
    </row>
    <row r="40" spans="1:20" x14ac:dyDescent="0.2">
      <c r="A40" s="16" t="s">
        <v>102</v>
      </c>
      <c r="B40" s="14">
        <f t="shared" ref="B40:G40" si="89">B29</f>
        <v>-674.33900000000062</v>
      </c>
      <c r="C40" s="14">
        <f t="shared" si="89"/>
        <v>-4584.7160000000003</v>
      </c>
      <c r="D40" s="14">
        <f t="shared" si="89"/>
        <v>-352</v>
      </c>
      <c r="E40" s="14">
        <f t="shared" si="89"/>
        <v>1893.3</v>
      </c>
      <c r="F40" s="14">
        <f t="shared" si="89"/>
        <v>4791.6000000000004</v>
      </c>
      <c r="G40" s="14">
        <f t="shared" si="89"/>
        <v>2725</v>
      </c>
      <c r="I40" s="7"/>
    </row>
    <row r="41" spans="1:20" x14ac:dyDescent="0.2">
      <c r="A41" s="16" t="s">
        <v>103</v>
      </c>
      <c r="B41" s="14">
        <f>'Statement of Cashflow'!D6</f>
        <v>114.16200000000001</v>
      </c>
      <c r="C41" s="14">
        <f>'Statement of Cashflow'!E6</f>
        <v>125.876</v>
      </c>
      <c r="D41" s="14">
        <f>'Statement of Cashflow'!F6</f>
        <v>138</v>
      </c>
      <c r="E41" s="14">
        <f>'Statement of Cashflow'!G6</f>
        <v>81</v>
      </c>
      <c r="F41" s="14">
        <f>'Statement of Cashflow'!H6</f>
        <v>44</v>
      </c>
    </row>
    <row r="42" spans="1:20" x14ac:dyDescent="0.2">
      <c r="A42" s="16" t="s">
        <v>62</v>
      </c>
      <c r="B42" s="14">
        <f>'Statement of Cashflow'!D8</f>
        <v>-5.6269999999999998</v>
      </c>
      <c r="C42" s="14">
        <f>'Statement of Cashflow'!E8</f>
        <v>-19.600999999999999</v>
      </c>
      <c r="D42" s="14">
        <f>'Statement of Cashflow'!F8</f>
        <v>11</v>
      </c>
      <c r="E42" s="14">
        <f>'Statement of Cashflow'!G8</f>
        <v>-1</v>
      </c>
      <c r="F42" s="14">
        <f>'Statement of Cashflow'!H8</f>
        <v>-2875</v>
      </c>
    </row>
    <row r="43" spans="1:20" x14ac:dyDescent="0.2">
      <c r="A43" s="16" t="s">
        <v>104</v>
      </c>
      <c r="B43" s="14">
        <f>'Statement of Cashflow'!D12+'Statement of Cashflow'!D11+'Statement of Cashflow'!D10+'Statement of Cashflow'!D9+'Statement of Cashflow'!D7</f>
        <v>168.149</v>
      </c>
      <c r="C43" s="14">
        <f>'Statement of Cashflow'!E12+'Statement of Cashflow'!E11+'Statement of Cashflow'!E10+'Statement of Cashflow'!E9+'Statement of Cashflow'!E7</f>
        <v>4133.3189999999995</v>
      </c>
      <c r="D43" s="14">
        <f>'Statement of Cashflow'!F12+'Statement of Cashflow'!F11+'Statement of Cashflow'!F10+'Statement of Cashflow'!F9+'Statement of Cashflow'!F7</f>
        <v>1755</v>
      </c>
      <c r="E43" s="14">
        <f>'Statement of Cashflow'!G12+'Statement of Cashflow'!G11+'Statement of Cashflow'!G10+'Statement of Cashflow'!G9+'Statement of Cashflow'!G7</f>
        <v>1138</v>
      </c>
      <c r="F43" s="14">
        <f>'Statement of Cashflow'!H12+'Statement of Cashflow'!H11+'Statement of Cashflow'!H10+'Statement of Cashflow'!H9+'Statement of Cashflow'!H7</f>
        <v>1203</v>
      </c>
    </row>
    <row r="44" spans="1:20" x14ac:dyDescent="0.2">
      <c r="A44" s="16" t="s">
        <v>105</v>
      </c>
      <c r="B44" s="14">
        <f>'Statement of Cashflow'!D20</f>
        <v>620.38200000000006</v>
      </c>
      <c r="C44" s="14">
        <f>'Statement of Cashflow'!E20</f>
        <v>-284.61</v>
      </c>
      <c r="D44" s="14">
        <f>'Statement of Cashflow'!F20</f>
        <v>761</v>
      </c>
      <c r="E44" s="14">
        <f>'Statement of Cashflow'!G20</f>
        <v>319</v>
      </c>
      <c r="F44" s="14">
        <f>'Statement of Cashflow'!H20</f>
        <v>720</v>
      </c>
    </row>
    <row r="45" spans="1:20" x14ac:dyDescent="0.2">
      <c r="A45" s="16" t="s">
        <v>106</v>
      </c>
      <c r="B45" s="14">
        <f>B40+B41+B42+B43+B44</f>
        <v>222.72699999999952</v>
      </c>
      <c r="C45" s="14">
        <f t="shared" ref="C45:F45" si="90">C40+C41+C42+C43+C44</f>
        <v>-629.73200000000031</v>
      </c>
      <c r="D45" s="14">
        <f t="shared" si="90"/>
        <v>2313</v>
      </c>
      <c r="E45" s="14">
        <f t="shared" si="90"/>
        <v>3430.3</v>
      </c>
      <c r="F45" s="14">
        <f t="shared" si="90"/>
        <v>3883.6000000000004</v>
      </c>
    </row>
    <row r="46" spans="1:20" x14ac:dyDescent="0.2">
      <c r="A46" s="16" t="s">
        <v>107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</row>
    <row r="47" spans="1:20" x14ac:dyDescent="0.2">
      <c r="A47" s="16" t="s">
        <v>108</v>
      </c>
      <c r="B47" s="14">
        <f>B45+B46</f>
        <v>222.72699999999952</v>
      </c>
      <c r="C47" s="14">
        <f t="shared" ref="C47:F47" si="91">C45+C46</f>
        <v>-629.73200000000031</v>
      </c>
      <c r="D47" s="14">
        <f t="shared" si="91"/>
        <v>2313</v>
      </c>
      <c r="E47" s="14">
        <f t="shared" si="91"/>
        <v>3430.3</v>
      </c>
      <c r="F47" s="14">
        <f t="shared" si="91"/>
        <v>3883.6000000000004</v>
      </c>
    </row>
    <row r="48" spans="1:20" x14ac:dyDescent="0.2">
      <c r="A48" s="16" t="s">
        <v>109</v>
      </c>
      <c r="B48" s="14">
        <f>B47/'Statement of Operations'!D30</f>
        <v>0.85481432014614722</v>
      </c>
      <c r="C48" s="14">
        <f>C47/'Statement of Operations'!E30</f>
        <v>-2.2145356463393631</v>
      </c>
      <c r="D48" s="14">
        <f>D47/'Statement of Operations'!F30</f>
        <v>3.7548701298701297</v>
      </c>
      <c r="E48" s="14">
        <f>E47/'Statement of Operations'!G30</f>
        <v>5.0445588235294121</v>
      </c>
      <c r="F48" s="14">
        <f>F47/'Statement of Operations'!H30</f>
        <v>5.8664652567975839</v>
      </c>
    </row>
    <row r="49" spans="1:6" x14ac:dyDescent="0.2">
      <c r="A49" s="16"/>
      <c r="B49" s="14"/>
      <c r="C49" s="14"/>
      <c r="D49" s="14"/>
      <c r="E49" s="14"/>
      <c r="F49" s="14"/>
    </row>
    <row r="50" spans="1:6" x14ac:dyDescent="0.2">
      <c r="A50" s="16" t="s">
        <v>110</v>
      </c>
      <c r="B50" s="14">
        <f>'Statement of Cashflow'!D26</f>
        <v>-192.11600000000001</v>
      </c>
      <c r="C50" s="14">
        <f>'Statement of Cashflow'!E26</f>
        <v>0</v>
      </c>
      <c r="D50" s="14">
        <f>'Statement of Cashflow'!F26</f>
        <v>0</v>
      </c>
      <c r="E50" s="14">
        <f>'Statement of Cashflow'!G26</f>
        <v>0</v>
      </c>
      <c r="F50" s="14">
        <f>'Statement of Cashflow'!H26</f>
        <v>0</v>
      </c>
    </row>
    <row r="51" spans="1:6" x14ac:dyDescent="0.2">
      <c r="A51" s="16" t="s">
        <v>111</v>
      </c>
      <c r="B51" s="14">
        <f>'Statement of Cashflow'!D38</f>
        <v>0</v>
      </c>
      <c r="C51" s="14">
        <f>'Statement of Cashflow'!E38</f>
        <v>0</v>
      </c>
      <c r="D51" s="14">
        <f>'Statement of Cashflow'!F38</f>
        <v>0</v>
      </c>
      <c r="E51" s="14">
        <f>'Statement of Cashflow'!G38</f>
        <v>-1500</v>
      </c>
      <c r="F51" s="14">
        <f>'Statement of Cashflow'!H38</f>
        <v>-2252</v>
      </c>
    </row>
    <row r="52" spans="1:6" x14ac:dyDescent="0.2">
      <c r="A52" s="16" t="s">
        <v>112</v>
      </c>
      <c r="B52" s="14">
        <f>'Statement of Cashflow'!D32+'Statement of Cashflow'!D33+'Statement of Cashflow'!D34+'Statement of Cashflow'!D35+'Statement of Cashflow'!D39</f>
        <v>848.70600000000002</v>
      </c>
      <c r="C52" s="14">
        <f>'Statement of Cashflow'!E32+'Statement of Cashflow'!E33+'Statement of Cashflow'!E34+'Statement of Cashflow'!E35+'Statement of Cashflow'!E39</f>
        <v>911.79900000000009</v>
      </c>
      <c r="D52" s="14">
        <f>'Statement of Cashflow'!F32+'Statement of Cashflow'!F33+'Statement of Cashflow'!F34+'Statement of Cashflow'!F35+'Statement of Cashflow'!F39</f>
        <v>1396</v>
      </c>
      <c r="E52" s="14">
        <f>'Statement of Cashflow'!G32+'Statement of Cashflow'!G33+'Statement of Cashflow'!G34+'Statement of Cashflow'!G35+'Statement of Cashflow'!G39</f>
        <v>1330</v>
      </c>
      <c r="F52" s="14">
        <f>'Statement of Cashflow'!H32+'Statement of Cashflow'!H33+'Statement of Cashflow'!H34+'Statement of Cashflow'!H35+'Statement of Cashflow'!H39</f>
        <v>936</v>
      </c>
    </row>
    <row r="53" spans="1:6" x14ac:dyDescent="0.2">
      <c r="A53" s="16" t="s">
        <v>113</v>
      </c>
      <c r="B53" s="14">
        <f>'Statement of Cashflow'!D23+'Statement of Cashflow'!D24</f>
        <v>144.93000000000006</v>
      </c>
      <c r="C53" s="14">
        <f>'Statement of Cashflow'!E23+'Statement of Cashflow'!E24</f>
        <v>125.56099999999969</v>
      </c>
      <c r="D53" s="14">
        <f>'Statement of Cashflow'!F23+'Statement of Cashflow'!F24</f>
        <v>-1327</v>
      </c>
      <c r="E53" s="14">
        <f>'Statement of Cashflow'!G23+'Statement of Cashflow'!G24</f>
        <v>-1</v>
      </c>
      <c r="F53" s="14">
        <f>'Statement of Cashflow'!H23+'Statement of Cashflow'!H24</f>
        <v>-928</v>
      </c>
    </row>
    <row r="54" spans="1:6" x14ac:dyDescent="0.2">
      <c r="A54" s="16" t="s">
        <v>104</v>
      </c>
      <c r="B54" s="14">
        <f>'Statement of Cashflow'!D40+'Statement of Cashflow'!D42</f>
        <v>-25.283999999999999</v>
      </c>
      <c r="C54" s="14">
        <f>'Statement of Cashflow'!E40+'Statement of Cashflow'!E42</f>
        <v>147.66200000000001</v>
      </c>
      <c r="D54" s="14">
        <f>'Statement of Cashflow'!F40+'Statement of Cashflow'!F42</f>
        <v>-210</v>
      </c>
      <c r="E54" s="14">
        <f>'Statement of Cashflow'!G40+'Statement of Cashflow'!G42</f>
        <v>-337</v>
      </c>
      <c r="F54" s="14">
        <f>'Statement of Cashflow'!H40+'Statement of Cashflow'!H42</f>
        <v>152</v>
      </c>
    </row>
    <row r="55" spans="1:6" x14ac:dyDescent="0.2">
      <c r="A55" s="16" t="s">
        <v>106</v>
      </c>
      <c r="B55" s="14">
        <f>SUM(B50:B54)</f>
        <v>776.2360000000001</v>
      </c>
      <c r="C55" s="14">
        <f t="shared" ref="C55:F55" si="92">SUM(C50:C54)</f>
        <v>1185.0219999999997</v>
      </c>
      <c r="D55" s="14">
        <f t="shared" si="92"/>
        <v>-141</v>
      </c>
      <c r="E55" s="14">
        <f t="shared" si="92"/>
        <v>-508</v>
      </c>
      <c r="F55" s="14">
        <f t="shared" si="92"/>
        <v>-2092</v>
      </c>
    </row>
    <row r="56" spans="1:6" x14ac:dyDescent="0.2">
      <c r="A56" s="16" t="s">
        <v>114</v>
      </c>
      <c r="B56" s="14">
        <f>B47+B55</f>
        <v>998.96299999999962</v>
      </c>
      <c r="C56" s="14">
        <f t="shared" ref="C56:F56" si="93">C47+C55</f>
        <v>555.2899999999994</v>
      </c>
      <c r="D56" s="14">
        <f t="shared" si="93"/>
        <v>2172</v>
      </c>
      <c r="E56" s="14">
        <f t="shared" si="93"/>
        <v>2922.3</v>
      </c>
      <c r="F56" s="14">
        <f t="shared" si="93"/>
        <v>1791.6000000000004</v>
      </c>
    </row>
    <row r="57" spans="1:6" x14ac:dyDescent="0.2">
      <c r="A57" s="16" t="s">
        <v>115</v>
      </c>
      <c r="B57" s="14"/>
      <c r="C57" s="14"/>
      <c r="D57" s="14"/>
      <c r="E57" s="14"/>
      <c r="F57" s="14"/>
    </row>
    <row r="58" spans="1:6" x14ac:dyDescent="0.2">
      <c r="A58" s="16" t="s">
        <v>116</v>
      </c>
      <c r="B58" s="14"/>
      <c r="C58" s="14"/>
      <c r="D58" s="14"/>
      <c r="E58" s="14"/>
      <c r="F58" s="14"/>
    </row>
    <row r="59" spans="1:6" x14ac:dyDescent="0.2">
      <c r="A59" s="17" t="s">
        <v>117</v>
      </c>
      <c r="B59" s="14"/>
      <c r="C59" s="14"/>
      <c r="D59" s="14"/>
      <c r="E59" s="14"/>
      <c r="F59" s="14"/>
    </row>
    <row r="61" spans="1:6" x14ac:dyDescent="0.2">
      <c r="A61" s="3" t="s">
        <v>3</v>
      </c>
      <c r="F61" s="4" t="s">
        <v>4</v>
      </c>
    </row>
    <row r="62" spans="1:6" x14ac:dyDescent="0.2">
      <c r="A62" s="4" t="s">
        <v>5</v>
      </c>
      <c r="B62" s="8"/>
      <c r="C62" s="8">
        <v>5480.5569999999998</v>
      </c>
      <c r="D62" s="8">
        <v>6067.4380000000001</v>
      </c>
      <c r="E62" s="8">
        <v>7378</v>
      </c>
      <c r="F62" s="8">
        <v>6874</v>
      </c>
    </row>
    <row r="63" spans="1:6" x14ac:dyDescent="0.2">
      <c r="A63" s="4" t="s">
        <v>91</v>
      </c>
      <c r="B63" s="8"/>
      <c r="C63" s="8">
        <v>910.7</v>
      </c>
      <c r="D63" s="8">
        <v>2255.038</v>
      </c>
      <c r="E63" s="8">
        <v>0</v>
      </c>
      <c r="F63" s="8">
        <v>0</v>
      </c>
    </row>
    <row r="64" spans="1:6" x14ac:dyDescent="0.2">
      <c r="A64" s="4" t="s">
        <v>92</v>
      </c>
      <c r="B64" s="8"/>
      <c r="C64" s="8">
        <v>33.846000000000004</v>
      </c>
      <c r="D64" s="8">
        <v>14.764000000000001</v>
      </c>
      <c r="E64" s="8">
        <v>0</v>
      </c>
      <c r="F64" s="8">
        <v>0</v>
      </c>
    </row>
    <row r="65" spans="1:6" ht="32" x14ac:dyDescent="0.2">
      <c r="A65" s="4" t="s">
        <v>7</v>
      </c>
      <c r="B65" s="8"/>
      <c r="C65" s="8">
        <v>2181.3290000000002</v>
      </c>
      <c r="D65" s="8">
        <v>3715.471</v>
      </c>
      <c r="E65" s="8">
        <v>4783</v>
      </c>
      <c r="F65" s="8">
        <v>5869</v>
      </c>
    </row>
    <row r="66" spans="1:6" ht="48" x14ac:dyDescent="0.2">
      <c r="A66" s="4" t="s">
        <v>6</v>
      </c>
      <c r="B66" s="8"/>
      <c r="C66" s="8">
        <v>0</v>
      </c>
      <c r="D66" s="8">
        <v>0</v>
      </c>
      <c r="E66" s="8">
        <v>2244</v>
      </c>
      <c r="F66" s="8">
        <v>3197</v>
      </c>
    </row>
    <row r="67" spans="1:6" ht="64" x14ac:dyDescent="0.2">
      <c r="A67" s="4" t="s">
        <v>8</v>
      </c>
      <c r="B67" s="8"/>
      <c r="C67" s="8">
        <v>309.95400000000001</v>
      </c>
      <c r="D67" s="8">
        <v>333.66899999999998</v>
      </c>
      <c r="E67" s="8">
        <v>456</v>
      </c>
      <c r="F67" s="8">
        <v>569</v>
      </c>
    </row>
    <row r="68" spans="1:6" x14ac:dyDescent="0.2">
      <c r="A68" s="3" t="s">
        <v>9</v>
      </c>
      <c r="B68" s="8"/>
      <c r="C68" s="8">
        <f>C62+C63+C64+C65+C66+C67</f>
        <v>8916.3859999999986</v>
      </c>
      <c r="D68" s="8">
        <f t="shared" ref="D68:F68" si="94">D62+D63+D64+D65+D66+D67</f>
        <v>12386.38</v>
      </c>
      <c r="E68" s="8">
        <f t="shared" si="94"/>
        <v>14861</v>
      </c>
      <c r="F68" s="8">
        <f t="shared" si="94"/>
        <v>16509</v>
      </c>
    </row>
    <row r="69" spans="1:6" x14ac:dyDescent="0.2">
      <c r="A69" s="3"/>
      <c r="B69" s="12" t="e">
        <f>B68/B79</f>
        <v>#DIV/0!</v>
      </c>
      <c r="C69" s="12">
        <f t="shared" ref="C69:E69" si="95">C68/C79</f>
        <v>0.84986768811587365</v>
      </c>
      <c r="D69" s="12">
        <f t="shared" si="95"/>
        <v>0.90355644253328271</v>
      </c>
      <c r="E69" s="12">
        <f t="shared" si="95"/>
        <v>0.92661179698216734</v>
      </c>
      <c r="F69" s="12">
        <f>F68/F79</f>
        <v>0.7996609348510535</v>
      </c>
    </row>
    <row r="70" spans="1:6" x14ac:dyDescent="0.2">
      <c r="A70" s="3"/>
      <c r="B70" s="8"/>
      <c r="C70" s="41" t="e">
        <f>(C68-B68)/ABS(B68)</f>
        <v>#DIV/0!</v>
      </c>
      <c r="D70" s="41">
        <f t="shared" ref="D70:F70" si="96">(D68-C68)/ABS(C68)</f>
        <v>0.3891704553840537</v>
      </c>
      <c r="E70" s="41">
        <f t="shared" si="96"/>
        <v>0.19978557092548435</v>
      </c>
      <c r="F70" s="41">
        <f t="shared" si="96"/>
        <v>0.11089428706009016</v>
      </c>
    </row>
    <row r="71" spans="1:6" x14ac:dyDescent="0.2">
      <c r="A71" s="4" t="s">
        <v>93</v>
      </c>
      <c r="B71" s="8"/>
      <c r="C71" s="8">
        <v>270.19400000000002</v>
      </c>
      <c r="D71" s="8">
        <v>156.58500000000001</v>
      </c>
      <c r="E71" s="8">
        <v>0</v>
      </c>
      <c r="F71" s="8">
        <v>0</v>
      </c>
    </row>
    <row r="72" spans="1:6" x14ac:dyDescent="0.2">
      <c r="A72" s="4" t="s">
        <v>94</v>
      </c>
      <c r="B72" s="8"/>
      <c r="C72" s="8">
        <v>384.06799999999998</v>
      </c>
      <c r="D72" s="8">
        <v>272.036</v>
      </c>
      <c r="E72" s="8">
        <v>0</v>
      </c>
      <c r="F72" s="8">
        <v>0</v>
      </c>
    </row>
    <row r="73" spans="1:6" x14ac:dyDescent="0.2">
      <c r="A73" s="4" t="s">
        <v>10</v>
      </c>
      <c r="B73" s="8"/>
      <c r="C73" s="8">
        <v>0</v>
      </c>
      <c r="D73" s="8">
        <v>0</v>
      </c>
      <c r="E73" s="8">
        <v>16</v>
      </c>
      <c r="F73" s="8">
        <v>2881</v>
      </c>
    </row>
    <row r="74" spans="1:6" x14ac:dyDescent="0.2">
      <c r="A74" s="4" t="s">
        <v>11</v>
      </c>
      <c r="B74" s="8"/>
      <c r="C74" s="8">
        <v>731.68700000000001</v>
      </c>
      <c r="D74" s="8">
        <v>704.91</v>
      </c>
      <c r="E74" s="8">
        <v>684</v>
      </c>
      <c r="F74" s="8">
        <v>792</v>
      </c>
    </row>
    <row r="75" spans="1:6" x14ac:dyDescent="0.2">
      <c r="A75" s="4" t="s">
        <v>12</v>
      </c>
      <c r="B75" s="8"/>
      <c r="C75" s="8">
        <v>189.16400000000002</v>
      </c>
      <c r="D75" s="8">
        <v>188.56300000000002</v>
      </c>
      <c r="E75" s="8">
        <v>477</v>
      </c>
      <c r="F75" s="8">
        <v>463</v>
      </c>
    </row>
    <row r="76" spans="1:6" x14ac:dyDescent="0.2">
      <c r="A76" s="3" t="s">
        <v>157</v>
      </c>
      <c r="B76" s="8">
        <f>B75+B74+B73+B72+B71</f>
        <v>0</v>
      </c>
      <c r="C76" s="8">
        <f t="shared" ref="C76:F76" si="97">C75+C74+C73+C72+C71</f>
        <v>1575.1129999999998</v>
      </c>
      <c r="D76" s="8">
        <f t="shared" si="97"/>
        <v>1322.0940000000001</v>
      </c>
      <c r="E76" s="8">
        <f t="shared" si="97"/>
        <v>1177</v>
      </c>
      <c r="F76" s="8">
        <f t="shared" si="97"/>
        <v>4136</v>
      </c>
    </row>
    <row r="77" spans="1:6" x14ac:dyDescent="0.2">
      <c r="A77" s="3"/>
      <c r="B77" s="12" t="e">
        <f>B76/B79</f>
        <v>#DIV/0!</v>
      </c>
      <c r="C77" s="12">
        <f>C76/C79</f>
        <v>0.1501323118841264</v>
      </c>
      <c r="D77" s="12">
        <f t="shared" ref="D77:E77" si="98">D76/D79</f>
        <v>9.6443557466717317E-2</v>
      </c>
      <c r="E77" s="12">
        <f t="shared" si="98"/>
        <v>7.3388203017832651E-2</v>
      </c>
      <c r="F77" s="12">
        <f>F76/F79</f>
        <v>0.20033906514894648</v>
      </c>
    </row>
    <row r="78" spans="1:6" x14ac:dyDescent="0.2">
      <c r="A78" s="3"/>
      <c r="B78" s="8"/>
      <c r="C78" s="41" t="e">
        <f>(C76-B76)/ABS(B76)</f>
        <v>#DIV/0!</v>
      </c>
      <c r="D78" s="41">
        <f>(D76-C76)/ABS(C76)</f>
        <v>-0.16063545917023084</v>
      </c>
      <c r="E78" s="41">
        <f>(E76-D76)/ABS(D76)</f>
        <v>-0.10974560053974985</v>
      </c>
      <c r="F78" s="41">
        <f>(F76-E76)/ABS(E76)</f>
        <v>2.514018691588785</v>
      </c>
    </row>
    <row r="79" spans="1:6" x14ac:dyDescent="0.2">
      <c r="A79" s="3" t="s">
        <v>13</v>
      </c>
      <c r="B79" s="8"/>
      <c r="C79" s="8">
        <f>C75+C74+C73+C72+C71+C68</f>
        <v>10491.498999999998</v>
      </c>
      <c r="D79" s="8">
        <f t="shared" ref="D79:F79" si="99">D75+D74+D73+D72+D71+D68</f>
        <v>13708.473999999998</v>
      </c>
      <c r="E79" s="8">
        <f t="shared" si="99"/>
        <v>16038</v>
      </c>
      <c r="F79" s="8">
        <f t="shared" si="99"/>
        <v>20645</v>
      </c>
    </row>
    <row r="80" spans="1:6" x14ac:dyDescent="0.2">
      <c r="A80" s="3" t="s">
        <v>14</v>
      </c>
      <c r="B80" s="8"/>
      <c r="C80" s="8"/>
      <c r="D80" s="8"/>
      <c r="E80" s="9"/>
      <c r="F80" s="9"/>
    </row>
    <row r="81" spans="1:6" ht="32" x14ac:dyDescent="0.2">
      <c r="A81" s="4" t="s">
        <v>15</v>
      </c>
      <c r="B81" s="8"/>
      <c r="C81" s="8">
        <v>2493.9690000000001</v>
      </c>
      <c r="D81" s="8">
        <v>1676.604</v>
      </c>
      <c r="E81" s="8">
        <v>2013</v>
      </c>
      <c r="F81" s="8">
        <v>2654</v>
      </c>
    </row>
    <row r="82" spans="1:6" x14ac:dyDescent="0.2">
      <c r="A82" s="4" t="s">
        <v>95</v>
      </c>
      <c r="B82" s="8"/>
      <c r="C82" s="8">
        <v>56.585999999999999</v>
      </c>
      <c r="D82" s="8">
        <v>63.478999999999999</v>
      </c>
      <c r="E82" s="8">
        <v>0</v>
      </c>
      <c r="F82" s="8">
        <v>0</v>
      </c>
    </row>
    <row r="83" spans="1:6" ht="32" x14ac:dyDescent="0.2">
      <c r="A83" s="4" t="s">
        <v>16</v>
      </c>
      <c r="B83" s="8"/>
      <c r="C83" s="8">
        <v>2181.3290000000002</v>
      </c>
      <c r="D83" s="8">
        <v>3715.471</v>
      </c>
      <c r="E83" s="8">
        <v>4783</v>
      </c>
      <c r="F83" s="8">
        <v>5869</v>
      </c>
    </row>
    <row r="84" spans="1:6" x14ac:dyDescent="0.2">
      <c r="A84" s="4"/>
      <c r="B84" s="25" t="e">
        <f>B83/B87</f>
        <v>#DIV/0!</v>
      </c>
      <c r="C84" s="25">
        <f>C83/C87</f>
        <v>0.4244013215354201</v>
      </c>
      <c r="D84" s="25">
        <f t="shared" ref="D84:F84" si="100">D83/D87</f>
        <v>0.58425951231601292</v>
      </c>
      <c r="E84" s="25">
        <f t="shared" si="100"/>
        <v>0.59952369014790674</v>
      </c>
      <c r="F84" s="25">
        <f t="shared" si="100"/>
        <v>0.58984924623115575</v>
      </c>
    </row>
    <row r="85" spans="1:6" x14ac:dyDescent="0.2">
      <c r="A85" s="4"/>
      <c r="B85" s="8"/>
      <c r="C85" s="41" t="e">
        <f>(C83-B83)/ABS(B83)</f>
        <v>#DIV/0!</v>
      </c>
      <c r="D85" s="41">
        <f t="shared" ref="D85:F85" si="101">(D83-C83)/ABS(C83)</f>
        <v>0.70330610375601288</v>
      </c>
      <c r="E85" s="41">
        <f t="shared" si="101"/>
        <v>0.28731996562481582</v>
      </c>
      <c r="F85" s="41">
        <f t="shared" si="101"/>
        <v>0.22705415011499058</v>
      </c>
    </row>
    <row r="86" spans="1:6" x14ac:dyDescent="0.2">
      <c r="A86" s="4" t="s">
        <v>17</v>
      </c>
      <c r="B86" s="8"/>
      <c r="C86" s="8">
        <v>407.89499999999998</v>
      </c>
      <c r="D86" s="8">
        <v>903.72800000000007</v>
      </c>
      <c r="E86" s="8">
        <v>1182</v>
      </c>
      <c r="F86" s="8">
        <v>1427</v>
      </c>
    </row>
    <row r="87" spans="1:6" x14ac:dyDescent="0.2">
      <c r="A87" s="3" t="s">
        <v>18</v>
      </c>
      <c r="B87" s="8">
        <f t="shared" ref="B87:D87" si="102">B86+B83+B82+B81</f>
        <v>0</v>
      </c>
      <c r="C87" s="8">
        <f t="shared" si="102"/>
        <v>5139.7790000000005</v>
      </c>
      <c r="D87" s="8">
        <f t="shared" si="102"/>
        <v>6359.2820000000011</v>
      </c>
      <c r="E87" s="8">
        <f>E86+E83+E82+E81</f>
        <v>7978</v>
      </c>
      <c r="F87" s="8">
        <f>F86+F83+F82+F81</f>
        <v>9950</v>
      </c>
    </row>
    <row r="88" spans="1:6" x14ac:dyDescent="0.2">
      <c r="A88" s="4"/>
      <c r="B88" s="12" t="e">
        <f>B87/B95</f>
        <v>#DIV/0!</v>
      </c>
      <c r="C88" s="12">
        <f t="shared" ref="C88:F88" si="103">C87/C95</f>
        <v>0.67720307321117157</v>
      </c>
      <c r="D88" s="12">
        <f t="shared" si="103"/>
        <v>0.71190553514193422</v>
      </c>
      <c r="E88" s="12">
        <f t="shared" si="103"/>
        <v>0.76140484825348353</v>
      </c>
      <c r="F88" s="12">
        <f t="shared" si="103"/>
        <v>0.79727564102564108</v>
      </c>
    </row>
    <row r="89" spans="1:6" x14ac:dyDescent="0.2">
      <c r="A89" s="4"/>
      <c r="B89" s="8"/>
      <c r="C89" s="41" t="e">
        <f>(C87-B87)/ABS(B87)</f>
        <v>#DIV/0!</v>
      </c>
      <c r="D89" s="41">
        <f t="shared" ref="D89:F89" si="104">(D87-C87)/ABS(C87)</f>
        <v>0.23726759457945576</v>
      </c>
      <c r="E89" s="41">
        <f t="shared" si="104"/>
        <v>0.25454414507801332</v>
      </c>
      <c r="F89" s="41">
        <f t="shared" si="104"/>
        <v>0.24717974429681625</v>
      </c>
    </row>
    <row r="90" spans="1:6" x14ac:dyDescent="0.2">
      <c r="A90" s="4" t="s">
        <v>19</v>
      </c>
      <c r="B90" s="8"/>
      <c r="C90" s="8">
        <v>1815.5620000000001</v>
      </c>
      <c r="D90" s="8">
        <v>1982.537</v>
      </c>
      <c r="E90" s="8">
        <v>1987</v>
      </c>
      <c r="F90" s="8">
        <v>1991</v>
      </c>
    </row>
    <row r="91" spans="1:6" x14ac:dyDescent="0.2">
      <c r="A91" s="4"/>
      <c r="B91" s="25" t="e">
        <f>B90/B95</f>
        <v>#DIV/0!</v>
      </c>
      <c r="C91" s="25">
        <f t="shared" ref="C91:F91" si="105">C90/C95</f>
        <v>0.2392134303839564</v>
      </c>
      <c r="D91" s="25">
        <f t="shared" si="105"/>
        <v>0.22194000264867711</v>
      </c>
      <c r="E91" s="25">
        <f t="shared" si="105"/>
        <v>0.18963542660813132</v>
      </c>
      <c r="F91" s="25">
        <f t="shared" si="105"/>
        <v>0.1595352564102564</v>
      </c>
    </row>
    <row r="92" spans="1:6" x14ac:dyDescent="0.2">
      <c r="A92" s="4"/>
      <c r="B92" s="8"/>
      <c r="C92" s="41" t="e">
        <f>(C90-B90)/ABS(B90)</f>
        <v>#DIV/0!</v>
      </c>
      <c r="D92" s="41">
        <f>(D90-C90)/ABS(C90)</f>
        <v>9.1968767797519391E-2</v>
      </c>
      <c r="E92" s="41">
        <f t="shared" ref="E92:F92" si="106">(E90-D90)/ABS(D90)</f>
        <v>2.2511559683375216E-3</v>
      </c>
      <c r="F92" s="41">
        <f t="shared" si="106"/>
        <v>2.0130850528434826E-3</v>
      </c>
    </row>
    <row r="93" spans="1:6" x14ac:dyDescent="0.2">
      <c r="A93" s="4" t="s">
        <v>20</v>
      </c>
      <c r="B93" s="8"/>
      <c r="C93" s="8">
        <v>430.90500000000003</v>
      </c>
      <c r="D93" s="8">
        <v>372.483</v>
      </c>
      <c r="E93" s="8">
        <v>295</v>
      </c>
      <c r="F93" s="8">
        <v>252</v>
      </c>
    </row>
    <row r="94" spans="1:6" x14ac:dyDescent="0.2">
      <c r="A94" s="4" t="s">
        <v>21</v>
      </c>
      <c r="B94" s="8"/>
      <c r="C94" s="8">
        <v>203.47</v>
      </c>
      <c r="D94" s="8">
        <v>218.459</v>
      </c>
      <c r="E94" s="8">
        <v>218</v>
      </c>
      <c r="F94" s="8">
        <v>287</v>
      </c>
    </row>
    <row r="95" spans="1:6" x14ac:dyDescent="0.2">
      <c r="A95" s="3" t="s">
        <v>22</v>
      </c>
      <c r="B95" s="8">
        <f t="shared" ref="B95:D95" si="107">B94+B93+B90+B87</f>
        <v>0</v>
      </c>
      <c r="C95" s="8">
        <f t="shared" si="107"/>
        <v>7589.7160000000003</v>
      </c>
      <c r="D95" s="8">
        <f t="shared" si="107"/>
        <v>8932.7610000000022</v>
      </c>
      <c r="E95" s="8">
        <f>E94+E93+E90+E87</f>
        <v>10478</v>
      </c>
      <c r="F95" s="8">
        <f>F94+F93+F90+F87</f>
        <v>12480</v>
      </c>
    </row>
    <row r="96" spans="1:6" x14ac:dyDescent="0.2">
      <c r="A96" s="3"/>
      <c r="B96" s="25" t="e">
        <f>B95/B$79</f>
        <v>#DIV/0!</v>
      </c>
      <c r="C96" s="25">
        <f t="shared" ref="C96:F96" si="108">C95/C$79</f>
        <v>0.72341578643814408</v>
      </c>
      <c r="D96" s="25">
        <f t="shared" si="108"/>
        <v>0.65162329519682516</v>
      </c>
      <c r="E96" s="25">
        <f t="shared" si="108"/>
        <v>0.65332335702706068</v>
      </c>
      <c r="F96" s="25">
        <f t="shared" si="108"/>
        <v>0.60450472269314603</v>
      </c>
    </row>
    <row r="97" spans="1:6" x14ac:dyDescent="0.2">
      <c r="A97" s="3"/>
      <c r="B97" s="8"/>
      <c r="C97" s="41" t="e">
        <f>(C95-B95)/ABS(B95)</f>
        <v>#DIV/0!</v>
      </c>
      <c r="D97" s="41">
        <f>(D95-C95)/ABS(C95)</f>
        <v>0.17695589663697586</v>
      </c>
      <c r="E97" s="41">
        <f t="shared" ref="E97:F97" si="109">(E95-D95)/ABS(D95)</f>
        <v>0.17298559762205631</v>
      </c>
      <c r="F97" s="41">
        <f t="shared" si="109"/>
        <v>0.19106699751861042</v>
      </c>
    </row>
    <row r="98" spans="1:6" ht="32" x14ac:dyDescent="0.2">
      <c r="A98" s="4" t="s">
        <v>23</v>
      </c>
      <c r="B98" s="6"/>
      <c r="C98" s="8"/>
      <c r="D98" s="8"/>
      <c r="E98" s="4" t="s">
        <v>24</v>
      </c>
      <c r="F98" s="4" t="s">
        <v>24</v>
      </c>
    </row>
    <row r="99" spans="1:6" x14ac:dyDescent="0.2">
      <c r="A99" s="3" t="s">
        <v>25</v>
      </c>
      <c r="B99" s="6"/>
      <c r="C99" s="8"/>
      <c r="D99" s="8"/>
      <c r="E99" s="4" t="s">
        <v>4</v>
      </c>
      <c r="F99" s="4" t="s">
        <v>4</v>
      </c>
    </row>
    <row r="100" spans="1:6" x14ac:dyDescent="0.2">
      <c r="A100" s="4" t="s">
        <v>26</v>
      </c>
      <c r="B100" s="6"/>
      <c r="C100" s="8">
        <v>0.06</v>
      </c>
      <c r="D100" s="8">
        <v>6.3E-2</v>
      </c>
      <c r="E100" s="6">
        <v>0</v>
      </c>
      <c r="F100" s="6">
        <v>0</v>
      </c>
    </row>
    <row r="101" spans="1:6" x14ac:dyDescent="0.2">
      <c r="A101" s="4" t="s">
        <v>27</v>
      </c>
      <c r="B101" s="6"/>
      <c r="C101" s="8">
        <v>8904.7910000000011</v>
      </c>
      <c r="D101" s="8">
        <v>11140.284</v>
      </c>
      <c r="E101" s="6">
        <v>11557</v>
      </c>
      <c r="F101" s="6">
        <v>11639</v>
      </c>
    </row>
    <row r="102" spans="1:6" x14ac:dyDescent="0.2">
      <c r="A102" s="4" t="s">
        <v>28</v>
      </c>
      <c r="B102" s="6"/>
      <c r="C102" s="8">
        <v>2.6390000000000002</v>
      </c>
      <c r="D102" s="8">
        <v>-6.8929999999999998</v>
      </c>
      <c r="E102" s="6">
        <v>-32</v>
      </c>
      <c r="F102" s="6">
        <v>-49</v>
      </c>
    </row>
    <row r="103" spans="1:6" x14ac:dyDescent="0.2">
      <c r="A103" s="4" t="s">
        <v>29</v>
      </c>
      <c r="B103" s="6"/>
      <c r="C103" s="8">
        <v>-6005.7070000000003</v>
      </c>
      <c r="D103" s="8">
        <v>-6357.741</v>
      </c>
      <c r="E103" s="6">
        <v>-5965</v>
      </c>
      <c r="F103" s="6">
        <v>-3425</v>
      </c>
    </row>
    <row r="104" spans="1:6" x14ac:dyDescent="0.2">
      <c r="A104" s="3" t="s">
        <v>30</v>
      </c>
      <c r="B104" s="6"/>
      <c r="C104" s="8">
        <v>2901.7829999999999</v>
      </c>
      <c r="D104" s="8">
        <v>4775.7129999999997</v>
      </c>
      <c r="E104" s="6">
        <v>5560</v>
      </c>
      <c r="F104" s="6">
        <v>8165</v>
      </c>
    </row>
    <row r="105" spans="1:6" x14ac:dyDescent="0.2">
      <c r="A105" s="3"/>
      <c r="B105" s="39" t="e">
        <f>B104/B$79</f>
        <v>#DIV/0!</v>
      </c>
      <c r="C105" s="25">
        <f t="shared" ref="C105:F105" si="110">C104/C79</f>
        <v>0.2765842135618562</v>
      </c>
      <c r="D105" s="25">
        <f t="shared" si="110"/>
        <v>0.34837670480317506</v>
      </c>
      <c r="E105" s="25">
        <f t="shared" si="110"/>
        <v>0.34667664297293926</v>
      </c>
      <c r="F105" s="25">
        <f t="shared" si="110"/>
        <v>0.39549527730685397</v>
      </c>
    </row>
    <row r="106" spans="1:6" x14ac:dyDescent="0.2">
      <c r="A106" s="3"/>
      <c r="B106" s="6"/>
      <c r="C106" s="41" t="e">
        <f>(C104-B104)/ABS(B104)</f>
        <v>#DIV/0!</v>
      </c>
      <c r="D106" s="41">
        <f t="shared" ref="D106:F106" si="111">(D104-C104)/ABS(C104)</f>
        <v>0.64578571175032728</v>
      </c>
      <c r="E106" s="41">
        <f t="shared" si="111"/>
        <v>0.16422406455329294</v>
      </c>
      <c r="F106" s="41">
        <f t="shared" si="111"/>
        <v>0.46852517985611508</v>
      </c>
    </row>
    <row r="107" spans="1:6" x14ac:dyDescent="0.2">
      <c r="A107" s="3" t="s">
        <v>31</v>
      </c>
      <c r="B107" s="5"/>
      <c r="C107" s="8">
        <v>10491.499</v>
      </c>
      <c r="D107" s="8">
        <v>13708.474</v>
      </c>
      <c r="E107" s="5">
        <v>16038</v>
      </c>
      <c r="F107" s="5">
        <v>20645</v>
      </c>
    </row>
    <row r="109" spans="1:6" x14ac:dyDescent="0.2">
      <c r="A109" s="26" t="s">
        <v>140</v>
      </c>
      <c r="B109" s="27"/>
      <c r="C109" s="13"/>
      <c r="D109" s="13"/>
      <c r="E109" s="13"/>
      <c r="F109" s="13"/>
    </row>
    <row r="110" spans="1:6" x14ac:dyDescent="0.2">
      <c r="A110" s="28"/>
      <c r="B110" s="16"/>
      <c r="C110" s="13"/>
      <c r="D110" s="13"/>
      <c r="E110" s="13"/>
      <c r="F110" s="13"/>
    </row>
    <row r="111" spans="1:6" ht="16" customHeight="1" x14ac:dyDescent="0.2">
      <c r="A111" s="28" t="s">
        <v>141</v>
      </c>
      <c r="B111" s="29">
        <f>B20</f>
        <v>-501.54300000000057</v>
      </c>
      <c r="C111" s="29">
        <f>C20</f>
        <v>-3590.1469999999999</v>
      </c>
      <c r="D111" s="29">
        <f>D20</f>
        <v>429</v>
      </c>
      <c r="E111" s="29">
        <f>E20</f>
        <v>1802</v>
      </c>
      <c r="F111" s="29">
        <f>F20</f>
        <v>1518</v>
      </c>
    </row>
    <row r="112" spans="1:6" x14ac:dyDescent="0.2">
      <c r="A112" s="28" t="s">
        <v>142</v>
      </c>
      <c r="B112" s="30">
        <f>B28</f>
        <v>0.63792588346453549</v>
      </c>
      <c r="C112" s="30">
        <f>C28</f>
        <v>-2.0765332646438289E-2</v>
      </c>
      <c r="D112" s="30">
        <f>D28</f>
        <v>0.17333333333333334</v>
      </c>
      <c r="E112" s="30">
        <f>E28</f>
        <v>4.8114630467571647E-2</v>
      </c>
      <c r="F112" s="30">
        <f>F28</f>
        <v>-1.2795432921027592</v>
      </c>
    </row>
    <row r="113" spans="1:6" x14ac:dyDescent="0.2">
      <c r="A113" s="31" t="s">
        <v>143</v>
      </c>
      <c r="B113" s="32">
        <f>B112*B111</f>
        <v>-319.94726137045387</v>
      </c>
      <c r="C113" s="32">
        <f t="shared" ref="C113:F113" si="112">C112*C111</f>
        <v>74.550596704612488</v>
      </c>
      <c r="D113" s="32">
        <f t="shared" si="112"/>
        <v>74.36</v>
      </c>
      <c r="E113" s="32">
        <f t="shared" si="112"/>
        <v>86.702564102564111</v>
      </c>
      <c r="F113" s="32">
        <f t="shared" si="112"/>
        <v>-1942.3467174119885</v>
      </c>
    </row>
    <row r="114" spans="1:6" x14ac:dyDescent="0.2">
      <c r="A114" s="28" t="s">
        <v>144</v>
      </c>
      <c r="B114" s="29">
        <f>+B111-B113</f>
        <v>-181.5957386295467</v>
      </c>
      <c r="C114" s="29">
        <f t="shared" ref="C114:F114" si="113">+C111-C113</f>
        <v>-3664.6975967046124</v>
      </c>
      <c r="D114" s="29">
        <f t="shared" si="113"/>
        <v>354.64</v>
      </c>
      <c r="E114" s="29">
        <f t="shared" si="113"/>
        <v>1715.2974358974359</v>
      </c>
      <c r="F114" s="29">
        <f t="shared" si="113"/>
        <v>3460.3467174119887</v>
      </c>
    </row>
    <row r="115" spans="1:6" x14ac:dyDescent="0.2">
      <c r="A115" s="17"/>
      <c r="B115" s="17"/>
      <c r="C115" s="40">
        <f>(C114-B114)/ABS(B114)</f>
        <v>-19.180526395393862</v>
      </c>
      <c r="D115" s="40">
        <f t="shared" ref="D115:F115" si="114">(D114-C114)/ABS(C114)</f>
        <v>1.0967719683934907</v>
      </c>
      <c r="E115" s="40">
        <f t="shared" si="114"/>
        <v>3.8367286146442474</v>
      </c>
      <c r="F115" s="40">
        <f t="shared" si="114"/>
        <v>1.0173450067577061</v>
      </c>
    </row>
    <row r="116" spans="1:6" x14ac:dyDescent="0.2">
      <c r="A116" s="17"/>
      <c r="B116" s="17"/>
      <c r="C116" s="13"/>
      <c r="D116" s="13"/>
      <c r="E116" s="13"/>
      <c r="F116" s="13"/>
    </row>
    <row r="117" spans="1:6" x14ac:dyDescent="0.2">
      <c r="A117" s="34" t="s">
        <v>134</v>
      </c>
      <c r="B117" s="34"/>
      <c r="C117" s="13"/>
      <c r="D117" s="13"/>
      <c r="E117" s="13"/>
      <c r="F117" s="13"/>
    </row>
    <row r="118" spans="1:6" x14ac:dyDescent="0.2">
      <c r="A118" s="34"/>
      <c r="B118" s="34"/>
      <c r="C118" s="13"/>
      <c r="D118" s="13"/>
      <c r="E118" s="13"/>
      <c r="F118" s="13"/>
    </row>
    <row r="119" spans="1:6" x14ac:dyDescent="0.2">
      <c r="A119" s="17" t="s">
        <v>135</v>
      </c>
      <c r="B119" s="35">
        <f>B65+B67-B87</f>
        <v>0</v>
      </c>
      <c r="C119" s="35">
        <f>C65+C67-C87</f>
        <v>-2648.4960000000001</v>
      </c>
      <c r="D119" s="35">
        <f>D65+D67-D87</f>
        <v>-2310.1420000000012</v>
      </c>
      <c r="E119" s="35">
        <f>E65+E67-E87</f>
        <v>-2739</v>
      </c>
      <c r="F119" s="35">
        <f>F65+F67-F87</f>
        <v>-3512</v>
      </c>
    </row>
    <row r="120" spans="1:6" x14ac:dyDescent="0.2">
      <c r="A120" s="17"/>
      <c r="B120" s="17"/>
      <c r="C120" s="13"/>
      <c r="D120" s="13"/>
      <c r="E120" s="13"/>
      <c r="F120" s="13"/>
    </row>
    <row r="121" spans="1:6" x14ac:dyDescent="0.2">
      <c r="A121" s="17" t="s">
        <v>136</v>
      </c>
      <c r="B121" s="35">
        <f>B71</f>
        <v>0</v>
      </c>
      <c r="C121" s="35">
        <f>C71</f>
        <v>270.19400000000002</v>
      </c>
      <c r="D121" s="35">
        <f>D71</f>
        <v>156.58500000000001</v>
      </c>
      <c r="E121" s="35">
        <f>E71</f>
        <v>0</v>
      </c>
      <c r="F121" s="35">
        <f>F71</f>
        <v>0</v>
      </c>
    </row>
    <row r="122" spans="1:6" x14ac:dyDescent="0.2">
      <c r="A122" s="17" t="s">
        <v>137</v>
      </c>
      <c r="B122" s="35">
        <f>B74+B75</f>
        <v>0</v>
      </c>
      <c r="C122" s="35">
        <f>C74+C75</f>
        <v>920.851</v>
      </c>
      <c r="D122" s="35">
        <f>D74+D75</f>
        <v>893.47299999999996</v>
      </c>
      <c r="E122" s="35">
        <f>E74+E75</f>
        <v>1161</v>
      </c>
      <c r="F122" s="35">
        <f>F74+F75</f>
        <v>1255</v>
      </c>
    </row>
    <row r="123" spans="1:6" x14ac:dyDescent="0.2">
      <c r="A123" s="17" t="s">
        <v>138</v>
      </c>
      <c r="B123" s="35">
        <f>B119+B121+B122</f>
        <v>0</v>
      </c>
      <c r="C123" s="35">
        <f t="shared" ref="C123:F123" si="115">C119+C121+C122</f>
        <v>-1457.451</v>
      </c>
      <c r="D123" s="35">
        <f t="shared" si="115"/>
        <v>-1260.0840000000012</v>
      </c>
      <c r="E123" s="35">
        <f t="shared" si="115"/>
        <v>-1578</v>
      </c>
      <c r="F123" s="35">
        <f t="shared" si="115"/>
        <v>-2257</v>
      </c>
    </row>
    <row r="124" spans="1:6" x14ac:dyDescent="0.2">
      <c r="A124" s="17"/>
      <c r="B124" s="17"/>
      <c r="C124" s="33" t="e">
        <f>C123/B123-1</f>
        <v>#DIV/0!</v>
      </c>
      <c r="D124" s="33">
        <f t="shared" ref="D124:F124" si="116">D123/C123-1</f>
        <v>-0.1354193039765994</v>
      </c>
      <c r="E124" s="33">
        <f t="shared" si="116"/>
        <v>0.25229746588322555</v>
      </c>
      <c r="F124" s="33">
        <f t="shared" si="116"/>
        <v>0.43029150823827633</v>
      </c>
    </row>
    <row r="125" spans="1:6" x14ac:dyDescent="0.2">
      <c r="A125" s="17"/>
      <c r="B125" s="17"/>
      <c r="C125" s="13"/>
      <c r="D125" s="13"/>
      <c r="E125" s="13"/>
      <c r="F125" s="13"/>
    </row>
    <row r="126" spans="1:6" x14ac:dyDescent="0.2">
      <c r="A126" s="34" t="s">
        <v>139</v>
      </c>
      <c r="B126" s="36" t="e">
        <f>+B114/AVERAGE(B123:B123)</f>
        <v>#DIV/0!</v>
      </c>
      <c r="C126" s="36">
        <f>-C114/AVERAGE(B123:C123)</f>
        <v>-5.0289136261934191</v>
      </c>
      <c r="D126" s="36">
        <f t="shared" ref="D126:F126" si="117">-D114/AVERAGE(C123:D123)</f>
        <v>0.26100123825452098</v>
      </c>
      <c r="E126" s="36">
        <f t="shared" si="117"/>
        <v>1.2087714358683077</v>
      </c>
      <c r="F126" s="36">
        <f t="shared" si="117"/>
        <v>1.8046136727050788</v>
      </c>
    </row>
    <row r="127" spans="1:6" x14ac:dyDescent="0.2">
      <c r="A127" s="13"/>
      <c r="B127" s="13"/>
      <c r="C127" s="13"/>
      <c r="D127" s="13"/>
      <c r="E127" s="13"/>
      <c r="F127" s="13"/>
    </row>
    <row r="128" spans="1:6" x14ac:dyDescent="0.2">
      <c r="A128" s="13"/>
      <c r="B128" s="13"/>
      <c r="C128" s="13"/>
      <c r="D128" s="13"/>
      <c r="E128" s="13"/>
      <c r="F128" s="13"/>
    </row>
    <row r="129" spans="1:6" x14ac:dyDescent="0.2">
      <c r="A129" s="13"/>
      <c r="B129" s="13"/>
      <c r="C129" s="13"/>
      <c r="D129" s="13"/>
      <c r="E129" s="13"/>
      <c r="F129" s="13"/>
    </row>
    <row r="130" spans="1:6" x14ac:dyDescent="0.2">
      <c r="A130" s="13"/>
      <c r="B130" s="13"/>
      <c r="C130" s="13"/>
      <c r="D130" s="13"/>
      <c r="E130" s="13"/>
      <c r="F130" s="13"/>
    </row>
    <row r="131" spans="1:6" x14ac:dyDescent="0.2">
      <c r="A131" s="13" t="s">
        <v>126</v>
      </c>
      <c r="B131" s="14">
        <v>146.80000000000001</v>
      </c>
      <c r="C131" s="14">
        <v>166.49</v>
      </c>
      <c r="D131" s="14">
        <v>85.5</v>
      </c>
      <c r="E131" s="14">
        <v>136.13999999999999</v>
      </c>
      <c r="F131" s="14">
        <v>161.77000000000001</v>
      </c>
    </row>
    <row r="132" spans="1:6" x14ac:dyDescent="0.2">
      <c r="A132" s="13" t="s">
        <v>127</v>
      </c>
      <c r="B132" s="14">
        <f>'Balance Sheet'!D3-'Balance Sheet'!D23</f>
        <v>3664.9949999999999</v>
      </c>
      <c r="C132" s="14">
        <f>'Balance Sheet'!E3-'Balance Sheet'!E23</f>
        <v>4084.9009999999998</v>
      </c>
      <c r="D132" s="14">
        <f>'Balance Sheet'!F3-'Balance Sheet'!F23</f>
        <v>5391</v>
      </c>
      <c r="E132" s="14">
        <f>'Balance Sheet'!G3-'Balance Sheet'!G23</f>
        <v>4883</v>
      </c>
      <c r="F132" s="14">
        <f>'Balance Sheet'!H3-'Balance Sheet'!H23</f>
        <v>0</v>
      </c>
    </row>
    <row r="133" spans="1:6" x14ac:dyDescent="0.2">
      <c r="A133" s="13" t="s">
        <v>128</v>
      </c>
      <c r="B133" s="14">
        <f>B131*'Statement of Operations'!D30</f>
        <v>38249.620799999997</v>
      </c>
      <c r="C133" s="14">
        <f>C131*'Statement of Operations'!E30</f>
        <v>47343.595870000005</v>
      </c>
      <c r="D133" s="14">
        <f>D131*'Statement of Operations'!F30</f>
        <v>52668</v>
      </c>
      <c r="E133" s="14">
        <f>E131*'Statement of Operations'!G30</f>
        <v>92575.2</v>
      </c>
      <c r="F133" s="14">
        <f>F131*'Statement of Operations'!H30</f>
        <v>107091.74</v>
      </c>
    </row>
    <row r="134" spans="1:6" x14ac:dyDescent="0.2">
      <c r="A134" s="13" t="s">
        <v>129</v>
      </c>
      <c r="B134" s="14">
        <f>B133+B132</f>
        <v>41914.6158</v>
      </c>
      <c r="C134" s="14">
        <f>C133+C132</f>
        <v>51428.496870000003</v>
      </c>
      <c r="D134" s="14">
        <f>D133+D132</f>
        <v>58059</v>
      </c>
      <c r="E134" s="14">
        <f>E133+E132</f>
        <v>97458.2</v>
      </c>
      <c r="F134" s="14">
        <f>F133+F132</f>
        <v>107091.74</v>
      </c>
    </row>
    <row r="135" spans="1:6" x14ac:dyDescent="0.2">
      <c r="A135" s="13" t="s">
        <v>134</v>
      </c>
      <c r="B135" s="14">
        <f>B123</f>
        <v>0</v>
      </c>
      <c r="C135" s="14">
        <f t="shared" ref="C135:F135" si="118">C123</f>
        <v>-1457.451</v>
      </c>
      <c r="D135" s="14">
        <f t="shared" si="118"/>
        <v>-1260.0840000000012</v>
      </c>
      <c r="E135" s="14">
        <f t="shared" si="118"/>
        <v>-1578</v>
      </c>
      <c r="F135" s="14">
        <f t="shared" si="118"/>
        <v>-2257</v>
      </c>
    </row>
    <row r="136" spans="1:6" x14ac:dyDescent="0.2">
      <c r="A136" s="13" t="s">
        <v>130</v>
      </c>
      <c r="B136" s="14">
        <f>B41+B20</f>
        <v>-387.38100000000054</v>
      </c>
      <c r="C136" s="14">
        <f>C41+C20</f>
        <v>-3464.2709999999997</v>
      </c>
      <c r="D136" s="14">
        <f>D41+D20</f>
        <v>567</v>
      </c>
      <c r="E136" s="14">
        <f>E41+E20</f>
        <v>1883</v>
      </c>
      <c r="F136" s="14">
        <f>F41+F20</f>
        <v>1562</v>
      </c>
    </row>
    <row r="137" spans="1:6" x14ac:dyDescent="0.2">
      <c r="A137" s="13" t="s">
        <v>131</v>
      </c>
      <c r="B137" s="37">
        <f>B136/B3</f>
        <v>-8.0616385574161981E-2</v>
      </c>
      <c r="C137" s="37">
        <f>C136/C3</f>
        <v>-1.025478664815187</v>
      </c>
      <c r="D137" s="37">
        <f>D136/D3</f>
        <v>9.4626168224299062E-2</v>
      </c>
      <c r="E137" s="37">
        <f>E136/E3</f>
        <v>0.22419335635194665</v>
      </c>
      <c r="F137" s="37">
        <f>F136/F3</f>
        <v>0.15750731067863266</v>
      </c>
    </row>
    <row r="138" spans="1:6" x14ac:dyDescent="0.2">
      <c r="A138" s="13" t="s">
        <v>132</v>
      </c>
      <c r="B138" s="13"/>
      <c r="C138" s="33">
        <f>C137/B137-1</f>
        <v>11.720474349123622</v>
      </c>
      <c r="D138" s="33">
        <f t="shared" ref="D138:F138" si="119">D137/C137-1</f>
        <v>-1.0922751213369737</v>
      </c>
      <c r="E138" s="33">
        <f t="shared" si="119"/>
        <v>1.3692532473736585</v>
      </c>
      <c r="F138" s="33">
        <f t="shared" si="119"/>
        <v>-0.29744880382908345</v>
      </c>
    </row>
    <row r="139" spans="1:6" x14ac:dyDescent="0.2">
      <c r="A139" s="13" t="s">
        <v>133</v>
      </c>
      <c r="B139" s="38">
        <f>B134/B136</f>
        <v>-108.19997831592138</v>
      </c>
      <c r="C139" s="38">
        <f t="shared" ref="C139:F139" si="120">C134/C136</f>
        <v>-14.845402357379086</v>
      </c>
      <c r="D139" s="38">
        <f t="shared" si="120"/>
        <v>102.39682539682539</v>
      </c>
      <c r="E139" s="38">
        <f t="shared" si="120"/>
        <v>51.756877323420071</v>
      </c>
      <c r="F139" s="38">
        <f t="shared" si="120"/>
        <v>68.560653008962873</v>
      </c>
    </row>
    <row r="140" spans="1:6" x14ac:dyDescent="0.2">
      <c r="A140" s="13" t="s">
        <v>146</v>
      </c>
      <c r="B140" s="38" t="e">
        <f>B134/B135</f>
        <v>#DIV/0!</v>
      </c>
      <c r="C140" s="38">
        <f t="shared" ref="C140:F140" si="121">C134/C135</f>
        <v>-35.286604400422384</v>
      </c>
      <c r="D140" s="38">
        <f t="shared" si="121"/>
        <v>-46.075499728589477</v>
      </c>
      <c r="E140" s="38">
        <f t="shared" si="121"/>
        <v>-61.760583016476552</v>
      </c>
      <c r="F140" s="38">
        <f t="shared" si="121"/>
        <v>-47.448710677891007</v>
      </c>
    </row>
  </sheetData>
  <mergeCells count="2">
    <mergeCell ref="A1:A2"/>
    <mergeCell ref="B1:F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DF0A-121D-1345-975A-4FB2ABB7EC74}">
  <dimension ref="A1:I39"/>
  <sheetViews>
    <sheetView workbookViewId="0">
      <selection activeCell="D3" sqref="D3:E34"/>
    </sheetView>
  </sheetViews>
  <sheetFormatPr baseColWidth="10" defaultRowHeight="16" x14ac:dyDescent="0.2"/>
  <cols>
    <col min="1" max="1" width="21.1640625" customWidth="1"/>
    <col min="2" max="2" width="12.33203125" hidden="1" customWidth="1"/>
    <col min="3" max="3" width="8.1640625" hidden="1" customWidth="1"/>
    <col min="4" max="5" width="12.83203125" customWidth="1"/>
    <col min="6" max="7" width="13.33203125" bestFit="1" customWidth="1"/>
  </cols>
  <sheetData>
    <row r="1" spans="1:7" ht="48" x14ac:dyDescent="0.2">
      <c r="A1" s="1" t="s">
        <v>0</v>
      </c>
      <c r="B1" s="2" t="s">
        <v>90</v>
      </c>
      <c r="C1" s="2" t="s">
        <v>34</v>
      </c>
      <c r="D1" s="2" t="s">
        <v>90</v>
      </c>
      <c r="E1" s="2" t="s">
        <v>34</v>
      </c>
      <c r="F1" s="2" t="s">
        <v>2</v>
      </c>
      <c r="G1" s="2" t="s">
        <v>1</v>
      </c>
    </row>
    <row r="2" spans="1:7" x14ac:dyDescent="0.2">
      <c r="A2" s="3" t="s">
        <v>3</v>
      </c>
      <c r="B2">
        <v>1E-3</v>
      </c>
      <c r="F2" s="4" t="s">
        <v>4</v>
      </c>
      <c r="G2" s="4" t="s">
        <v>4</v>
      </c>
    </row>
    <row r="3" spans="1:7" x14ac:dyDescent="0.2">
      <c r="A3" s="4" t="s">
        <v>5</v>
      </c>
      <c r="B3" s="8">
        <v>5480557</v>
      </c>
      <c r="C3" s="8">
        <v>6067438</v>
      </c>
      <c r="D3" s="8">
        <f>B3*$B$2</f>
        <v>5480.5569999999998</v>
      </c>
      <c r="E3" s="8">
        <f>C3*$B$2</f>
        <v>6067.4380000000001</v>
      </c>
      <c r="F3" s="8">
        <v>7378</v>
      </c>
      <c r="G3" s="8">
        <v>6874</v>
      </c>
    </row>
    <row r="4" spans="1:7" x14ac:dyDescent="0.2">
      <c r="A4" s="4" t="s">
        <v>91</v>
      </c>
      <c r="B4" s="8">
        <v>910700</v>
      </c>
      <c r="C4" s="8">
        <v>2255038</v>
      </c>
      <c r="D4" s="8">
        <f t="shared" ref="D4:E34" si="0">B4*$B$2</f>
        <v>910.7</v>
      </c>
      <c r="E4" s="8">
        <f t="shared" si="0"/>
        <v>2255.038</v>
      </c>
      <c r="F4" s="8">
        <v>0</v>
      </c>
      <c r="G4" s="8">
        <v>0</v>
      </c>
    </row>
    <row r="5" spans="1:7" x14ac:dyDescent="0.2">
      <c r="A5" s="4" t="s">
        <v>92</v>
      </c>
      <c r="B5" s="8">
        <v>33846</v>
      </c>
      <c r="C5" s="8">
        <v>14764</v>
      </c>
      <c r="D5" s="8">
        <f t="shared" si="0"/>
        <v>33.846000000000004</v>
      </c>
      <c r="E5" s="8">
        <f t="shared" si="0"/>
        <v>14.764000000000001</v>
      </c>
      <c r="F5" s="8">
        <v>0</v>
      </c>
      <c r="G5" s="8">
        <v>0</v>
      </c>
    </row>
    <row r="6" spans="1:7" ht="48" x14ac:dyDescent="0.2">
      <c r="A6" s="4" t="s">
        <v>7</v>
      </c>
      <c r="B6" s="8">
        <v>2181329</v>
      </c>
      <c r="C6" s="8">
        <v>3715471</v>
      </c>
      <c r="D6" s="8">
        <f t="shared" si="0"/>
        <v>2181.3290000000002</v>
      </c>
      <c r="E6" s="8">
        <f t="shared" si="0"/>
        <v>3715.471</v>
      </c>
      <c r="F6" s="8">
        <v>0</v>
      </c>
      <c r="G6" s="8">
        <v>0</v>
      </c>
    </row>
    <row r="7" spans="1:7" ht="64" x14ac:dyDescent="0.2">
      <c r="A7" s="4" t="s">
        <v>6</v>
      </c>
      <c r="B7" s="8">
        <v>0</v>
      </c>
      <c r="C7" s="8">
        <v>0</v>
      </c>
      <c r="D7" s="8">
        <f t="shared" si="0"/>
        <v>0</v>
      </c>
      <c r="E7" s="8">
        <f t="shared" si="0"/>
        <v>0</v>
      </c>
      <c r="F7" s="8">
        <v>2244</v>
      </c>
      <c r="G7" s="8">
        <v>3197</v>
      </c>
    </row>
    <row r="8" spans="1:7" ht="48" x14ac:dyDescent="0.2">
      <c r="A8" s="4" t="s">
        <v>7</v>
      </c>
      <c r="B8" s="8">
        <v>0</v>
      </c>
      <c r="C8" s="8">
        <v>0</v>
      </c>
      <c r="D8" s="8">
        <f t="shared" si="0"/>
        <v>0</v>
      </c>
      <c r="E8" s="8">
        <f t="shared" si="0"/>
        <v>0</v>
      </c>
      <c r="F8" s="8">
        <v>4783</v>
      </c>
      <c r="G8" s="8">
        <v>5869</v>
      </c>
    </row>
    <row r="9" spans="1:7" ht="96" x14ac:dyDescent="0.2">
      <c r="A9" s="4" t="s">
        <v>8</v>
      </c>
      <c r="B9" s="8">
        <v>309954</v>
      </c>
      <c r="C9" s="8">
        <v>333669</v>
      </c>
      <c r="D9" s="8">
        <f t="shared" si="0"/>
        <v>309.95400000000001</v>
      </c>
      <c r="E9" s="8">
        <f t="shared" si="0"/>
        <v>333.66899999999998</v>
      </c>
      <c r="F9" s="8">
        <v>456</v>
      </c>
      <c r="G9" s="8">
        <v>569</v>
      </c>
    </row>
    <row r="10" spans="1:7" x14ac:dyDescent="0.2">
      <c r="A10" s="4" t="s">
        <v>9</v>
      </c>
      <c r="B10" s="8">
        <f>SUM(B3:B9)</f>
        <v>8916386</v>
      </c>
      <c r="C10" s="8">
        <f t="shared" ref="C10:G10" si="1">SUM(C3:C9)</f>
        <v>12386380</v>
      </c>
      <c r="D10" s="8">
        <f t="shared" si="0"/>
        <v>8916.3860000000004</v>
      </c>
      <c r="E10" s="8">
        <f t="shared" si="0"/>
        <v>12386.380000000001</v>
      </c>
      <c r="F10" s="8">
        <f t="shared" si="1"/>
        <v>14861</v>
      </c>
      <c r="G10" s="8">
        <f t="shared" si="1"/>
        <v>16509</v>
      </c>
    </row>
    <row r="11" spans="1:7" ht="32" x14ac:dyDescent="0.2">
      <c r="A11" s="4" t="s">
        <v>93</v>
      </c>
      <c r="B11" s="8">
        <v>270194</v>
      </c>
      <c r="C11" s="8">
        <v>156585</v>
      </c>
      <c r="D11" s="8">
        <f t="shared" si="0"/>
        <v>270.19400000000002</v>
      </c>
      <c r="E11" s="8">
        <f t="shared" si="0"/>
        <v>156.58500000000001</v>
      </c>
      <c r="F11" s="8">
        <v>0</v>
      </c>
      <c r="G11" s="8">
        <v>0</v>
      </c>
    </row>
    <row r="12" spans="1:7" ht="32" x14ac:dyDescent="0.2">
      <c r="A12" s="4" t="s">
        <v>94</v>
      </c>
      <c r="B12" s="8">
        <v>384068</v>
      </c>
      <c r="C12" s="8">
        <v>272036</v>
      </c>
      <c r="D12" s="8">
        <f t="shared" si="0"/>
        <v>384.06799999999998</v>
      </c>
      <c r="E12" s="8">
        <f t="shared" si="0"/>
        <v>272.036</v>
      </c>
      <c r="F12" s="8">
        <v>0</v>
      </c>
      <c r="G12" s="8">
        <v>0</v>
      </c>
    </row>
    <row r="13" spans="1:7" ht="32" x14ac:dyDescent="0.2">
      <c r="A13" s="4" t="s">
        <v>10</v>
      </c>
      <c r="B13" s="8">
        <v>0</v>
      </c>
      <c r="C13" s="8">
        <v>0</v>
      </c>
      <c r="D13" s="8">
        <f t="shared" si="0"/>
        <v>0</v>
      </c>
      <c r="E13" s="8">
        <f t="shared" si="0"/>
        <v>0</v>
      </c>
      <c r="F13" s="8">
        <v>16</v>
      </c>
      <c r="G13" s="8">
        <v>2881</v>
      </c>
    </row>
    <row r="14" spans="1:7" ht="32" x14ac:dyDescent="0.2">
      <c r="A14" s="4" t="s">
        <v>11</v>
      </c>
      <c r="B14" s="8">
        <f>75886+655801</f>
        <v>731687</v>
      </c>
      <c r="C14" s="8">
        <f>52308+652602</f>
        <v>704910</v>
      </c>
      <c r="D14" s="8">
        <f t="shared" si="0"/>
        <v>731.68700000000001</v>
      </c>
      <c r="E14" s="8">
        <f t="shared" si="0"/>
        <v>704.91</v>
      </c>
      <c r="F14" s="8">
        <v>684</v>
      </c>
      <c r="G14" s="8">
        <v>792</v>
      </c>
    </row>
    <row r="15" spans="1:7" x14ac:dyDescent="0.2">
      <c r="A15" s="4" t="s">
        <v>12</v>
      </c>
      <c r="B15" s="8">
        <v>189164</v>
      </c>
      <c r="C15" s="8">
        <v>188563</v>
      </c>
      <c r="D15" s="8">
        <f t="shared" si="0"/>
        <v>189.16400000000002</v>
      </c>
      <c r="E15" s="8">
        <f t="shared" si="0"/>
        <v>188.56300000000002</v>
      </c>
      <c r="F15" s="8">
        <v>477</v>
      </c>
      <c r="G15" s="8">
        <v>463</v>
      </c>
    </row>
    <row r="16" spans="1:7" x14ac:dyDescent="0.2">
      <c r="A16" s="4" t="s">
        <v>13</v>
      </c>
      <c r="B16" s="8">
        <f>SUM(B10:B15)</f>
        <v>10491499</v>
      </c>
      <c r="C16" s="8">
        <f>SUM(C10:C15)</f>
        <v>13708474</v>
      </c>
      <c r="D16" s="8">
        <f t="shared" si="0"/>
        <v>10491.499</v>
      </c>
      <c r="E16" s="8">
        <f t="shared" si="0"/>
        <v>13708.474</v>
      </c>
      <c r="F16" s="8">
        <f>SUM(F10:F15)</f>
        <v>16038</v>
      </c>
      <c r="G16" s="8">
        <f>SUM(G10:G15)</f>
        <v>20645</v>
      </c>
    </row>
    <row r="17" spans="1:9" x14ac:dyDescent="0.2">
      <c r="A17" s="3" t="s">
        <v>14</v>
      </c>
      <c r="B17" s="8"/>
      <c r="C17" s="8"/>
      <c r="D17" s="8">
        <f t="shared" si="0"/>
        <v>0</v>
      </c>
      <c r="E17" s="8">
        <f t="shared" si="0"/>
        <v>0</v>
      </c>
      <c r="F17" s="9" t="s">
        <v>4</v>
      </c>
      <c r="G17" s="9" t="s">
        <v>4</v>
      </c>
    </row>
    <row r="18" spans="1:9" ht="48" x14ac:dyDescent="0.2">
      <c r="A18" s="4" t="s">
        <v>15</v>
      </c>
      <c r="B18" s="8">
        <f>79898+2414071</f>
        <v>2493969</v>
      </c>
      <c r="C18" s="8">
        <f>118361+1558243</f>
        <v>1676604</v>
      </c>
      <c r="D18" s="8">
        <f t="shared" si="0"/>
        <v>2493.9690000000001</v>
      </c>
      <c r="E18" s="8">
        <f t="shared" si="0"/>
        <v>1676.604</v>
      </c>
      <c r="F18" s="8">
        <v>2013</v>
      </c>
      <c r="G18" s="8">
        <v>2654</v>
      </c>
    </row>
    <row r="19" spans="1:9" ht="32" x14ac:dyDescent="0.2">
      <c r="A19" s="4" t="s">
        <v>95</v>
      </c>
      <c r="B19" s="8">
        <v>56586</v>
      </c>
      <c r="C19" s="8">
        <v>63479</v>
      </c>
      <c r="D19" s="8">
        <f t="shared" si="0"/>
        <v>56.585999999999999</v>
      </c>
      <c r="E19" s="8">
        <f t="shared" si="0"/>
        <v>63.478999999999999</v>
      </c>
      <c r="F19" s="8">
        <v>0</v>
      </c>
      <c r="G19" s="8">
        <v>0</v>
      </c>
    </row>
    <row r="20" spans="1:9" ht="48" x14ac:dyDescent="0.2">
      <c r="A20" s="4" t="s">
        <v>16</v>
      </c>
      <c r="B20" s="8">
        <v>2181329</v>
      </c>
      <c r="C20" s="8">
        <v>3715471</v>
      </c>
      <c r="D20" s="8">
        <f t="shared" si="0"/>
        <v>2181.3290000000002</v>
      </c>
      <c r="E20" s="8">
        <f t="shared" si="0"/>
        <v>3715.471</v>
      </c>
      <c r="F20" s="8">
        <v>4783</v>
      </c>
      <c r="G20" s="8">
        <v>5869</v>
      </c>
      <c r="H20" s="6"/>
      <c r="I20" s="6"/>
    </row>
    <row r="21" spans="1:9" x14ac:dyDescent="0.2">
      <c r="A21" s="4" t="s">
        <v>17</v>
      </c>
      <c r="B21" s="8">
        <v>407895</v>
      </c>
      <c r="C21" s="8">
        <v>903728</v>
      </c>
      <c r="D21" s="8">
        <f t="shared" si="0"/>
        <v>407.89499999999998</v>
      </c>
      <c r="E21" s="8">
        <f t="shared" si="0"/>
        <v>903.72800000000007</v>
      </c>
      <c r="F21" s="8">
        <v>1182</v>
      </c>
      <c r="G21" s="8">
        <v>1427</v>
      </c>
    </row>
    <row r="22" spans="1:9" x14ac:dyDescent="0.2">
      <c r="A22" s="4" t="s">
        <v>18</v>
      </c>
      <c r="B22" s="8">
        <f>SUM(B18:B21)</f>
        <v>5139779</v>
      </c>
      <c r="C22" s="8">
        <f t="shared" ref="C22:G22" si="2">SUM(C18:C21)</f>
        <v>6359282</v>
      </c>
      <c r="D22" s="8">
        <f t="shared" si="0"/>
        <v>5139.7790000000005</v>
      </c>
      <c r="E22" s="8">
        <f t="shared" si="0"/>
        <v>6359.2820000000002</v>
      </c>
      <c r="F22" s="8">
        <f t="shared" si="2"/>
        <v>7978</v>
      </c>
      <c r="G22" s="8">
        <f t="shared" si="2"/>
        <v>9950</v>
      </c>
    </row>
    <row r="23" spans="1:9" x14ac:dyDescent="0.2">
      <c r="A23" s="4" t="s">
        <v>19</v>
      </c>
      <c r="B23" s="8">
        <v>1815562</v>
      </c>
      <c r="C23" s="8">
        <v>1982537</v>
      </c>
      <c r="D23" s="8">
        <f t="shared" si="0"/>
        <v>1815.5620000000001</v>
      </c>
      <c r="E23" s="8">
        <f t="shared" si="0"/>
        <v>1982.537</v>
      </c>
      <c r="F23" s="8">
        <v>1987</v>
      </c>
      <c r="G23" s="8">
        <v>1991</v>
      </c>
    </row>
    <row r="24" spans="1:9" ht="32" x14ac:dyDescent="0.2">
      <c r="A24" s="4" t="s">
        <v>20</v>
      </c>
      <c r="B24" s="8">
        <v>430905</v>
      </c>
      <c r="C24" s="8">
        <v>372483</v>
      </c>
      <c r="D24" s="8">
        <f t="shared" si="0"/>
        <v>430.90500000000003</v>
      </c>
      <c r="E24" s="8">
        <f t="shared" si="0"/>
        <v>372.483</v>
      </c>
      <c r="F24" s="8">
        <v>295</v>
      </c>
      <c r="G24" s="8">
        <v>252</v>
      </c>
    </row>
    <row r="25" spans="1:9" ht="32" x14ac:dyDescent="0.2">
      <c r="A25" s="4" t="s">
        <v>21</v>
      </c>
      <c r="B25" s="8">
        <v>203470</v>
      </c>
      <c r="C25" s="8">
        <v>218459</v>
      </c>
      <c r="D25" s="8">
        <f t="shared" si="0"/>
        <v>203.47</v>
      </c>
      <c r="E25" s="8">
        <f t="shared" si="0"/>
        <v>218.459</v>
      </c>
      <c r="F25" s="8">
        <v>218</v>
      </c>
      <c r="G25" s="8">
        <v>287</v>
      </c>
    </row>
    <row r="26" spans="1:9" x14ac:dyDescent="0.2">
      <c r="A26" s="4" t="s">
        <v>22</v>
      </c>
      <c r="B26" s="8">
        <f>SUM(B22:B25)</f>
        <v>7589716</v>
      </c>
      <c r="C26" s="8">
        <f t="shared" ref="C26:G26" si="3">SUM(C22:C25)</f>
        <v>8932761</v>
      </c>
      <c r="D26" s="8">
        <f t="shared" si="0"/>
        <v>7589.7160000000003</v>
      </c>
      <c r="E26" s="8">
        <f t="shared" si="0"/>
        <v>8932.7610000000004</v>
      </c>
      <c r="F26" s="8">
        <f t="shared" si="3"/>
        <v>10478</v>
      </c>
      <c r="G26" s="8">
        <f t="shared" si="3"/>
        <v>12480</v>
      </c>
    </row>
    <row r="27" spans="1:9" ht="32" x14ac:dyDescent="0.2">
      <c r="A27" s="4" t="s">
        <v>23</v>
      </c>
      <c r="B27" s="6"/>
      <c r="C27" s="6"/>
      <c r="D27" s="8">
        <f t="shared" si="0"/>
        <v>0</v>
      </c>
      <c r="E27" s="8">
        <f t="shared" si="0"/>
        <v>0</v>
      </c>
      <c r="F27" s="4" t="s">
        <v>24</v>
      </c>
      <c r="G27" s="4" t="s">
        <v>24</v>
      </c>
    </row>
    <row r="28" spans="1:9" x14ac:dyDescent="0.2">
      <c r="A28" s="3" t="s">
        <v>25</v>
      </c>
      <c r="B28" s="6"/>
      <c r="C28" s="6"/>
      <c r="D28" s="8">
        <f t="shared" si="0"/>
        <v>0</v>
      </c>
      <c r="E28" s="8">
        <f t="shared" si="0"/>
        <v>0</v>
      </c>
      <c r="F28" s="4" t="s">
        <v>4</v>
      </c>
      <c r="G28" s="4" t="s">
        <v>4</v>
      </c>
    </row>
    <row r="29" spans="1:9" x14ac:dyDescent="0.2">
      <c r="A29" s="4" t="s">
        <v>26</v>
      </c>
      <c r="B29" s="6">
        <v>60</v>
      </c>
      <c r="C29" s="6">
        <v>63</v>
      </c>
      <c r="D29" s="8">
        <f t="shared" si="0"/>
        <v>0.06</v>
      </c>
      <c r="E29" s="8">
        <f t="shared" si="0"/>
        <v>6.3E-2</v>
      </c>
      <c r="F29" s="6">
        <v>0</v>
      </c>
      <c r="G29" s="6">
        <v>0</v>
      </c>
    </row>
    <row r="30" spans="1:9" x14ac:dyDescent="0.2">
      <c r="A30" s="4" t="s">
        <v>27</v>
      </c>
      <c r="B30" s="6">
        <v>8904791</v>
      </c>
      <c r="C30" s="6">
        <v>11140284</v>
      </c>
      <c r="D30" s="8">
        <f t="shared" si="0"/>
        <v>8904.7910000000011</v>
      </c>
      <c r="E30" s="8">
        <f t="shared" si="0"/>
        <v>11140.284</v>
      </c>
      <c r="F30" s="6">
        <v>11557</v>
      </c>
      <c r="G30" s="6">
        <v>11639</v>
      </c>
    </row>
    <row r="31" spans="1:9" ht="32" x14ac:dyDescent="0.2">
      <c r="A31" s="4" t="s">
        <v>28</v>
      </c>
      <c r="B31" s="6">
        <v>2639</v>
      </c>
      <c r="C31" s="6">
        <v>-6893</v>
      </c>
      <c r="D31" s="8">
        <f t="shared" si="0"/>
        <v>2.6390000000000002</v>
      </c>
      <c r="E31" s="8">
        <f t="shared" si="0"/>
        <v>-6.8929999999999998</v>
      </c>
      <c r="F31" s="6">
        <v>-32</v>
      </c>
      <c r="G31" s="6">
        <v>-49</v>
      </c>
    </row>
    <row r="32" spans="1:9" x14ac:dyDescent="0.2">
      <c r="A32" s="4" t="s">
        <v>29</v>
      </c>
      <c r="B32" s="6">
        <v>-6005707</v>
      </c>
      <c r="C32" s="6">
        <v>-6357741</v>
      </c>
      <c r="D32" s="8">
        <f t="shared" si="0"/>
        <v>-6005.7070000000003</v>
      </c>
      <c r="E32" s="8">
        <f t="shared" si="0"/>
        <v>-6357.741</v>
      </c>
      <c r="F32" s="6">
        <v>-5965</v>
      </c>
      <c r="G32" s="6">
        <v>-3425</v>
      </c>
    </row>
    <row r="33" spans="1:7" x14ac:dyDescent="0.2">
      <c r="A33" s="4" t="s">
        <v>30</v>
      </c>
      <c r="B33" s="6">
        <v>2901783</v>
      </c>
      <c r="C33" s="6">
        <v>4775713</v>
      </c>
      <c r="D33" s="8">
        <f t="shared" si="0"/>
        <v>2901.7829999999999</v>
      </c>
      <c r="E33" s="8">
        <f t="shared" si="0"/>
        <v>4775.7129999999997</v>
      </c>
      <c r="F33" s="6">
        <v>5560</v>
      </c>
      <c r="G33" s="6">
        <v>8165</v>
      </c>
    </row>
    <row r="34" spans="1:7" ht="32" x14ac:dyDescent="0.2">
      <c r="A34" s="4" t="s">
        <v>31</v>
      </c>
      <c r="B34" s="5">
        <v>10491499</v>
      </c>
      <c r="C34" s="5">
        <v>13708474</v>
      </c>
      <c r="D34" s="8">
        <f t="shared" si="0"/>
        <v>10491.499</v>
      </c>
      <c r="E34" s="8">
        <f t="shared" si="0"/>
        <v>13708.474</v>
      </c>
      <c r="F34" s="5">
        <v>16038</v>
      </c>
      <c r="G34" s="5">
        <v>20645</v>
      </c>
    </row>
    <row r="35" spans="1:7" x14ac:dyDescent="0.2">
      <c r="B35" s="6"/>
      <c r="C35" s="6"/>
      <c r="D35" s="6"/>
      <c r="E35" s="6"/>
    </row>
    <row r="36" spans="1:7" x14ac:dyDescent="0.2">
      <c r="B36" s="5"/>
      <c r="C36" s="5"/>
      <c r="D36" s="5"/>
      <c r="E36" s="5"/>
    </row>
    <row r="37" spans="1:7" x14ac:dyDescent="0.2">
      <c r="B37" s="5"/>
      <c r="C37" s="5"/>
      <c r="D37" s="5"/>
      <c r="E37" s="5"/>
    </row>
    <row r="38" spans="1:7" x14ac:dyDescent="0.2">
      <c r="B38" s="5"/>
      <c r="C38" s="5"/>
      <c r="D38" s="5"/>
      <c r="E38" s="5"/>
    </row>
    <row r="39" spans="1:7" x14ac:dyDescent="0.2">
      <c r="B39" s="5"/>
      <c r="C39" s="5"/>
      <c r="D39" s="5"/>
      <c r="E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0B98-07B2-5B40-B859-8752EF0D43D6}">
  <dimension ref="A1:S38"/>
  <sheetViews>
    <sheetView tabSelected="1" topLeftCell="F2" workbookViewId="0">
      <selection activeCell="E12" sqref="E12"/>
    </sheetView>
  </sheetViews>
  <sheetFormatPr baseColWidth="10" defaultRowHeight="16" x14ac:dyDescent="0.2"/>
  <cols>
    <col min="1" max="1" width="22" customWidth="1"/>
    <col min="2" max="3" width="14" hidden="1" customWidth="1"/>
    <col min="4" max="4" width="14.83203125" customWidth="1"/>
    <col min="5" max="5" width="15.33203125" customWidth="1"/>
    <col min="6" max="6" width="16.33203125" customWidth="1"/>
    <col min="7" max="7" width="15.6640625" customWidth="1"/>
    <col min="8" max="8" width="15.83203125" customWidth="1"/>
    <col min="10" max="10" width="17.33203125" hidden="1" customWidth="1"/>
    <col min="11" max="11" width="18" hidden="1" customWidth="1"/>
    <col min="12" max="12" width="15.33203125" hidden="1" customWidth="1"/>
    <col min="13" max="13" width="15" hidden="1" customWidth="1"/>
    <col min="15" max="15" width="17.33203125" customWidth="1"/>
    <col min="16" max="16" width="18" customWidth="1"/>
    <col min="18" max="18" width="15.33203125" customWidth="1"/>
    <col min="19" max="19" width="15" customWidth="1"/>
  </cols>
  <sheetData>
    <row r="1" spans="1:19" ht="32" customHeight="1" x14ac:dyDescent="0.2">
      <c r="A1" s="42" t="s">
        <v>32</v>
      </c>
      <c r="B1" s="44" t="s">
        <v>33</v>
      </c>
      <c r="C1" s="44"/>
      <c r="D1" s="44"/>
      <c r="E1" s="44"/>
      <c r="F1" s="44"/>
      <c r="G1" s="44"/>
      <c r="H1" s="44"/>
    </row>
    <row r="2" spans="1:19" ht="32" x14ac:dyDescent="0.2">
      <c r="A2" s="43"/>
      <c r="B2" s="2" t="s">
        <v>96</v>
      </c>
      <c r="C2" s="2" t="s">
        <v>90</v>
      </c>
      <c r="D2" s="2" t="s">
        <v>96</v>
      </c>
      <c r="E2" s="2" t="s">
        <v>90</v>
      </c>
      <c r="F2" s="2" t="s">
        <v>34</v>
      </c>
      <c r="G2" s="2" t="s">
        <v>2</v>
      </c>
      <c r="H2" s="2" t="s">
        <v>1</v>
      </c>
      <c r="J2" s="2" t="s">
        <v>150</v>
      </c>
      <c r="K2" s="2" t="s">
        <v>148</v>
      </c>
      <c r="L2" s="2" t="s">
        <v>149</v>
      </c>
      <c r="M2" s="2" t="s">
        <v>147</v>
      </c>
      <c r="N2" s="2" t="s">
        <v>152</v>
      </c>
      <c r="O2" s="2" t="s">
        <v>150</v>
      </c>
      <c r="P2" s="2" t="s">
        <v>148</v>
      </c>
      <c r="Q2" s="2" t="s">
        <v>151</v>
      </c>
      <c r="R2" s="2" t="s">
        <v>149</v>
      </c>
      <c r="S2" s="2" t="s">
        <v>147</v>
      </c>
    </row>
    <row r="3" spans="1:19" x14ac:dyDescent="0.2">
      <c r="A3" s="3" t="s">
        <v>35</v>
      </c>
      <c r="B3" s="10">
        <v>1000</v>
      </c>
      <c r="C3" s="10"/>
      <c r="D3">
        <v>1000000</v>
      </c>
      <c r="F3" s="4" t="s">
        <v>4</v>
      </c>
      <c r="G3" s="4" t="s">
        <v>4</v>
      </c>
      <c r="H3" s="4" t="s">
        <v>4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">
      <c r="A4" s="4" t="s">
        <v>36</v>
      </c>
      <c r="B4" s="5">
        <v>4805239</v>
      </c>
      <c r="C4" s="5">
        <v>3378199</v>
      </c>
      <c r="D4" s="5">
        <f>B4*$B$3</f>
        <v>4805239000</v>
      </c>
      <c r="E4" s="5">
        <f>C4*$B$3</f>
        <v>3378199000</v>
      </c>
      <c r="F4" s="5">
        <v>5992000000</v>
      </c>
      <c r="G4" s="5">
        <v>8399000000</v>
      </c>
      <c r="H4" s="5">
        <v>9917000000</v>
      </c>
      <c r="J4" s="5">
        <v>2104000000</v>
      </c>
      <c r="K4" s="5">
        <v>2884000000</v>
      </c>
      <c r="L4" s="5">
        <v>2484000000</v>
      </c>
      <c r="M4" s="5">
        <v>3397000000</v>
      </c>
      <c r="N4" s="5">
        <v>1509</v>
      </c>
      <c r="O4" s="5">
        <f>J4/$D$3</f>
        <v>2104</v>
      </c>
      <c r="P4" s="5">
        <f>K4/$D$3</f>
        <v>2884</v>
      </c>
      <c r="Q4" s="5">
        <v>1818</v>
      </c>
      <c r="R4" s="5">
        <f>L4/$D$3</f>
        <v>2484</v>
      </c>
      <c r="S4" s="5">
        <f>M4/$D$3</f>
        <v>3397</v>
      </c>
    </row>
    <row r="5" spans="1:19" x14ac:dyDescent="0.2">
      <c r="A5" s="3" t="s">
        <v>37</v>
      </c>
      <c r="D5" s="5"/>
      <c r="E5" s="5"/>
      <c r="F5" s="4" t="s">
        <v>4</v>
      </c>
      <c r="G5" s="4" t="s">
        <v>4</v>
      </c>
      <c r="H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5"/>
      <c r="P5" s="5"/>
      <c r="Q5" s="4" t="s">
        <v>4</v>
      </c>
      <c r="R5" s="5"/>
      <c r="S5" s="5"/>
    </row>
    <row r="6" spans="1:19" x14ac:dyDescent="0.2">
      <c r="A6" s="4" t="s">
        <v>38</v>
      </c>
      <c r="B6" s="6">
        <v>1196313</v>
      </c>
      <c r="C6" s="6">
        <v>876042</v>
      </c>
      <c r="D6" s="5">
        <f t="shared" ref="D6:D22" si="0">B6*$B$3</f>
        <v>1196313000</v>
      </c>
      <c r="E6" s="5">
        <f t="shared" ref="E6:E22" si="1">C6*$B$3</f>
        <v>876042000</v>
      </c>
      <c r="F6" s="6">
        <v>1156000000</v>
      </c>
      <c r="G6" s="6">
        <v>1499000000</v>
      </c>
      <c r="H6" s="6">
        <v>1703000000</v>
      </c>
      <c r="J6" s="6">
        <v>390000000</v>
      </c>
      <c r="K6" s="6">
        <v>401000000</v>
      </c>
      <c r="L6" s="6">
        <v>432000000</v>
      </c>
      <c r="M6" s="6">
        <v>459000000</v>
      </c>
      <c r="N6" s="6">
        <v>363</v>
      </c>
      <c r="O6" s="5">
        <f>J6/$D$3</f>
        <v>390</v>
      </c>
      <c r="P6" s="5">
        <f>K6/$D$3</f>
        <v>401</v>
      </c>
      <c r="Q6" s="6">
        <v>428</v>
      </c>
      <c r="R6" s="5">
        <f t="shared" ref="R6:S6" si="2">L6/$D$3</f>
        <v>432</v>
      </c>
      <c r="S6" s="5">
        <f t="shared" si="2"/>
        <v>459</v>
      </c>
    </row>
    <row r="7" spans="1:19" x14ac:dyDescent="0.2">
      <c r="A7" s="4"/>
      <c r="B7" s="6"/>
      <c r="C7" s="6"/>
      <c r="D7" s="12">
        <f>D6/D4</f>
        <v>0.24896014537466293</v>
      </c>
      <c r="E7" s="12">
        <f t="shared" ref="E7:H7" si="3">E6/E4</f>
        <v>0.25932220097158276</v>
      </c>
      <c r="F7" s="12">
        <f t="shared" si="3"/>
        <v>0.19292389853137518</v>
      </c>
      <c r="G7" s="12">
        <f t="shared" si="3"/>
        <v>0.17847362781283485</v>
      </c>
      <c r="H7" s="12">
        <f t="shared" si="3"/>
        <v>0.17172532015730563</v>
      </c>
      <c r="J7" s="12">
        <f t="shared" ref="J7:M7" si="4">J6/J4</f>
        <v>0.18536121673003803</v>
      </c>
      <c r="K7" s="12">
        <f t="shared" si="4"/>
        <v>0.13904299583911234</v>
      </c>
      <c r="L7" s="12">
        <f t="shared" si="4"/>
        <v>0.17391304347826086</v>
      </c>
      <c r="M7" s="12">
        <f t="shared" si="4"/>
        <v>0.1351192228436856</v>
      </c>
      <c r="N7" s="12">
        <f t="shared" ref="N7:S7" si="5">N6/N4</f>
        <v>0.24055666003976142</v>
      </c>
      <c r="O7" s="12">
        <f t="shared" si="5"/>
        <v>0.18536121673003803</v>
      </c>
      <c r="P7" s="12">
        <f t="shared" ref="P7" si="6">P6/P4</f>
        <v>0.13904299583911234</v>
      </c>
      <c r="Q7" s="12">
        <f t="shared" si="5"/>
        <v>0.23542354235423543</v>
      </c>
      <c r="R7" s="12">
        <f t="shared" si="5"/>
        <v>0.17391304347826086</v>
      </c>
      <c r="S7" s="12">
        <f t="shared" si="5"/>
        <v>0.1351192228436856</v>
      </c>
    </row>
    <row r="8" spans="1:19" x14ac:dyDescent="0.2">
      <c r="A8" s="3" t="s">
        <v>97</v>
      </c>
      <c r="B8" s="6"/>
      <c r="C8" s="6"/>
      <c r="D8" s="5">
        <f>D4-D6</f>
        <v>3608926000</v>
      </c>
      <c r="E8" s="5">
        <f t="shared" ref="E8:H8" si="7">E4-E6</f>
        <v>2502157000</v>
      </c>
      <c r="F8" s="5">
        <f t="shared" si="7"/>
        <v>4836000000</v>
      </c>
      <c r="G8" s="5">
        <f t="shared" si="7"/>
        <v>6900000000</v>
      </c>
      <c r="H8" s="5">
        <f t="shared" si="7"/>
        <v>8214000000</v>
      </c>
      <c r="J8" s="5">
        <f t="shared" ref="J8:M8" si="8">J4-J6</f>
        <v>1714000000</v>
      </c>
      <c r="K8" s="5">
        <f t="shared" si="8"/>
        <v>2483000000</v>
      </c>
      <c r="L8" s="5">
        <f t="shared" si="8"/>
        <v>2052000000</v>
      </c>
      <c r="M8" s="5">
        <f t="shared" si="8"/>
        <v>2938000000</v>
      </c>
      <c r="N8" s="5">
        <f t="shared" ref="N8:S8" si="9">N4-N6</f>
        <v>1146</v>
      </c>
      <c r="O8" s="5">
        <f t="shared" si="9"/>
        <v>1714</v>
      </c>
      <c r="P8" s="5">
        <f t="shared" ref="P8" si="10">P4-P6</f>
        <v>2483</v>
      </c>
      <c r="Q8" s="5">
        <f t="shared" si="9"/>
        <v>1390</v>
      </c>
      <c r="R8" s="5">
        <f t="shared" si="9"/>
        <v>2052</v>
      </c>
      <c r="S8" s="5">
        <f t="shared" si="9"/>
        <v>2938</v>
      </c>
    </row>
    <row r="9" spans="1:19" x14ac:dyDescent="0.2">
      <c r="A9" s="3"/>
      <c r="B9" s="6"/>
      <c r="C9" s="6"/>
      <c r="D9" s="12">
        <f>D8/D4</f>
        <v>0.75103985462533707</v>
      </c>
      <c r="E9" s="12">
        <f t="shared" ref="E9:H9" si="11">E8/E4</f>
        <v>0.74067779902841724</v>
      </c>
      <c r="F9" s="12">
        <f t="shared" si="11"/>
        <v>0.80707610146862485</v>
      </c>
      <c r="G9" s="12">
        <f t="shared" si="11"/>
        <v>0.82152637218716518</v>
      </c>
      <c r="H9" s="12">
        <f t="shared" si="11"/>
        <v>0.82827467984269432</v>
      </c>
      <c r="J9" s="12">
        <f t="shared" ref="J9:M9" si="12">J8/J4</f>
        <v>0.81463878326996197</v>
      </c>
      <c r="K9" s="12">
        <f t="shared" si="12"/>
        <v>0.86095700416088761</v>
      </c>
      <c r="L9" s="12">
        <f t="shared" si="12"/>
        <v>0.82608695652173914</v>
      </c>
      <c r="M9" s="12">
        <f t="shared" si="12"/>
        <v>0.8648807771563144</v>
      </c>
      <c r="N9" s="12">
        <f t="shared" ref="N9:O9" si="13">N8/N4</f>
        <v>0.75944333996023861</v>
      </c>
      <c r="O9" s="12">
        <f t="shared" si="13"/>
        <v>0.81463878326996197</v>
      </c>
      <c r="P9" s="12">
        <f t="shared" ref="P9" si="14">P8/P4</f>
        <v>0.86095700416088761</v>
      </c>
      <c r="Q9" s="12">
        <f>Q8/Q4</f>
        <v>0.76457645764576454</v>
      </c>
      <c r="R9" s="12">
        <f t="shared" ref="R9:S9" si="15">R8/R4</f>
        <v>0.82608695652173914</v>
      </c>
      <c r="S9" s="12">
        <f t="shared" si="15"/>
        <v>0.8648807771563144</v>
      </c>
    </row>
    <row r="10" spans="1:19" x14ac:dyDescent="0.2">
      <c r="A10" s="4" t="s">
        <v>39</v>
      </c>
      <c r="B10" s="6">
        <v>815074</v>
      </c>
      <c r="C10" s="6">
        <v>877901</v>
      </c>
      <c r="D10" s="5">
        <f t="shared" si="0"/>
        <v>815074000</v>
      </c>
      <c r="E10" s="5">
        <f t="shared" si="1"/>
        <v>877901000</v>
      </c>
      <c r="F10" s="6">
        <v>847000000</v>
      </c>
      <c r="G10" s="6">
        <v>1041000000</v>
      </c>
      <c r="H10" s="6">
        <v>1186000000</v>
      </c>
      <c r="J10" s="6">
        <v>258000000</v>
      </c>
      <c r="K10" s="6">
        <v>290000000</v>
      </c>
      <c r="L10" s="6">
        <v>317000000</v>
      </c>
      <c r="M10" s="6">
        <v>316000000</v>
      </c>
      <c r="N10" s="6">
        <v>233</v>
      </c>
      <c r="O10" s="6">
        <f t="shared" ref="O10:P16" si="16">J10/$D$3</f>
        <v>258</v>
      </c>
      <c r="P10" s="6">
        <f t="shared" si="16"/>
        <v>290</v>
      </c>
      <c r="Q10" s="6">
        <v>282</v>
      </c>
      <c r="R10" s="6">
        <f>L10/$D$3</f>
        <v>317</v>
      </c>
      <c r="S10" s="6">
        <f>M10/$D$3</f>
        <v>316</v>
      </c>
    </row>
    <row r="11" spans="1:19" x14ac:dyDescent="0.2">
      <c r="A11" s="4" t="s">
        <v>40</v>
      </c>
      <c r="B11" s="6">
        <v>976695</v>
      </c>
      <c r="C11" s="6">
        <v>2752872</v>
      </c>
      <c r="D11" s="5">
        <f t="shared" si="0"/>
        <v>976695000</v>
      </c>
      <c r="E11" s="5">
        <f t="shared" si="1"/>
        <v>2752872000</v>
      </c>
      <c r="F11" s="6">
        <v>1425000000</v>
      </c>
      <c r="G11" s="6">
        <v>1502000000</v>
      </c>
      <c r="H11" s="6">
        <v>1722000000</v>
      </c>
      <c r="J11" s="6">
        <v>375000000</v>
      </c>
      <c r="K11" s="6">
        <v>366000000</v>
      </c>
      <c r="L11" s="6">
        <v>451000000</v>
      </c>
      <c r="M11" s="6">
        <v>419000000</v>
      </c>
      <c r="N11" s="6">
        <v>363</v>
      </c>
      <c r="O11" s="6">
        <f t="shared" si="16"/>
        <v>375</v>
      </c>
      <c r="P11" s="6">
        <f t="shared" si="16"/>
        <v>366</v>
      </c>
      <c r="Q11" s="6">
        <v>420</v>
      </c>
      <c r="R11" s="6">
        <f t="shared" ref="R11:S16" si="17">L11/$D$3</f>
        <v>451</v>
      </c>
      <c r="S11" s="6">
        <f t="shared" si="17"/>
        <v>419</v>
      </c>
    </row>
    <row r="12" spans="1:19" x14ac:dyDescent="0.2">
      <c r="A12" s="4" t="s">
        <v>41</v>
      </c>
      <c r="B12" s="6">
        <v>1621519</v>
      </c>
      <c r="C12" s="6">
        <v>1175325</v>
      </c>
      <c r="D12" s="5">
        <f t="shared" si="0"/>
        <v>1621519000</v>
      </c>
      <c r="E12" s="5">
        <f t="shared" si="1"/>
        <v>1175325000</v>
      </c>
      <c r="F12" s="6">
        <v>1186000000</v>
      </c>
      <c r="G12" s="6">
        <v>1516000000</v>
      </c>
      <c r="H12" s="6">
        <v>1763000000</v>
      </c>
      <c r="J12" s="6">
        <v>379000000</v>
      </c>
      <c r="K12" s="6">
        <v>384000000</v>
      </c>
      <c r="L12" s="6">
        <v>486000000</v>
      </c>
      <c r="M12" s="6">
        <v>403000000</v>
      </c>
      <c r="N12" s="6">
        <v>345</v>
      </c>
      <c r="O12" s="6">
        <f t="shared" si="16"/>
        <v>379</v>
      </c>
      <c r="P12" s="6">
        <f t="shared" si="16"/>
        <v>384</v>
      </c>
      <c r="Q12" s="6">
        <v>450</v>
      </c>
      <c r="R12" s="6">
        <f t="shared" si="17"/>
        <v>486</v>
      </c>
      <c r="S12" s="6">
        <f t="shared" si="17"/>
        <v>403</v>
      </c>
    </row>
    <row r="13" spans="1:19" x14ac:dyDescent="0.2">
      <c r="A13" s="4" t="s">
        <v>42</v>
      </c>
      <c r="B13" s="6">
        <v>697181</v>
      </c>
      <c r="C13" s="6">
        <v>1134851</v>
      </c>
      <c r="D13" s="5">
        <f t="shared" si="0"/>
        <v>697181000</v>
      </c>
      <c r="E13" s="5">
        <f t="shared" si="1"/>
        <v>1134851000</v>
      </c>
      <c r="F13" s="6">
        <v>836000000</v>
      </c>
      <c r="G13" s="6">
        <v>950000000</v>
      </c>
      <c r="H13" s="6">
        <v>2025000000</v>
      </c>
      <c r="J13" s="6">
        <v>244000000</v>
      </c>
      <c r="K13" s="6">
        <v>240000000</v>
      </c>
      <c r="L13" s="6">
        <v>275000000</v>
      </c>
      <c r="M13" s="6">
        <v>304000000</v>
      </c>
      <c r="N13" s="6">
        <v>210</v>
      </c>
      <c r="O13" s="6">
        <f t="shared" si="16"/>
        <v>244</v>
      </c>
      <c r="P13" s="6">
        <f t="shared" si="16"/>
        <v>240</v>
      </c>
      <c r="Q13" s="6">
        <v>243</v>
      </c>
      <c r="R13" s="6">
        <f t="shared" si="17"/>
        <v>275</v>
      </c>
      <c r="S13" s="6">
        <f t="shared" si="17"/>
        <v>304</v>
      </c>
    </row>
    <row r="14" spans="1:19" x14ac:dyDescent="0.2">
      <c r="A14" s="4" t="s">
        <v>43</v>
      </c>
      <c r="B14" s="6">
        <v>0</v>
      </c>
      <c r="C14" s="6">
        <v>151355</v>
      </c>
      <c r="D14" s="5">
        <f t="shared" si="0"/>
        <v>0</v>
      </c>
      <c r="E14" s="5">
        <f t="shared" si="1"/>
        <v>151355000</v>
      </c>
      <c r="F14" s="6">
        <v>113000000</v>
      </c>
      <c r="G14" s="6">
        <v>89000000</v>
      </c>
      <c r="H14" s="6">
        <v>0</v>
      </c>
      <c r="J14" s="6">
        <v>89000000</v>
      </c>
      <c r="K14" s="6">
        <v>0</v>
      </c>
      <c r="L14" s="6">
        <v>0</v>
      </c>
      <c r="M14" s="6">
        <v>0</v>
      </c>
      <c r="N14" s="6">
        <v>0</v>
      </c>
      <c r="O14" s="6">
        <f t="shared" si="16"/>
        <v>89</v>
      </c>
      <c r="P14" s="6">
        <f t="shared" si="16"/>
        <v>0</v>
      </c>
      <c r="Q14" s="6">
        <v>0</v>
      </c>
      <c r="R14" s="6">
        <f t="shared" si="17"/>
        <v>0</v>
      </c>
      <c r="S14" s="6">
        <f t="shared" si="17"/>
        <v>0</v>
      </c>
    </row>
    <row r="15" spans="1:19" x14ac:dyDescent="0.2">
      <c r="A15" s="4" t="s">
        <v>98</v>
      </c>
      <c r="B15" s="6">
        <v>5306782</v>
      </c>
      <c r="C15" s="6">
        <v>6968346</v>
      </c>
      <c r="D15" s="5">
        <f>D10+D11+D12+D13+D14</f>
        <v>4110469000</v>
      </c>
      <c r="E15" s="5">
        <f t="shared" ref="E15:H15" si="18">E10+E11+E12+E13+E14</f>
        <v>6092304000</v>
      </c>
      <c r="F15" s="5">
        <f t="shared" si="18"/>
        <v>4407000000</v>
      </c>
      <c r="G15" s="5">
        <f t="shared" si="18"/>
        <v>5098000000</v>
      </c>
      <c r="H15" s="5">
        <f t="shared" si="18"/>
        <v>6696000000</v>
      </c>
      <c r="J15" s="6">
        <v>1735000000</v>
      </c>
      <c r="K15" s="6">
        <v>1681000000</v>
      </c>
      <c r="L15" s="6">
        <v>1961000000</v>
      </c>
      <c r="M15" s="6">
        <v>1901000000</v>
      </c>
      <c r="N15" s="6">
        <v>1514</v>
      </c>
      <c r="O15" s="6">
        <f t="shared" si="16"/>
        <v>1735</v>
      </c>
      <c r="P15" s="6">
        <f t="shared" si="16"/>
        <v>1681</v>
      </c>
      <c r="Q15" s="6">
        <v>1823</v>
      </c>
      <c r="R15" s="6">
        <f t="shared" si="17"/>
        <v>1961</v>
      </c>
      <c r="S15" s="6">
        <f t="shared" si="17"/>
        <v>1901</v>
      </c>
    </row>
    <row r="16" spans="1:19" x14ac:dyDescent="0.2">
      <c r="A16" s="3" t="s">
        <v>44</v>
      </c>
      <c r="B16" s="6">
        <v>-501543</v>
      </c>
      <c r="C16" s="6">
        <v>-3590147</v>
      </c>
      <c r="D16" s="5">
        <f>D8-D15</f>
        <v>-501543000</v>
      </c>
      <c r="E16" s="5">
        <f t="shared" ref="E16:H16" si="19">E8-E15</f>
        <v>-3590147000</v>
      </c>
      <c r="F16" s="5">
        <f t="shared" si="19"/>
        <v>429000000</v>
      </c>
      <c r="G16" s="5">
        <f t="shared" si="19"/>
        <v>1802000000</v>
      </c>
      <c r="H16" s="5">
        <f t="shared" si="19"/>
        <v>1518000000</v>
      </c>
      <c r="J16" s="6">
        <v>369000000</v>
      </c>
      <c r="K16" s="6">
        <v>1203000000</v>
      </c>
      <c r="L16" s="6">
        <v>523000000</v>
      </c>
      <c r="M16" s="6">
        <v>1496000000</v>
      </c>
      <c r="N16" s="6">
        <v>-5</v>
      </c>
      <c r="O16" s="6">
        <f t="shared" si="16"/>
        <v>369</v>
      </c>
      <c r="P16" s="6">
        <f t="shared" si="16"/>
        <v>1203</v>
      </c>
      <c r="Q16" s="6">
        <v>-5</v>
      </c>
      <c r="R16" s="6">
        <f t="shared" si="17"/>
        <v>523</v>
      </c>
      <c r="S16" s="6">
        <f t="shared" si="17"/>
        <v>1496</v>
      </c>
    </row>
    <row r="17" spans="1:19" x14ac:dyDescent="0.2">
      <c r="A17" s="3"/>
      <c r="B17" s="6"/>
      <c r="C17" s="6"/>
      <c r="D17" s="12">
        <f>D16/D6</f>
        <v>-0.41924061679510294</v>
      </c>
      <c r="E17" s="12">
        <f t="shared" ref="E17:H17" si="20">E16/E6</f>
        <v>-4.0981448378045799</v>
      </c>
      <c r="F17" s="12">
        <f t="shared" si="20"/>
        <v>0.37110726643598618</v>
      </c>
      <c r="G17" s="12">
        <f t="shared" si="20"/>
        <v>1.2021347565043363</v>
      </c>
      <c r="H17" s="12">
        <f t="shared" si="20"/>
        <v>0.89136817381092193</v>
      </c>
      <c r="J17" s="12">
        <f t="shared" ref="J17:M17" si="21">J16/J4</f>
        <v>0.17538022813688212</v>
      </c>
      <c r="K17" s="12">
        <f t="shared" si="21"/>
        <v>0.41712898751733701</v>
      </c>
      <c r="L17" s="12">
        <f t="shared" si="21"/>
        <v>0.21054750402576489</v>
      </c>
      <c r="M17" s="12">
        <f t="shared" si="21"/>
        <v>0.44038857815719751</v>
      </c>
      <c r="N17" s="12">
        <f t="shared" ref="N17:S17" si="22">N16/N4</f>
        <v>-3.3134526176275677E-3</v>
      </c>
      <c r="O17" s="12">
        <f t="shared" si="22"/>
        <v>0.17538022813688212</v>
      </c>
      <c r="P17" s="12">
        <f t="shared" ref="P17" si="23">P16/P4</f>
        <v>0.41712898751733701</v>
      </c>
      <c r="Q17" s="12">
        <f t="shared" si="22"/>
        <v>-2.7502750275027505E-3</v>
      </c>
      <c r="R17" s="12">
        <f t="shared" si="22"/>
        <v>0.21054750402576489</v>
      </c>
      <c r="S17" s="12">
        <f t="shared" si="22"/>
        <v>0.44038857815719751</v>
      </c>
    </row>
    <row r="18" spans="1:19" x14ac:dyDescent="0.2">
      <c r="A18" s="4" t="s">
        <v>45</v>
      </c>
      <c r="B18" s="6">
        <v>85902</v>
      </c>
      <c r="C18" s="6">
        <v>27117</v>
      </c>
      <c r="D18" s="5">
        <f t="shared" si="0"/>
        <v>85902000</v>
      </c>
      <c r="E18" s="5">
        <f t="shared" si="1"/>
        <v>27117000</v>
      </c>
      <c r="F18" s="6">
        <v>13000000</v>
      </c>
      <c r="G18" s="6">
        <v>186000000</v>
      </c>
      <c r="H18" s="6">
        <v>721000000</v>
      </c>
      <c r="J18" s="6">
        <v>20000000</v>
      </c>
      <c r="K18" s="6">
        <v>59000000</v>
      </c>
      <c r="L18" s="6">
        <v>191000000</v>
      </c>
      <c r="M18" s="6">
        <v>192000000</v>
      </c>
      <c r="N18" s="6">
        <v>5</v>
      </c>
      <c r="O18" s="6">
        <f t="shared" ref="O18:P22" si="24">J18/$D$3</f>
        <v>20</v>
      </c>
      <c r="P18" s="6">
        <f t="shared" si="24"/>
        <v>59</v>
      </c>
      <c r="Q18" s="6">
        <v>146</v>
      </c>
      <c r="R18" s="6">
        <f>L18/$D$3</f>
        <v>191</v>
      </c>
      <c r="S18" s="6">
        <f>M18/$D$3</f>
        <v>192</v>
      </c>
    </row>
    <row r="19" spans="1:19" x14ac:dyDescent="0.2">
      <c r="A19" s="4" t="s">
        <v>46</v>
      </c>
      <c r="B19" s="6">
        <v>-9968</v>
      </c>
      <c r="C19" s="6">
        <v>-171688</v>
      </c>
      <c r="D19" s="5">
        <f t="shared" si="0"/>
        <v>-9968000</v>
      </c>
      <c r="E19" s="5">
        <f t="shared" si="1"/>
        <v>-171688000</v>
      </c>
      <c r="F19" s="6">
        <v>-438000000</v>
      </c>
      <c r="G19" s="6">
        <v>-24000000</v>
      </c>
      <c r="H19" s="6">
        <v>-83000000</v>
      </c>
      <c r="J19" s="6">
        <v>-8000000</v>
      </c>
      <c r="K19" s="6">
        <v>-5000000</v>
      </c>
      <c r="L19" s="6">
        <v>-2000000</v>
      </c>
      <c r="M19" s="6">
        <v>-6000000</v>
      </c>
      <c r="N19" s="6">
        <v>-6</v>
      </c>
      <c r="O19" s="6">
        <f t="shared" si="24"/>
        <v>-8</v>
      </c>
      <c r="P19" s="6">
        <f t="shared" si="24"/>
        <v>-5</v>
      </c>
      <c r="Q19" s="6">
        <v>-4</v>
      </c>
      <c r="R19" s="6">
        <f t="shared" ref="R19:S22" si="25">L19/$D$3</f>
        <v>-2</v>
      </c>
      <c r="S19" s="6">
        <f t="shared" si="25"/>
        <v>-6</v>
      </c>
    </row>
    <row r="20" spans="1:19" ht="32" x14ac:dyDescent="0.2">
      <c r="A20" s="4" t="s">
        <v>47</v>
      </c>
      <c r="B20" s="6">
        <v>13906</v>
      </c>
      <c r="C20" s="6">
        <v>-947220</v>
      </c>
      <c r="D20" s="5">
        <f t="shared" si="0"/>
        <v>13906000</v>
      </c>
      <c r="E20" s="5">
        <f t="shared" si="1"/>
        <v>-947220000</v>
      </c>
      <c r="F20" s="6">
        <v>-304000000</v>
      </c>
      <c r="G20" s="6">
        <v>25000000</v>
      </c>
      <c r="H20" s="6">
        <v>-54000000</v>
      </c>
      <c r="J20" s="6">
        <v>2000000</v>
      </c>
      <c r="K20" s="6">
        <v>13000000</v>
      </c>
      <c r="L20" s="6">
        <v>-36000000</v>
      </c>
      <c r="M20" s="6">
        <v>-3000000</v>
      </c>
      <c r="N20" s="6">
        <v>-2</v>
      </c>
      <c r="O20" s="6">
        <f t="shared" si="24"/>
        <v>2</v>
      </c>
      <c r="P20" s="6">
        <f t="shared" si="24"/>
        <v>13</v>
      </c>
      <c r="Q20" s="6">
        <v>-7</v>
      </c>
      <c r="R20" s="6">
        <f t="shared" si="25"/>
        <v>-36</v>
      </c>
      <c r="S20" s="6">
        <f t="shared" si="25"/>
        <v>-3</v>
      </c>
    </row>
    <row r="21" spans="1:19" ht="32" x14ac:dyDescent="0.2">
      <c r="A21" s="4" t="s">
        <v>48</v>
      </c>
      <c r="B21" s="6">
        <v>-411703</v>
      </c>
      <c r="C21" s="6">
        <v>-4681938</v>
      </c>
      <c r="D21" s="5">
        <f t="shared" si="0"/>
        <v>-411703000</v>
      </c>
      <c r="E21" s="5">
        <f t="shared" si="1"/>
        <v>-4681938000</v>
      </c>
      <c r="F21" s="6">
        <v>-300000000</v>
      </c>
      <c r="G21" s="6">
        <v>1989000000</v>
      </c>
      <c r="H21" s="6">
        <v>2102000000</v>
      </c>
      <c r="J21" s="6">
        <v>383000000</v>
      </c>
      <c r="K21" s="6">
        <v>1270000000</v>
      </c>
      <c r="L21" s="6">
        <v>676000000</v>
      </c>
      <c r="M21" s="6">
        <v>1679000000</v>
      </c>
      <c r="N21" s="6">
        <v>-8</v>
      </c>
      <c r="O21" s="6">
        <f t="shared" si="24"/>
        <v>383</v>
      </c>
      <c r="P21" s="6">
        <f t="shared" si="24"/>
        <v>1270</v>
      </c>
      <c r="Q21" s="6">
        <v>130</v>
      </c>
      <c r="R21" s="6">
        <f t="shared" si="25"/>
        <v>676</v>
      </c>
      <c r="S21" s="6">
        <f t="shared" si="25"/>
        <v>1679</v>
      </c>
    </row>
    <row r="22" spans="1:19" ht="32" x14ac:dyDescent="0.2">
      <c r="A22" s="4" t="s">
        <v>49</v>
      </c>
      <c r="B22" s="6">
        <v>262636</v>
      </c>
      <c r="C22" s="6">
        <v>-97222</v>
      </c>
      <c r="D22" s="5">
        <f t="shared" si="0"/>
        <v>262636000</v>
      </c>
      <c r="E22" s="5">
        <f t="shared" si="1"/>
        <v>-97222000</v>
      </c>
      <c r="F22" s="6">
        <v>52000000</v>
      </c>
      <c r="G22" s="6">
        <v>96000000</v>
      </c>
      <c r="H22" s="6">
        <v>-2690000000</v>
      </c>
      <c r="J22" s="6">
        <v>4000000</v>
      </c>
      <c r="K22" s="6">
        <v>56000000</v>
      </c>
      <c r="L22" s="6">
        <v>26000000</v>
      </c>
      <c r="M22" s="6">
        <v>-2695000000</v>
      </c>
      <c r="N22" s="21">
        <v>10.7</v>
      </c>
      <c r="O22" s="6">
        <f t="shared" si="24"/>
        <v>4</v>
      </c>
      <c r="P22" s="6">
        <f t="shared" si="24"/>
        <v>56</v>
      </c>
      <c r="Q22" s="21">
        <v>13.4</v>
      </c>
      <c r="R22" s="6">
        <f t="shared" si="25"/>
        <v>26</v>
      </c>
      <c r="S22" s="6">
        <f t="shared" si="25"/>
        <v>-2695</v>
      </c>
    </row>
    <row r="23" spans="1:19" x14ac:dyDescent="0.2">
      <c r="A23" s="18" t="s">
        <v>145</v>
      </c>
      <c r="B23" s="6"/>
      <c r="C23" s="6"/>
      <c r="D23" s="19">
        <f t="shared" ref="D23:H23" si="26">D22/D21</f>
        <v>-0.63792588346453638</v>
      </c>
      <c r="E23" s="19">
        <f t="shared" si="26"/>
        <v>2.0765332646438293E-2</v>
      </c>
      <c r="F23" s="19">
        <f t="shared" si="26"/>
        <v>-0.17333333333333334</v>
      </c>
      <c r="G23" s="19">
        <f t="shared" si="26"/>
        <v>4.8265460030165915E-2</v>
      </c>
      <c r="H23" s="19">
        <f t="shared" si="26"/>
        <v>-1.2797335870599429</v>
      </c>
      <c r="I23" s="20"/>
      <c r="J23" s="19">
        <f t="shared" ref="J23:S23" si="27">J22/J21</f>
        <v>1.0443864229765013E-2</v>
      </c>
      <c r="K23" s="19">
        <f t="shared" si="27"/>
        <v>4.4094488188976377E-2</v>
      </c>
      <c r="L23" s="19">
        <f t="shared" si="27"/>
        <v>3.8461538461538464E-2</v>
      </c>
      <c r="M23" s="19">
        <f t="shared" si="27"/>
        <v>-1.6051220964860036</v>
      </c>
      <c r="N23" s="19">
        <f t="shared" si="27"/>
        <v>-1.3374999999999999</v>
      </c>
      <c r="O23" s="19">
        <f t="shared" si="27"/>
        <v>1.0443864229765013E-2</v>
      </c>
      <c r="P23" s="19">
        <f t="shared" si="27"/>
        <v>4.4094488188976377E-2</v>
      </c>
      <c r="Q23" s="19">
        <f t="shared" si="27"/>
        <v>0.10307692307692308</v>
      </c>
      <c r="R23" s="19">
        <f t="shared" si="27"/>
        <v>3.8461538461538464E-2</v>
      </c>
      <c r="S23" s="19">
        <f t="shared" si="27"/>
        <v>-1.6051220964860036</v>
      </c>
    </row>
    <row r="24" spans="1:19" x14ac:dyDescent="0.2">
      <c r="A24" s="3" t="s">
        <v>50</v>
      </c>
      <c r="B24" s="5">
        <v>-674339</v>
      </c>
      <c r="C24" s="5">
        <v>-4584716</v>
      </c>
      <c r="D24" s="5">
        <f>B24*$B$3</f>
        <v>-674339000</v>
      </c>
      <c r="E24" s="5">
        <f>C24*$B$3</f>
        <v>-4584716000</v>
      </c>
      <c r="F24" s="5">
        <v>-352000000</v>
      </c>
      <c r="G24" s="5">
        <v>1893000000</v>
      </c>
      <c r="H24" s="5">
        <v>4792000000</v>
      </c>
      <c r="J24" s="5">
        <f t="shared" ref="J24:M24" si="28">J21-J22</f>
        <v>379000000</v>
      </c>
      <c r="K24" s="5">
        <f t="shared" si="28"/>
        <v>1214000000</v>
      </c>
      <c r="L24" s="5">
        <f t="shared" si="28"/>
        <v>650000000</v>
      </c>
      <c r="M24" s="5">
        <f t="shared" si="28"/>
        <v>4374000000</v>
      </c>
      <c r="N24" s="5">
        <f t="shared" ref="N24:S24" si="29">N21-N22</f>
        <v>-18.7</v>
      </c>
      <c r="O24" s="5">
        <f t="shared" si="29"/>
        <v>379</v>
      </c>
      <c r="P24" s="5">
        <f t="shared" si="29"/>
        <v>1214</v>
      </c>
      <c r="Q24" s="5">
        <f t="shared" si="29"/>
        <v>116.6</v>
      </c>
      <c r="R24" s="5">
        <f t="shared" si="29"/>
        <v>650</v>
      </c>
      <c r="S24" s="5">
        <f t="shared" si="29"/>
        <v>4374</v>
      </c>
    </row>
    <row r="25" spans="1:19" ht="64" x14ac:dyDescent="0.2">
      <c r="A25" s="3" t="s">
        <v>51</v>
      </c>
      <c r="B25" s="6"/>
      <c r="C25" s="6"/>
      <c r="D25" s="6"/>
      <c r="E25" s="6"/>
      <c r="F25" s="4" t="s">
        <v>4</v>
      </c>
      <c r="G25" s="4" t="s">
        <v>4</v>
      </c>
      <c r="H25" s="4" t="s">
        <v>4</v>
      </c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">
      <c r="A26" s="4" t="s">
        <v>52</v>
      </c>
      <c r="B26" s="7">
        <v>-2.59</v>
      </c>
      <c r="C26" s="7">
        <v>-16.12</v>
      </c>
      <c r="D26" s="7">
        <f>B26</f>
        <v>-2.59</v>
      </c>
      <c r="E26" s="7">
        <f>C26</f>
        <v>-16.12</v>
      </c>
      <c r="F26" s="7">
        <v>-0.56999999999999995</v>
      </c>
      <c r="G26" s="7">
        <v>2.97</v>
      </c>
      <c r="H26" s="7">
        <v>7.52</v>
      </c>
      <c r="J26" s="7">
        <v>0.59</v>
      </c>
      <c r="K26" s="7">
        <v>1.9</v>
      </c>
      <c r="L26" s="7">
        <v>1.02</v>
      </c>
      <c r="M26" s="7">
        <v>6.83</v>
      </c>
      <c r="N26" s="7">
        <v>-0.03</v>
      </c>
      <c r="O26" s="7">
        <v>0.59</v>
      </c>
      <c r="P26" s="7">
        <v>1.9</v>
      </c>
      <c r="Q26" s="7">
        <v>0.18</v>
      </c>
      <c r="R26" s="7">
        <v>1.02</v>
      </c>
      <c r="S26" s="7">
        <v>6.83</v>
      </c>
    </row>
    <row r="27" spans="1:19" x14ac:dyDescent="0.2">
      <c r="A27" s="4" t="s">
        <v>53</v>
      </c>
      <c r="B27" s="7">
        <v>-2.59</v>
      </c>
      <c r="C27" s="7">
        <v>-16.12</v>
      </c>
      <c r="D27" s="7">
        <f t="shared" ref="D27" si="30">B27</f>
        <v>-2.59</v>
      </c>
      <c r="E27" s="7">
        <f t="shared" ref="E27" si="31">C27</f>
        <v>-16.12</v>
      </c>
      <c r="F27" s="7">
        <v>-0.56999999999999995</v>
      </c>
      <c r="G27" s="7">
        <v>2.79</v>
      </c>
      <c r="H27" s="7">
        <v>7.24</v>
      </c>
      <c r="J27" s="7">
        <v>0.56000000000000005</v>
      </c>
      <c r="K27" s="7">
        <v>1.79</v>
      </c>
      <c r="L27" s="7">
        <v>0.98</v>
      </c>
      <c r="M27" s="7">
        <v>6.63</v>
      </c>
      <c r="N27" s="7">
        <v>-0.03</v>
      </c>
      <c r="O27" s="7">
        <v>0.56000000000000005</v>
      </c>
      <c r="P27" s="7">
        <v>1.79</v>
      </c>
      <c r="Q27" s="7">
        <v>0.18</v>
      </c>
      <c r="R27" s="7">
        <v>0.98</v>
      </c>
      <c r="S27" s="7">
        <v>6.63</v>
      </c>
    </row>
    <row r="28" spans="1:19" ht="96" x14ac:dyDescent="0.2">
      <c r="A28" s="3" t="s">
        <v>54</v>
      </c>
      <c r="B28" s="6"/>
      <c r="C28" s="6"/>
      <c r="D28" s="7"/>
      <c r="E28" s="7"/>
      <c r="F28" s="4" t="s">
        <v>4</v>
      </c>
      <c r="G28" s="4" t="s">
        <v>4</v>
      </c>
      <c r="H28" s="4" t="s">
        <v>4</v>
      </c>
    </row>
    <row r="29" spans="1:19" x14ac:dyDescent="0.2">
      <c r="A29" s="4" t="s">
        <v>55</v>
      </c>
      <c r="B29" s="6">
        <v>260556</v>
      </c>
      <c r="C29" s="6">
        <v>284363</v>
      </c>
      <c r="D29" s="11">
        <f>B29/$B$3</f>
        <v>260.55599999999998</v>
      </c>
      <c r="E29" s="11">
        <f>C29/$B$3</f>
        <v>284.363</v>
      </c>
      <c r="F29" s="6">
        <v>616</v>
      </c>
      <c r="G29" s="6">
        <v>637</v>
      </c>
      <c r="H29" s="6">
        <v>637</v>
      </c>
    </row>
    <row r="30" spans="1:19" x14ac:dyDescent="0.2">
      <c r="A30" s="4" t="s">
        <v>56</v>
      </c>
      <c r="B30" s="6">
        <v>260556</v>
      </c>
      <c r="C30" s="6">
        <v>284363</v>
      </c>
      <c r="D30" s="11">
        <f>B30/$B$3</f>
        <v>260.55599999999998</v>
      </c>
      <c r="E30" s="11">
        <f>C30/$B$3</f>
        <v>284.363</v>
      </c>
      <c r="F30" s="6">
        <v>616</v>
      </c>
      <c r="G30" s="6">
        <v>680</v>
      </c>
      <c r="H30" s="6">
        <v>662</v>
      </c>
    </row>
    <row r="31" spans="1:19" x14ac:dyDescent="0.2">
      <c r="B31" s="6"/>
      <c r="C31" s="6"/>
      <c r="D31" s="6"/>
      <c r="E31" s="6"/>
    </row>
    <row r="32" spans="1:19" x14ac:dyDescent="0.2">
      <c r="B32" s="6"/>
      <c r="C32" s="6"/>
      <c r="D32" s="6"/>
      <c r="E32" s="6"/>
    </row>
    <row r="35" spans="2:5" x14ac:dyDescent="0.2">
      <c r="B35" s="7"/>
      <c r="C35" s="7"/>
      <c r="D35" s="7"/>
      <c r="E35" s="7"/>
    </row>
    <row r="36" spans="2:5" x14ac:dyDescent="0.2">
      <c r="B36" s="7"/>
      <c r="C36" s="7"/>
      <c r="D36" s="7"/>
      <c r="E36" s="7"/>
    </row>
    <row r="37" spans="2:5" x14ac:dyDescent="0.2">
      <c r="B37" s="6"/>
      <c r="C37" s="6"/>
      <c r="D37" s="6"/>
      <c r="E37" s="6"/>
    </row>
    <row r="38" spans="2:5" x14ac:dyDescent="0.2">
      <c r="B38" s="6"/>
      <c r="C38" s="6"/>
      <c r="D38" s="6"/>
      <c r="E38" s="6"/>
    </row>
  </sheetData>
  <mergeCells count="2">
    <mergeCell ref="A1:A2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A300-919A-B944-8A21-0DCB34A2E6A6}">
  <dimension ref="A1:H66"/>
  <sheetViews>
    <sheetView topLeftCell="A31" workbookViewId="0">
      <selection activeCell="D20" sqref="D20"/>
    </sheetView>
  </sheetViews>
  <sheetFormatPr baseColWidth="10" defaultRowHeight="16" x14ac:dyDescent="0.2"/>
  <cols>
    <col min="1" max="1" width="26.5" customWidth="1"/>
    <col min="2" max="2" width="11.83203125" hidden="1" customWidth="1"/>
    <col min="3" max="3" width="13" hidden="1" customWidth="1"/>
    <col min="4" max="5" width="13" customWidth="1"/>
  </cols>
  <sheetData>
    <row r="1" spans="1:8" ht="32" customHeight="1" x14ac:dyDescent="0.2">
      <c r="A1" s="42" t="s">
        <v>57</v>
      </c>
      <c r="B1" s="44" t="s">
        <v>33</v>
      </c>
      <c r="C1" s="44"/>
      <c r="D1" s="44"/>
      <c r="E1" s="44"/>
      <c r="F1" s="44"/>
      <c r="G1" s="44"/>
      <c r="H1" s="44"/>
    </row>
    <row r="2" spans="1:8" ht="32" x14ac:dyDescent="0.2">
      <c r="A2" s="43"/>
      <c r="B2" s="2" t="s">
        <v>96</v>
      </c>
      <c r="C2" s="2" t="s">
        <v>90</v>
      </c>
      <c r="D2" s="2" t="s">
        <v>96</v>
      </c>
      <c r="E2" s="2" t="s">
        <v>90</v>
      </c>
      <c r="F2" s="2" t="s">
        <v>34</v>
      </c>
      <c r="G2" s="2" t="s">
        <v>2</v>
      </c>
      <c r="H2" s="2" t="s">
        <v>1</v>
      </c>
    </row>
    <row r="3" spans="1:8" ht="32" x14ac:dyDescent="0.2">
      <c r="A3" s="3" t="s">
        <v>58</v>
      </c>
      <c r="B3" s="10">
        <v>1E-3</v>
      </c>
      <c r="F3" s="4" t="s">
        <v>4</v>
      </c>
      <c r="G3" s="4" t="s">
        <v>4</v>
      </c>
      <c r="H3" s="4" t="s">
        <v>4</v>
      </c>
    </row>
    <row r="4" spans="1:8" x14ac:dyDescent="0.2">
      <c r="A4" s="4" t="s">
        <v>50</v>
      </c>
      <c r="B4" s="5">
        <v>-674339</v>
      </c>
      <c r="C4" s="5">
        <v>-4584716</v>
      </c>
      <c r="D4" s="5">
        <f>B4*$B$3</f>
        <v>-674.33900000000006</v>
      </c>
      <c r="E4" s="5">
        <f>C4*$B$3</f>
        <v>-4584.7160000000003</v>
      </c>
      <c r="F4" s="5">
        <v>-352</v>
      </c>
      <c r="G4" s="5">
        <v>1893</v>
      </c>
      <c r="H4" s="5">
        <v>4792</v>
      </c>
    </row>
    <row r="5" spans="1:8" ht="48" x14ac:dyDescent="0.2">
      <c r="A5" s="3" t="s">
        <v>59</v>
      </c>
      <c r="D5" s="5"/>
      <c r="E5" s="5"/>
      <c r="F5" s="4" t="s">
        <v>4</v>
      </c>
      <c r="G5" s="4" t="s">
        <v>4</v>
      </c>
      <c r="H5" s="4" t="s">
        <v>4</v>
      </c>
    </row>
    <row r="6" spans="1:8" x14ac:dyDescent="0.2">
      <c r="A6" s="4" t="s">
        <v>60</v>
      </c>
      <c r="B6" s="6">
        <v>114162</v>
      </c>
      <c r="C6" s="6">
        <v>125876</v>
      </c>
      <c r="D6" s="5">
        <f t="shared" ref="D6:D45" si="0">B6*$B$3</f>
        <v>114.16200000000001</v>
      </c>
      <c r="E6" s="5">
        <f t="shared" ref="E6:E45" si="1">C6*$B$3</f>
        <v>125.876</v>
      </c>
      <c r="F6" s="6">
        <v>138</v>
      </c>
      <c r="G6" s="6">
        <v>81</v>
      </c>
      <c r="H6" s="6">
        <v>44</v>
      </c>
    </row>
    <row r="7" spans="1:8" ht="32" x14ac:dyDescent="0.2">
      <c r="A7" s="4" t="s">
        <v>61</v>
      </c>
      <c r="B7" s="6">
        <v>97547</v>
      </c>
      <c r="C7" s="6">
        <v>3001948</v>
      </c>
      <c r="D7" s="5">
        <f t="shared" si="0"/>
        <v>97.546999999999997</v>
      </c>
      <c r="E7" s="5">
        <f t="shared" si="1"/>
        <v>3001.9479999999999</v>
      </c>
      <c r="F7" s="6">
        <v>899</v>
      </c>
      <c r="G7" s="6">
        <v>930</v>
      </c>
      <c r="H7" s="6">
        <v>1120</v>
      </c>
    </row>
    <row r="8" spans="1:8" x14ac:dyDescent="0.2">
      <c r="A8" s="4" t="s">
        <v>62</v>
      </c>
      <c r="B8" s="6">
        <v>-5627</v>
      </c>
      <c r="C8" s="6">
        <v>-19601</v>
      </c>
      <c r="D8" s="5">
        <f t="shared" si="0"/>
        <v>-5.6269999999999998</v>
      </c>
      <c r="E8" s="5">
        <f t="shared" si="1"/>
        <v>-19.600999999999999</v>
      </c>
      <c r="F8" s="6">
        <v>11</v>
      </c>
      <c r="G8" s="6">
        <v>-1</v>
      </c>
      <c r="H8" s="6">
        <v>-2875</v>
      </c>
    </row>
    <row r="9" spans="1:8" x14ac:dyDescent="0.2">
      <c r="A9" s="4" t="s">
        <v>63</v>
      </c>
      <c r="B9" s="6">
        <v>-286</v>
      </c>
      <c r="C9" s="6">
        <v>868539</v>
      </c>
      <c r="D9" s="5">
        <f t="shared" si="0"/>
        <v>-0.28600000000000003</v>
      </c>
      <c r="E9" s="5">
        <f t="shared" si="1"/>
        <v>868.53899999999999</v>
      </c>
      <c r="F9" s="6">
        <v>292</v>
      </c>
      <c r="G9" s="6">
        <v>0</v>
      </c>
      <c r="H9" s="6">
        <v>0</v>
      </c>
    </row>
    <row r="10" spans="1:8" x14ac:dyDescent="0.2">
      <c r="A10" s="4" t="s">
        <v>64</v>
      </c>
      <c r="B10" s="6">
        <v>0</v>
      </c>
      <c r="C10" s="6">
        <v>35772</v>
      </c>
      <c r="D10" s="5">
        <f t="shared" si="0"/>
        <v>0</v>
      </c>
      <c r="E10" s="5">
        <f t="shared" si="1"/>
        <v>35.771999999999998</v>
      </c>
      <c r="F10" s="6">
        <v>113</v>
      </c>
      <c r="G10" s="6">
        <v>91</v>
      </c>
      <c r="H10" s="6">
        <v>0</v>
      </c>
    </row>
    <row r="11" spans="1:8" x14ac:dyDescent="0.2">
      <c r="A11" s="4" t="s">
        <v>65</v>
      </c>
      <c r="B11" s="6">
        <v>0</v>
      </c>
      <c r="C11" s="6">
        <v>0</v>
      </c>
      <c r="D11" s="5">
        <f t="shared" si="0"/>
        <v>0</v>
      </c>
      <c r="E11" s="5">
        <f t="shared" si="1"/>
        <v>0</v>
      </c>
      <c r="F11" s="6">
        <v>377</v>
      </c>
      <c r="G11" s="6">
        <v>0</v>
      </c>
      <c r="H11" s="6">
        <v>0</v>
      </c>
    </row>
    <row r="12" spans="1:8" x14ac:dyDescent="0.2">
      <c r="A12" s="4" t="s">
        <v>66</v>
      </c>
      <c r="B12" s="6">
        <f>-2524+2927+4153-38472+27751+77053</f>
        <v>70888</v>
      </c>
      <c r="C12" s="6">
        <f>34877-53176+5769+18323+31457+82125+107685</f>
        <v>227060</v>
      </c>
      <c r="D12" s="5">
        <f t="shared" si="0"/>
        <v>70.888000000000005</v>
      </c>
      <c r="E12" s="5">
        <f t="shared" si="1"/>
        <v>227.06</v>
      </c>
      <c r="F12" s="6">
        <v>74</v>
      </c>
      <c r="G12" s="6">
        <v>117</v>
      </c>
      <c r="H12" s="6">
        <v>83</v>
      </c>
    </row>
    <row r="13" spans="1:8" ht="32" x14ac:dyDescent="0.2">
      <c r="A13" s="3" t="s">
        <v>67</v>
      </c>
      <c r="B13" s="6"/>
      <c r="C13" s="6"/>
      <c r="D13" s="5">
        <f t="shared" si="0"/>
        <v>0</v>
      </c>
      <c r="E13" s="5">
        <f t="shared" si="1"/>
        <v>0</v>
      </c>
      <c r="F13" s="4" t="s">
        <v>4</v>
      </c>
      <c r="G13" s="4" t="s">
        <v>4</v>
      </c>
      <c r="H13" s="4" t="s">
        <v>4</v>
      </c>
    </row>
    <row r="14" spans="1:8" x14ac:dyDescent="0.2">
      <c r="A14" s="4" t="s">
        <v>68</v>
      </c>
      <c r="B14" s="6">
        <v>-186445</v>
      </c>
      <c r="C14" s="6">
        <v>-15863</v>
      </c>
      <c r="D14" s="5">
        <f t="shared" si="0"/>
        <v>-186.44499999999999</v>
      </c>
      <c r="E14" s="5">
        <f t="shared" si="1"/>
        <v>-15.863</v>
      </c>
      <c r="F14" s="6">
        <v>-29</v>
      </c>
      <c r="G14" s="6">
        <v>-185</v>
      </c>
      <c r="H14" s="6">
        <v>-102</v>
      </c>
    </row>
    <row r="15" spans="1:8" ht="32" x14ac:dyDescent="0.2">
      <c r="A15" s="4" t="s">
        <v>94</v>
      </c>
      <c r="B15" s="6">
        <v>49126</v>
      </c>
      <c r="C15" s="6">
        <v>-33280</v>
      </c>
      <c r="D15" s="5">
        <f t="shared" si="0"/>
        <v>49.125999999999998</v>
      </c>
      <c r="E15" s="5">
        <f t="shared" si="1"/>
        <v>-33.28</v>
      </c>
      <c r="F15" s="6">
        <v>0</v>
      </c>
      <c r="G15" s="6">
        <v>0</v>
      </c>
      <c r="H15" s="6">
        <v>0</v>
      </c>
    </row>
    <row r="16" spans="1:8" x14ac:dyDescent="0.2">
      <c r="A16" s="4" t="s">
        <v>118</v>
      </c>
      <c r="B16" s="6">
        <v>75716</v>
      </c>
      <c r="C16" s="6">
        <v>-73111</v>
      </c>
      <c r="D16" s="5">
        <f t="shared" si="0"/>
        <v>75.716000000000008</v>
      </c>
      <c r="E16" s="5">
        <f t="shared" si="1"/>
        <v>-73.111000000000004</v>
      </c>
      <c r="F16" s="6">
        <v>0</v>
      </c>
      <c r="G16" s="6">
        <v>0</v>
      </c>
      <c r="H16" s="6">
        <v>0</v>
      </c>
    </row>
    <row r="17" spans="1:8" ht="32" x14ac:dyDescent="0.2">
      <c r="A17" s="4" t="s">
        <v>69</v>
      </c>
      <c r="B17" s="6">
        <v>547654</v>
      </c>
      <c r="C17" s="6">
        <v>43756</v>
      </c>
      <c r="D17" s="5">
        <f t="shared" si="0"/>
        <v>547.654</v>
      </c>
      <c r="E17" s="5">
        <f t="shared" si="1"/>
        <v>43.756</v>
      </c>
      <c r="F17" s="6">
        <v>294</v>
      </c>
      <c r="G17" s="6">
        <v>224</v>
      </c>
      <c r="H17" s="6">
        <v>580</v>
      </c>
    </row>
    <row r="18" spans="1:8" x14ac:dyDescent="0.2">
      <c r="A18" s="4" t="s">
        <v>119</v>
      </c>
      <c r="B18" s="6">
        <v>-41923</v>
      </c>
      <c r="C18" s="6">
        <v>60897</v>
      </c>
      <c r="D18" s="5">
        <f t="shared" si="0"/>
        <v>-41.923000000000002</v>
      </c>
      <c r="E18" s="5">
        <f t="shared" si="1"/>
        <v>60.896999999999998</v>
      </c>
      <c r="F18" s="6">
        <v>0</v>
      </c>
      <c r="G18" s="6">
        <v>0</v>
      </c>
      <c r="H18" s="6">
        <v>0</v>
      </c>
    </row>
    <row r="19" spans="1:8" x14ac:dyDescent="0.2">
      <c r="A19" s="4" t="s">
        <v>17</v>
      </c>
      <c r="B19" s="6">
        <v>176254</v>
      </c>
      <c r="C19" s="6">
        <v>-267009</v>
      </c>
      <c r="D19" s="5">
        <f t="shared" si="0"/>
        <v>176.25399999999999</v>
      </c>
      <c r="E19" s="5">
        <f t="shared" si="1"/>
        <v>-267.00900000000001</v>
      </c>
      <c r="F19" s="6">
        <v>496</v>
      </c>
      <c r="G19" s="6">
        <v>280</v>
      </c>
      <c r="H19" s="6">
        <v>242</v>
      </c>
    </row>
    <row r="20" spans="1:8" x14ac:dyDescent="0.2">
      <c r="A20" s="4" t="s">
        <v>125</v>
      </c>
      <c r="B20" s="6"/>
      <c r="C20" s="6"/>
      <c r="D20" s="5">
        <f>SUM(D14:D19)</f>
        <v>620.38200000000006</v>
      </c>
      <c r="E20" s="5">
        <f t="shared" ref="E20:H20" si="2">SUM(E14:E19)</f>
        <v>-284.61</v>
      </c>
      <c r="F20" s="5">
        <f t="shared" si="2"/>
        <v>761</v>
      </c>
      <c r="G20" s="5">
        <f t="shared" si="2"/>
        <v>319</v>
      </c>
      <c r="H20" s="5">
        <f t="shared" si="2"/>
        <v>720</v>
      </c>
    </row>
    <row r="21" spans="1:8" ht="32" x14ac:dyDescent="0.2">
      <c r="A21" s="4" t="s">
        <v>70</v>
      </c>
      <c r="B21" s="6">
        <v>222727</v>
      </c>
      <c r="C21" s="6">
        <v>-629732</v>
      </c>
      <c r="D21" s="5">
        <f>D4+SUM(D6:D12)+D20</f>
        <v>222.72699999999998</v>
      </c>
      <c r="E21" s="5">
        <f t="shared" ref="E21:H21" si="3">E4+SUM(E6:E12)+E20</f>
        <v>-629.73200000000031</v>
      </c>
      <c r="F21" s="5">
        <f t="shared" si="3"/>
        <v>2313</v>
      </c>
      <c r="G21" s="5">
        <f t="shared" si="3"/>
        <v>3430</v>
      </c>
      <c r="H21" s="5">
        <f t="shared" si="3"/>
        <v>3884</v>
      </c>
    </row>
    <row r="22" spans="1:8" ht="32" x14ac:dyDescent="0.2">
      <c r="A22" s="3" t="s">
        <v>71</v>
      </c>
      <c r="D22" s="5"/>
      <c r="E22" s="5"/>
      <c r="F22" s="4" t="s">
        <v>4</v>
      </c>
      <c r="G22" s="4" t="s">
        <v>4</v>
      </c>
      <c r="H22" s="4" t="s">
        <v>4</v>
      </c>
    </row>
    <row r="23" spans="1:8" ht="32" x14ac:dyDescent="0.2">
      <c r="A23" s="4" t="s">
        <v>72</v>
      </c>
      <c r="B23" s="6">
        <v>-1016155</v>
      </c>
      <c r="C23" s="6">
        <v>-3032664</v>
      </c>
      <c r="D23" s="5">
        <f t="shared" si="0"/>
        <v>-1016.155</v>
      </c>
      <c r="E23" s="5">
        <f t="shared" si="1"/>
        <v>-3032.6640000000002</v>
      </c>
      <c r="F23" s="6">
        <v>-4938</v>
      </c>
      <c r="G23" s="6">
        <v>-4072</v>
      </c>
      <c r="H23" s="6">
        <v>-3308</v>
      </c>
    </row>
    <row r="24" spans="1:8" ht="32" x14ac:dyDescent="0.2">
      <c r="A24" s="4" t="s">
        <v>73</v>
      </c>
      <c r="B24" s="6">
        <f>609438+551647</f>
        <v>1161085</v>
      </c>
      <c r="C24" s="6">
        <f>1348173+1810052</f>
        <v>3158225</v>
      </c>
      <c r="D24" s="5">
        <f t="shared" si="0"/>
        <v>1161.085</v>
      </c>
      <c r="E24" s="5">
        <f t="shared" si="1"/>
        <v>3158.2249999999999</v>
      </c>
      <c r="F24" s="6">
        <v>3611</v>
      </c>
      <c r="G24" s="6">
        <v>4071</v>
      </c>
      <c r="H24" s="6">
        <v>2380</v>
      </c>
    </row>
    <row r="25" spans="1:8" ht="32" x14ac:dyDescent="0.2">
      <c r="A25" s="4" t="s">
        <v>120</v>
      </c>
      <c r="B25" s="6">
        <v>-208182</v>
      </c>
      <c r="C25" s="6">
        <v>0</v>
      </c>
      <c r="D25" s="5">
        <f t="shared" si="0"/>
        <v>-208.18200000000002</v>
      </c>
      <c r="E25" s="5">
        <f t="shared" si="1"/>
        <v>0</v>
      </c>
      <c r="F25" s="6">
        <v>0</v>
      </c>
      <c r="G25" s="6">
        <v>0</v>
      </c>
      <c r="H25" s="6">
        <v>0</v>
      </c>
    </row>
    <row r="26" spans="1:8" ht="32" x14ac:dyDescent="0.2">
      <c r="A26" s="4" t="s">
        <v>121</v>
      </c>
      <c r="B26" s="6">
        <v>-192116</v>
      </c>
      <c r="C26" s="6">
        <v>0</v>
      </c>
      <c r="D26" s="5">
        <f t="shared" si="0"/>
        <v>-192.11600000000001</v>
      </c>
      <c r="E26" s="5">
        <f t="shared" si="1"/>
        <v>0</v>
      </c>
      <c r="F26" s="6">
        <v>0</v>
      </c>
      <c r="G26" s="6">
        <v>0</v>
      </c>
      <c r="H26" s="6">
        <v>0</v>
      </c>
    </row>
    <row r="27" spans="1:8" x14ac:dyDescent="0.2">
      <c r="A27" s="4" t="s">
        <v>74</v>
      </c>
      <c r="B27" s="6">
        <f>33665-125452</f>
        <v>-91787</v>
      </c>
      <c r="C27" s="6">
        <f>-8600-37371</f>
        <v>-45971</v>
      </c>
      <c r="D27" s="5">
        <f t="shared" si="0"/>
        <v>-91.787000000000006</v>
      </c>
      <c r="E27" s="5">
        <f t="shared" si="1"/>
        <v>-45.971000000000004</v>
      </c>
      <c r="F27" s="6">
        <v>-25</v>
      </c>
      <c r="G27" s="6">
        <v>-27</v>
      </c>
      <c r="H27" s="6">
        <v>-114</v>
      </c>
    </row>
    <row r="28" spans="1:8" ht="32" x14ac:dyDescent="0.2">
      <c r="A28" s="4" t="s">
        <v>75</v>
      </c>
      <c r="B28" s="6">
        <v>-347155</v>
      </c>
      <c r="C28" s="6">
        <v>79590</v>
      </c>
      <c r="D28" s="5">
        <f t="shared" si="0"/>
        <v>-347.15500000000003</v>
      </c>
      <c r="E28" s="5">
        <f t="shared" si="1"/>
        <v>79.59</v>
      </c>
      <c r="F28" s="6">
        <v>-1352</v>
      </c>
      <c r="G28" s="6">
        <v>-28</v>
      </c>
      <c r="H28" s="6">
        <v>-1042</v>
      </c>
    </row>
    <row r="29" spans="1:8" ht="32" x14ac:dyDescent="0.2">
      <c r="A29" s="3" t="s">
        <v>76</v>
      </c>
      <c r="B29" s="6"/>
      <c r="C29" s="6"/>
      <c r="D29" s="5"/>
      <c r="E29" s="5"/>
      <c r="F29" s="4" t="s">
        <v>4</v>
      </c>
      <c r="G29" s="4" t="s">
        <v>4</v>
      </c>
      <c r="H29" s="4" t="s">
        <v>4</v>
      </c>
    </row>
    <row r="30" spans="1:8" ht="80" x14ac:dyDescent="0.2">
      <c r="A30" s="4" t="s">
        <v>122</v>
      </c>
      <c r="B30" s="6">
        <v>0</v>
      </c>
      <c r="C30" s="6">
        <v>3650870</v>
      </c>
      <c r="D30" s="5">
        <f t="shared" si="0"/>
        <v>0</v>
      </c>
      <c r="E30" s="5">
        <f t="shared" si="1"/>
        <v>3650.87</v>
      </c>
      <c r="F30" s="4">
        <v>0</v>
      </c>
      <c r="G30" s="4">
        <v>0</v>
      </c>
      <c r="H30" s="4">
        <v>0</v>
      </c>
    </row>
    <row r="31" spans="1:8" ht="32" x14ac:dyDescent="0.2">
      <c r="A31" s="4" t="s">
        <v>77</v>
      </c>
      <c r="B31" s="6">
        <v>0</v>
      </c>
      <c r="C31" s="6">
        <v>-1650454</v>
      </c>
      <c r="D31" s="5">
        <f t="shared" si="0"/>
        <v>0</v>
      </c>
      <c r="E31" s="5">
        <f t="shared" si="1"/>
        <v>-1650.454</v>
      </c>
      <c r="F31" s="6">
        <v>-177</v>
      </c>
      <c r="G31" s="6">
        <v>-607</v>
      </c>
      <c r="H31" s="6">
        <v>-1224</v>
      </c>
    </row>
    <row r="32" spans="1:8" ht="48" x14ac:dyDescent="0.2">
      <c r="A32" s="4" t="s">
        <v>123</v>
      </c>
      <c r="B32" s="6">
        <v>0</v>
      </c>
      <c r="C32" s="6">
        <v>1928880</v>
      </c>
      <c r="D32" s="5">
        <f t="shared" si="0"/>
        <v>0</v>
      </c>
      <c r="E32" s="5">
        <f t="shared" si="1"/>
        <v>1928.88</v>
      </c>
      <c r="F32" s="6">
        <v>0</v>
      </c>
      <c r="G32" s="6">
        <v>0</v>
      </c>
      <c r="H32" s="6">
        <v>0</v>
      </c>
    </row>
    <row r="33" spans="1:8" ht="32" x14ac:dyDescent="0.2">
      <c r="A33" s="4" t="s">
        <v>78</v>
      </c>
      <c r="B33" s="6">
        <v>0</v>
      </c>
      <c r="C33" s="6">
        <v>-5000</v>
      </c>
      <c r="D33" s="5">
        <f t="shared" si="0"/>
        <v>0</v>
      </c>
      <c r="E33" s="5">
        <f t="shared" si="1"/>
        <v>-5</v>
      </c>
      <c r="F33" s="6">
        <v>-1995</v>
      </c>
      <c r="G33" s="6">
        <v>0</v>
      </c>
      <c r="H33" s="6">
        <v>0</v>
      </c>
    </row>
    <row r="34" spans="1:8" ht="32" x14ac:dyDescent="0.2">
      <c r="A34" s="4" t="s">
        <v>79</v>
      </c>
      <c r="B34" s="6">
        <v>0</v>
      </c>
      <c r="C34" s="6">
        <v>0</v>
      </c>
      <c r="D34" s="5">
        <f t="shared" si="0"/>
        <v>0</v>
      </c>
      <c r="E34" s="5">
        <f t="shared" si="1"/>
        <v>0</v>
      </c>
      <c r="F34" s="6">
        <v>-213</v>
      </c>
      <c r="G34" s="6">
        <v>0</v>
      </c>
      <c r="H34" s="6">
        <v>0</v>
      </c>
    </row>
    <row r="35" spans="1:8" ht="48" x14ac:dyDescent="0.2">
      <c r="A35" s="4" t="s">
        <v>80</v>
      </c>
      <c r="B35" s="6">
        <v>0</v>
      </c>
      <c r="C35" s="6">
        <v>0</v>
      </c>
      <c r="D35" s="5">
        <f t="shared" si="0"/>
        <v>0</v>
      </c>
      <c r="E35" s="5">
        <f t="shared" si="1"/>
        <v>0</v>
      </c>
      <c r="F35" s="6">
        <v>1979</v>
      </c>
      <c r="G35" s="6">
        <v>0</v>
      </c>
      <c r="H35" s="6">
        <v>0</v>
      </c>
    </row>
    <row r="36" spans="1:8" ht="32" x14ac:dyDescent="0.2">
      <c r="A36" s="4" t="s">
        <v>81</v>
      </c>
      <c r="B36" s="6">
        <v>0</v>
      </c>
      <c r="C36" s="6">
        <v>0</v>
      </c>
      <c r="D36" s="5">
        <f t="shared" si="0"/>
        <v>0</v>
      </c>
      <c r="E36" s="5">
        <f t="shared" si="1"/>
        <v>0</v>
      </c>
      <c r="F36" s="6">
        <v>-100</v>
      </c>
      <c r="G36" s="6">
        <v>0</v>
      </c>
      <c r="H36" s="6">
        <v>0</v>
      </c>
    </row>
    <row r="37" spans="1:8" ht="48" x14ac:dyDescent="0.2">
      <c r="A37" s="4" t="s">
        <v>82</v>
      </c>
      <c r="B37" s="6">
        <v>5873</v>
      </c>
      <c r="C37" s="6">
        <v>15074</v>
      </c>
      <c r="D37" s="5">
        <f t="shared" si="0"/>
        <v>5.8730000000000002</v>
      </c>
      <c r="E37" s="5">
        <f t="shared" si="1"/>
        <v>15.074</v>
      </c>
      <c r="F37" s="6">
        <v>189</v>
      </c>
      <c r="G37" s="6">
        <v>88</v>
      </c>
      <c r="H37" s="6">
        <v>110</v>
      </c>
    </row>
    <row r="38" spans="1:8" x14ac:dyDescent="0.2">
      <c r="A38" s="4" t="s">
        <v>83</v>
      </c>
      <c r="B38" s="6">
        <v>0</v>
      </c>
      <c r="C38" s="6">
        <v>0</v>
      </c>
      <c r="D38" s="5">
        <f t="shared" si="0"/>
        <v>0</v>
      </c>
      <c r="E38" s="5">
        <f t="shared" si="1"/>
        <v>0</v>
      </c>
      <c r="F38" s="6">
        <v>0</v>
      </c>
      <c r="G38" s="6">
        <v>-1500</v>
      </c>
      <c r="H38" s="6">
        <v>-2252</v>
      </c>
    </row>
    <row r="39" spans="1:8" ht="32" x14ac:dyDescent="0.2">
      <c r="A39" s="4" t="s">
        <v>84</v>
      </c>
      <c r="B39" s="6">
        <v>848706</v>
      </c>
      <c r="C39" s="6">
        <v>-1012081</v>
      </c>
      <c r="D39" s="5">
        <f t="shared" si="0"/>
        <v>848.70600000000002</v>
      </c>
      <c r="E39" s="5">
        <f t="shared" si="1"/>
        <v>-1012.081</v>
      </c>
      <c r="F39" s="6">
        <v>1625</v>
      </c>
      <c r="G39" s="6">
        <v>1330</v>
      </c>
      <c r="H39" s="6">
        <v>936</v>
      </c>
    </row>
    <row r="40" spans="1:8" x14ac:dyDescent="0.2">
      <c r="A40" s="4" t="s">
        <v>124</v>
      </c>
      <c r="B40" s="6">
        <v>0</v>
      </c>
      <c r="C40" s="6">
        <v>13525</v>
      </c>
      <c r="D40" s="5">
        <f t="shared" si="0"/>
        <v>0</v>
      </c>
      <c r="E40" s="5">
        <f t="shared" si="1"/>
        <v>13.525</v>
      </c>
      <c r="F40" s="6">
        <v>0</v>
      </c>
      <c r="G40" s="6">
        <v>0</v>
      </c>
      <c r="H40" s="6">
        <v>0</v>
      </c>
    </row>
    <row r="41" spans="1:8" ht="32" x14ac:dyDescent="0.2">
      <c r="A41" s="4" t="s">
        <v>85</v>
      </c>
      <c r="B41" s="6">
        <v>854579</v>
      </c>
      <c r="C41" s="6">
        <v>2940814</v>
      </c>
      <c r="D41" s="5">
        <f t="shared" si="0"/>
        <v>854.57900000000006</v>
      </c>
      <c r="E41" s="5">
        <f t="shared" si="1"/>
        <v>2940.8139999999999</v>
      </c>
      <c r="F41" s="6">
        <v>1308</v>
      </c>
      <c r="G41" s="6">
        <v>-689</v>
      </c>
      <c r="H41" s="6">
        <v>-2430</v>
      </c>
    </row>
    <row r="42" spans="1:8" ht="48" x14ac:dyDescent="0.2">
      <c r="A42" s="4" t="s">
        <v>86</v>
      </c>
      <c r="B42" s="6">
        <v>-25284</v>
      </c>
      <c r="C42" s="6">
        <v>134137</v>
      </c>
      <c r="D42" s="5">
        <f t="shared" si="0"/>
        <v>-25.283999999999999</v>
      </c>
      <c r="E42" s="5">
        <f t="shared" si="1"/>
        <v>134.137</v>
      </c>
      <c r="F42" s="6">
        <v>-210</v>
      </c>
      <c r="G42" s="6">
        <v>-337</v>
      </c>
      <c r="H42" s="6">
        <v>152</v>
      </c>
    </row>
    <row r="43" spans="1:8" ht="32" x14ac:dyDescent="0.2">
      <c r="A43" s="4" t="s">
        <v>87</v>
      </c>
      <c r="B43" s="6">
        <v>704867</v>
      </c>
      <c r="C43" s="6">
        <v>2524809</v>
      </c>
      <c r="D43" s="5">
        <f t="shared" si="0"/>
        <v>704.86699999999996</v>
      </c>
      <c r="E43" s="5">
        <f t="shared" si="1"/>
        <v>2524.8090000000002</v>
      </c>
      <c r="F43" s="6">
        <v>2059</v>
      </c>
      <c r="G43" s="6">
        <v>2376</v>
      </c>
      <c r="H43" s="6">
        <v>564</v>
      </c>
    </row>
    <row r="44" spans="1:8" ht="32" x14ac:dyDescent="0.2">
      <c r="A44" s="4" t="s">
        <v>88</v>
      </c>
      <c r="B44" s="6">
        <v>4438576</v>
      </c>
      <c r="C44" s="6">
        <v>5143443</v>
      </c>
      <c r="D44" s="5">
        <f t="shared" si="0"/>
        <v>4438.576</v>
      </c>
      <c r="E44" s="5">
        <f t="shared" si="1"/>
        <v>5143.4430000000002</v>
      </c>
      <c r="F44" s="6">
        <v>7668</v>
      </c>
      <c r="G44" s="6">
        <v>9727</v>
      </c>
      <c r="H44" s="6">
        <v>12103</v>
      </c>
    </row>
    <row r="45" spans="1:8" ht="32" x14ac:dyDescent="0.2">
      <c r="A45" s="4" t="s">
        <v>89</v>
      </c>
      <c r="B45" s="6">
        <v>5143443</v>
      </c>
      <c r="C45" s="6">
        <v>7668252</v>
      </c>
      <c r="D45" s="5">
        <f t="shared" si="0"/>
        <v>5143.4430000000002</v>
      </c>
      <c r="E45" s="5">
        <f t="shared" si="1"/>
        <v>7668.2520000000004</v>
      </c>
      <c r="F45" s="5">
        <v>9727</v>
      </c>
      <c r="G45" s="5">
        <v>12103</v>
      </c>
      <c r="H45" s="5">
        <v>12667</v>
      </c>
    </row>
    <row r="48" spans="1:8" x14ac:dyDescent="0.2">
      <c r="B48" s="6"/>
      <c r="C48" s="6"/>
      <c r="D48" s="6"/>
      <c r="E48" s="6"/>
    </row>
    <row r="49" spans="2:5" x14ac:dyDescent="0.2">
      <c r="B49" s="6"/>
      <c r="C49" s="6"/>
      <c r="D49" s="6"/>
      <c r="E49" s="6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6"/>
      <c r="C53" s="6"/>
      <c r="D53" s="6"/>
      <c r="E53" s="6"/>
    </row>
    <row r="55" spans="2:5" x14ac:dyDescent="0.2">
      <c r="B55" s="5"/>
      <c r="C55" s="5"/>
      <c r="D55" s="5"/>
      <c r="E55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60" spans="2:5" x14ac:dyDescent="0.2">
      <c r="B60" s="5"/>
      <c r="C60" s="5"/>
      <c r="D60" s="5"/>
      <c r="E60" s="5"/>
    </row>
    <row r="61" spans="2:5" x14ac:dyDescent="0.2">
      <c r="B61" s="6"/>
      <c r="C61" s="6"/>
      <c r="D61" s="6"/>
      <c r="E61" s="6"/>
    </row>
    <row r="63" spans="2:5" x14ac:dyDescent="0.2">
      <c r="B63" s="6"/>
      <c r="C63" s="6"/>
      <c r="D63" s="6"/>
      <c r="E63" s="6"/>
    </row>
    <row r="64" spans="2:5" x14ac:dyDescent="0.2">
      <c r="B64" s="6"/>
      <c r="C64" s="6"/>
      <c r="D64" s="6"/>
      <c r="E64" s="6"/>
    </row>
    <row r="66" spans="2:5" x14ac:dyDescent="0.2">
      <c r="B66" s="5"/>
      <c r="C66" s="5"/>
      <c r="D66" s="5"/>
      <c r="E66" s="5"/>
    </row>
  </sheetData>
  <mergeCells count="2">
    <mergeCell ref="A1:A2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</vt:lpstr>
      <vt:lpstr>Balance Sheet</vt:lpstr>
      <vt:lpstr>Statement of Operations</vt:lpstr>
      <vt:lpstr>Statement of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2024-04-06T16:11:47Z</dcterms:created>
  <dcterms:modified xsi:type="dcterms:W3CDTF">2024-04-28T21:30:16Z</dcterms:modified>
</cp:coreProperties>
</file>