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lethanh\Dropbox\now\2014-IMP\IMP-9-Reliability\IMP-9-HS2014-R\"/>
    </mc:Choice>
  </mc:AlternateContent>
  <bookViews>
    <workbookView xWindow="240" yWindow="130" windowWidth="21070" windowHeight="9780" activeTab="5"/>
  </bookViews>
  <sheets>
    <sheet name="1.1" sheetId="4" r:id="rId1"/>
    <sheet name="1.2" sheetId="1" r:id="rId2"/>
    <sheet name="1.3" sheetId="5" r:id="rId3"/>
    <sheet name="1.4" sheetId="6" r:id="rId4"/>
    <sheet name="1.5" sheetId="7" r:id="rId5"/>
    <sheet name="1.6" sheetId="8" r:id="rId6"/>
  </sheets>
  <calcPr calcId="152511"/>
</workbook>
</file>

<file path=xl/calcChain.xml><?xml version="1.0" encoding="utf-8"?>
<calcChain xmlns="http://schemas.openxmlformats.org/spreadsheetml/2006/main">
  <c r="J4" i="8" l="1"/>
  <c r="H4" i="8"/>
  <c r="F4" i="8"/>
  <c r="G4" i="8" s="1"/>
  <c r="E4" i="8"/>
  <c r="F3" i="8"/>
  <c r="G3" i="8" s="1"/>
  <c r="I3" i="8" s="1"/>
  <c r="K59" i="7"/>
  <c r="N59" i="7" s="1"/>
  <c r="K49" i="7"/>
  <c r="N49" i="7" s="1"/>
  <c r="C41" i="7"/>
  <c r="I41" i="7" s="1"/>
  <c r="F40" i="7"/>
  <c r="G40" i="7" s="1"/>
  <c r="C40" i="7"/>
  <c r="C39" i="7"/>
  <c r="D39" i="7" s="1"/>
  <c r="C38" i="7"/>
  <c r="D38" i="7" s="1"/>
  <c r="E38" i="7" s="1"/>
  <c r="F38" i="7" s="1"/>
  <c r="G38" i="7" s="1"/>
  <c r="K37" i="7"/>
  <c r="N37" i="7" s="1"/>
  <c r="C37" i="7"/>
  <c r="F37" i="7" s="1"/>
  <c r="G37" i="7" s="1"/>
  <c r="C36" i="7"/>
  <c r="I36" i="7" s="1"/>
  <c r="C31" i="7"/>
  <c r="I31" i="7" s="1"/>
  <c r="F30" i="7"/>
  <c r="G30" i="7" s="1"/>
  <c r="C30" i="7"/>
  <c r="C29" i="7"/>
  <c r="D29" i="7" s="1"/>
  <c r="C28" i="7"/>
  <c r="D28" i="7" s="1"/>
  <c r="E28" i="7" s="1"/>
  <c r="F28" i="7" s="1"/>
  <c r="G28" i="7" s="1"/>
  <c r="K27" i="7"/>
  <c r="N27" i="7" s="1"/>
  <c r="C27" i="7"/>
  <c r="F27" i="7" s="1"/>
  <c r="G27" i="7" s="1"/>
  <c r="C26" i="7"/>
  <c r="I26" i="7" s="1"/>
  <c r="C6" i="7"/>
  <c r="C7" i="7" s="1"/>
  <c r="D5" i="7"/>
  <c r="C4" i="7"/>
  <c r="C5" i="7" s="1"/>
  <c r="I3" i="7"/>
  <c r="C3" i="7"/>
  <c r="C10" i="7" s="1"/>
  <c r="I4" i="8" l="1"/>
  <c r="K4" i="8"/>
  <c r="L4" i="8" s="1"/>
  <c r="H27" i="7"/>
  <c r="I27" i="7" s="1"/>
  <c r="H37" i="7"/>
  <c r="I37" i="7" s="1"/>
  <c r="C62" i="7"/>
  <c r="F62" i="7" s="1"/>
  <c r="G62" i="7" s="1"/>
  <c r="C52" i="7"/>
  <c r="F52" i="7" s="1"/>
  <c r="G52" i="7" s="1"/>
  <c r="C18" i="7"/>
  <c r="F18" i="7" s="1"/>
  <c r="G18" i="7" s="1"/>
  <c r="C15" i="7"/>
  <c r="F15" i="7" s="1"/>
  <c r="G15" i="7" s="1"/>
  <c r="C63" i="7"/>
  <c r="I63" i="7" s="1"/>
  <c r="C53" i="7"/>
  <c r="I53" i="7" s="1"/>
  <c r="C19" i="7"/>
  <c r="I19" i="7" s="1"/>
  <c r="C61" i="7"/>
  <c r="D61" i="7" s="1"/>
  <c r="C59" i="7"/>
  <c r="F59" i="7" s="1"/>
  <c r="G59" i="7" s="1"/>
  <c r="C51" i="7"/>
  <c r="D51" i="7" s="1"/>
  <c r="C49" i="7"/>
  <c r="F49" i="7" s="1"/>
  <c r="G49" i="7" s="1"/>
  <c r="C17" i="7"/>
  <c r="D17" i="7" s="1"/>
  <c r="F7" i="7"/>
  <c r="G7" i="7" s="1"/>
  <c r="C8" i="7"/>
  <c r="I8" i="7" s="1"/>
  <c r="J26" i="7"/>
  <c r="K26" i="7" s="1"/>
  <c r="N26" i="7" s="1"/>
  <c r="D6" i="7"/>
  <c r="E5" i="7" s="1"/>
  <c r="F5" i="7" s="1"/>
  <c r="G5" i="7" s="1"/>
  <c r="C16" i="7"/>
  <c r="D16" i="7" s="1"/>
  <c r="C58" i="7"/>
  <c r="I58" i="7" s="1"/>
  <c r="C60" i="7"/>
  <c r="D60" i="7" s="1"/>
  <c r="C48" i="7"/>
  <c r="I48" i="7" s="1"/>
  <c r="C50" i="7"/>
  <c r="D50" i="7" s="1"/>
  <c r="C14" i="7"/>
  <c r="I14" i="7" s="1"/>
  <c r="J36" i="7"/>
  <c r="K36" i="7" s="1"/>
  <c r="N36" i="7" s="1"/>
  <c r="F4" i="7"/>
  <c r="G4" i="7" s="1"/>
  <c r="G3" i="6"/>
  <c r="I6" i="5"/>
  <c r="F3" i="6"/>
  <c r="E8" i="6"/>
  <c r="E3" i="6"/>
  <c r="E4" i="6"/>
  <c r="D7" i="6"/>
  <c r="D4" i="6"/>
  <c r="D5" i="6"/>
  <c r="D8" i="6"/>
  <c r="D3" i="6"/>
  <c r="C4" i="6"/>
  <c r="C5" i="6"/>
  <c r="C6" i="6"/>
  <c r="C7" i="6"/>
  <c r="C8" i="6"/>
  <c r="C3" i="6"/>
  <c r="B4" i="6"/>
  <c r="B5" i="6"/>
  <c r="B6" i="6"/>
  <c r="B7" i="6"/>
  <c r="B8" i="6"/>
  <c r="B3" i="6"/>
  <c r="H4" i="7" l="1"/>
  <c r="I4" i="7" s="1"/>
  <c r="J3" i="7" s="1"/>
  <c r="H15" i="7"/>
  <c r="I15" i="7" s="1"/>
  <c r="J14" i="7" s="1"/>
  <c r="E60" i="7"/>
  <c r="F60" i="7" s="1"/>
  <c r="G60" i="7" s="1"/>
  <c r="H59" i="7" s="1"/>
  <c r="I59" i="7" s="1"/>
  <c r="J58" i="7" s="1"/>
  <c r="K58" i="7" s="1"/>
  <c r="N58" i="7" s="1"/>
  <c r="E50" i="7"/>
  <c r="F50" i="7" s="1"/>
  <c r="G50" i="7" s="1"/>
  <c r="H49" i="7" s="1"/>
  <c r="I49" i="7" s="1"/>
  <c r="J48" i="7" s="1"/>
  <c r="K48" i="7" s="1"/>
  <c r="N48" i="7" s="1"/>
  <c r="E16" i="7"/>
  <c r="F16" i="7" s="1"/>
  <c r="G16" i="7" s="1"/>
  <c r="G23" i="5"/>
  <c r="G22" i="5"/>
  <c r="I19" i="5"/>
  <c r="I17" i="5"/>
  <c r="H6" i="5"/>
  <c r="J12" i="5"/>
  <c r="I12" i="5"/>
  <c r="B18" i="5" s="1"/>
  <c r="D18" i="5" s="1"/>
  <c r="E18" i="5" s="1"/>
  <c r="H12" i="5"/>
  <c r="G12" i="5"/>
  <c r="G11" i="5"/>
  <c r="K12" i="5" s="1"/>
  <c r="C18" i="5" s="1"/>
  <c r="J6" i="5"/>
  <c r="B17" i="5"/>
  <c r="D17" i="5" s="1"/>
  <c r="G6" i="5"/>
  <c r="K6" i="5" s="1"/>
  <c r="C17" i="5" s="1"/>
  <c r="G5" i="5"/>
  <c r="E17" i="5" l="1"/>
  <c r="E19" i="5" s="1"/>
  <c r="R11" i="1" l="1"/>
  <c r="S5" i="1"/>
  <c r="R5" i="1"/>
  <c r="K11" i="1"/>
  <c r="C5" i="1" l="1"/>
  <c r="C10" i="4" l="1"/>
  <c r="D10" i="4" s="1"/>
  <c r="C8" i="4"/>
  <c r="C6" i="4"/>
  <c r="C5" i="4"/>
  <c r="C4" i="4"/>
  <c r="D8" i="4" l="1"/>
  <c r="E10" i="4" s="1"/>
  <c r="R15" i="1"/>
  <c r="S15" i="1" s="1"/>
  <c r="R10" i="1"/>
  <c r="R4" i="1"/>
  <c r="S4" i="1" s="1"/>
  <c r="R16" i="1"/>
  <c r="S16" i="1" s="1"/>
  <c r="J17" i="1"/>
  <c r="K17" i="1" s="1"/>
  <c r="L17" i="1" s="1"/>
  <c r="J14" i="1"/>
  <c r="K14" i="1" s="1"/>
  <c r="L14" i="1" s="1"/>
  <c r="J11" i="1"/>
  <c r="J10" i="1"/>
  <c r="J9" i="1"/>
  <c r="J8" i="1"/>
  <c r="J6" i="1"/>
  <c r="J5" i="1"/>
  <c r="J4" i="1"/>
  <c r="K4" i="1" s="1"/>
  <c r="L4" i="1" s="1"/>
  <c r="M4" i="1" s="1"/>
  <c r="C18" i="1"/>
  <c r="C17" i="1"/>
  <c r="C16" i="1"/>
  <c r="C14" i="1"/>
  <c r="C13" i="1"/>
  <c r="C12" i="1"/>
  <c r="C10" i="1"/>
  <c r="C9" i="1"/>
  <c r="C4" i="1"/>
  <c r="D4" i="1" s="1"/>
  <c r="E4" i="1" s="1"/>
  <c r="D18" i="1" l="1"/>
  <c r="K6" i="1"/>
  <c r="T16" i="1"/>
  <c r="D12" i="1"/>
  <c r="E12" i="1" s="1"/>
  <c r="F12" i="1" s="1"/>
  <c r="C23" i="1" s="1"/>
  <c r="B28" i="1" l="1"/>
  <c r="R23" i="1"/>
  <c r="L6" i="1"/>
  <c r="M6" i="1" s="1"/>
  <c r="N6" i="1" s="1"/>
  <c r="B26" i="1"/>
  <c r="D26" i="1" s="1"/>
  <c r="D28" i="1"/>
  <c r="B27" i="1" l="1"/>
  <c r="D27" i="1" s="1"/>
  <c r="J23" i="1"/>
</calcChain>
</file>

<file path=xl/sharedStrings.xml><?xml version="1.0" encoding="utf-8"?>
<sst xmlns="http://schemas.openxmlformats.org/spreadsheetml/2006/main" count="164" uniqueCount="75">
  <si>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</si>
  <si>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</si>
  <si>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</si>
  <si>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</si>
  <si>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</si>
  <si>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</si>
  <si>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</si>
  <si>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</si>
  <si>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</si>
  <si>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</si>
  <si>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</si>
  <si>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</si>
  <si>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</si>
  <si>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</si>
  <si>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</si>
  <si>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</si>
  <si>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</si>
  <si>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Network</t>
  </si>
  <si>
    <t>Reliability</t>
  </si>
  <si>
    <t>Over all cost</t>
  </si>
  <si>
    <t>Failure cost</t>
  </si>
  <si>
    <t>Assigment 1.1</t>
  </si>
  <si>
    <t>Assigment 1.2</t>
  </si>
  <si>
    <t>Object</t>
  </si>
  <si>
    <t>Cost</t>
  </si>
  <si>
    <t>Cost/reliability</t>
  </si>
  <si>
    <t>Configuration A</t>
  </si>
  <si>
    <t>Configuration C</t>
  </si>
  <si>
    <t>Configuration B</t>
  </si>
  <si>
    <t>Reliability and maintenanability of a road link composed of road sections and bridges</t>
  </si>
  <si>
    <t>Failure probability</t>
  </si>
  <si>
    <t>Number of objects (N)</t>
  </si>
  <si>
    <t>Time for repair per object (M)</t>
  </si>
  <si>
    <t>Intervention cost</t>
  </si>
  <si>
    <t>User cost</t>
  </si>
  <si>
    <t>Total cost @intervention</t>
  </si>
  <si>
    <t>Reliability per year</t>
  </si>
  <si>
    <t>Reliability for 5 year period</t>
  </si>
  <si>
    <t>Maintainability</t>
  </si>
  <si>
    <t>Bridges</t>
  </si>
  <si>
    <t>Days</t>
  </si>
  <si>
    <t>Roads</t>
  </si>
  <si>
    <t>Number of objects</t>
  </si>
  <si>
    <t>Time for repair per object</t>
  </si>
  <si>
    <t xml:space="preserve">Option </t>
  </si>
  <si>
    <t>Cost (CHF)</t>
  </si>
  <si>
    <t>Possible cost (CHF)</t>
  </si>
  <si>
    <t>Willingness to pay (in CHF)</t>
  </si>
  <si>
    <t>Option 1</t>
  </si>
  <si>
    <t>Failure</t>
  </si>
  <si>
    <t>1 month</t>
  </si>
  <si>
    <t>System</t>
  </si>
  <si>
    <t>R</t>
  </si>
  <si>
    <t>Rate</t>
  </si>
  <si>
    <t>Question 1</t>
  </si>
  <si>
    <t>1 month reliability</t>
  </si>
  <si>
    <t>hazard rate</t>
  </si>
  <si>
    <t>5 month reliability</t>
  </si>
  <si>
    <t>Question 2</t>
  </si>
  <si>
    <t>failure probability</t>
  </si>
  <si>
    <t>cost</t>
  </si>
  <si>
    <t>Impact</t>
  </si>
  <si>
    <t>mu</t>
  </si>
  <si>
    <t>Option 2</t>
  </si>
  <si>
    <t>for 5 year</t>
  </si>
  <si>
    <t>Offers</t>
  </si>
  <si>
    <t>Object reliability</t>
  </si>
  <si>
    <t>Link Reliability w/o the object</t>
  </si>
  <si>
    <t>Link reliability w object</t>
  </si>
  <si>
    <t>Link failure probability</t>
  </si>
  <si>
    <t>Costs due not being able to use the link if failure occurs</t>
  </si>
  <si>
    <t>Expected costs due to not being able to use the link</t>
  </si>
  <si>
    <t>Differential Cost</t>
  </si>
  <si>
    <t>Differential benefit</t>
  </si>
  <si>
    <t>Net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</si>
</sst>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.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4" fontId="0" fillId="0" borderId="1" xfId="0" applyNumberFormat="1" applyBorder="1"/>
    <xf numFmtId="4" fontId="0" fillId="2" borderId="1" xfId="0" applyNumberForma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0" fillId="14" borderId="0" xfId="0" applyFill="1"/>
    <xf numFmtId="0" fontId="0" fillId="0" borderId="2" xfId="0" applyBorder="1"/>
    <xf numFmtId="165" fontId="0" fillId="0" borderId="3" xfId="0" applyNumberFormat="1" applyBorder="1"/>
    <xf numFmtId="165" fontId="0" fillId="14" borderId="3" xfId="0" applyNumberFormat="1" applyFill="1" applyBorder="1"/>
    <xf numFmtId="165" fontId="0" fillId="0" borderId="4" xfId="0" applyNumberFormat="1" applyBorder="1"/>
    <xf numFmtId="0" fontId="0" fillId="0" borderId="5" xfId="0" applyBorder="1"/>
    <xf numFmtId="165" fontId="0" fillId="0" borderId="0" xfId="0" applyNumberFormat="1" applyBorder="1"/>
    <xf numFmtId="165" fontId="0" fillId="0" borderId="6" xfId="0" applyNumberFormat="1" applyBorder="1"/>
    <xf numFmtId="165" fontId="0" fillId="8" borderId="0" xfId="0" applyNumberFormat="1" applyFill="1" applyBorder="1"/>
    <xf numFmtId="165" fontId="0" fillId="11" borderId="0" xfId="0" applyNumberFormat="1" applyFill="1" applyBorder="1"/>
    <xf numFmtId="165" fontId="0" fillId="6" borderId="0" xfId="0" applyNumberFormat="1" applyFill="1" applyBorder="1"/>
    <xf numFmtId="165" fontId="0" fillId="7" borderId="0" xfId="0" applyNumberFormat="1" applyFill="1" applyBorder="1"/>
    <xf numFmtId="165" fontId="0" fillId="9" borderId="0" xfId="0" applyNumberFormat="1" applyFill="1" applyBorder="1"/>
    <xf numFmtId="165" fontId="1" fillId="0" borderId="6" xfId="0" applyNumberFormat="1" applyFont="1" applyBorder="1"/>
    <xf numFmtId="165" fontId="0" fillId="12" borderId="0" xfId="0" applyNumberFormat="1" applyFill="1" applyBorder="1"/>
    <xf numFmtId="0" fontId="0" fillId="0" borderId="7" xfId="0" applyBorder="1"/>
    <xf numFmtId="165" fontId="0" fillId="6" borderId="8" xfId="0" applyNumberFormat="1" applyFill="1" applyBorder="1"/>
    <xf numFmtId="165" fontId="0" fillId="0" borderId="8" xfId="0" applyNumberFormat="1" applyBorder="1"/>
    <xf numFmtId="165" fontId="0" fillId="0" borderId="9" xfId="0" applyNumberFormat="1" applyBorder="1"/>
    <xf numFmtId="37" fontId="0" fillId="0" borderId="3" xfId="1" applyNumberFormat="1" applyFont="1" applyBorder="1"/>
    <xf numFmtId="165" fontId="0" fillId="14" borderId="4" xfId="0" applyNumberFormat="1" applyFill="1" applyBorder="1"/>
    <xf numFmtId="165" fontId="0" fillId="0" borderId="0" xfId="0" applyNumberFormat="1" applyFill="1" applyBorder="1"/>
    <xf numFmtId="165" fontId="0" fillId="3" borderId="0" xfId="0" applyNumberFormat="1" applyFill="1" applyBorder="1"/>
    <xf numFmtId="165" fontId="0" fillId="1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14" borderId="3" xfId="0" applyFill="1" applyBorder="1"/>
    <xf numFmtId="0" fontId="0" fillId="0" borderId="4" xfId="0" applyBorder="1"/>
    <xf numFmtId="165" fontId="0" fillId="13" borderId="0" xfId="0" applyNumberFormat="1" applyFill="1" applyBorder="1"/>
    <xf numFmtId="165" fontId="1" fillId="0" borderId="0" xfId="0" applyNumberFormat="1" applyFont="1" applyBorder="1"/>
    <xf numFmtId="0" fontId="0" fillId="14" borderId="2" xfId="0" applyFill="1" applyBorder="1"/>
    <xf numFmtId="0" fontId="0" fillId="14" borderId="5" xfId="0" applyFill="1" applyBorder="1"/>
    <xf numFmtId="165" fontId="0" fillId="14" borderId="0" xfId="0" applyNumberFormat="1" applyFill="1" applyBorder="1"/>
    <xf numFmtId="3" fontId="0" fillId="14" borderId="0" xfId="0" applyNumberFormat="1" applyFill="1" applyBorder="1"/>
    <xf numFmtId="165" fontId="0" fillId="14" borderId="6" xfId="0" applyNumberFormat="1" applyFill="1" applyBorder="1"/>
    <xf numFmtId="0" fontId="0" fillId="14" borderId="7" xfId="0" applyFill="1" applyBorder="1"/>
    <xf numFmtId="165" fontId="0" fillId="14" borderId="8" xfId="0" applyNumberFormat="1" applyFill="1" applyBorder="1"/>
    <xf numFmtId="4" fontId="0" fillId="14" borderId="8" xfId="0" applyNumberFormat="1" applyFill="1" applyBorder="1"/>
    <xf numFmtId="165" fontId="0" fillId="14" borderId="9" xfId="0" applyNumberFormat="1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9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37" fontId="0" fillId="0" borderId="1" xfId="1" applyNumberFormat="1" applyFont="1" applyFill="1" applyBorder="1"/>
    <xf numFmtId="37" fontId="0" fillId="0" borderId="1" xfId="1" applyNumberFormat="1" applyFont="1" applyBorder="1"/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66" fontId="0" fillId="0" borderId="0" xfId="0" applyNumberFormat="1"/>
    <xf numFmtId="0" fontId="4" fillId="0" borderId="0" xfId="0" applyFont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20" sqref="I20"/>
    </sheetView>
  </sheetViews>
  <sheetFormatPr defaultRowHeight="14.5" x14ac:dyDescent="0.35"/>
  <sheetData>
    <row r="1" spans="1:5" x14ac:dyDescent="0.35">
      <c r="A1" t="s">
        <v>21</v>
      </c>
    </row>
    <row r="3" spans="1:5" x14ac:dyDescent="0.35">
      <c r="A3" t="s">
        <v>23</v>
      </c>
      <c r="B3" t="s">
        <v>18</v>
      </c>
    </row>
    <row r="4" spans="1:5" x14ac:dyDescent="0.35">
      <c r="A4" t="s">
        <v>0</v>
      </c>
      <c r="B4">
        <v>0.95</v>
      </c>
      <c r="C4" s="4">
        <f>B4</f>
        <v>0.95</v>
      </c>
    </row>
    <row r="5" spans="1:5" x14ac:dyDescent="0.35">
      <c r="A5" t="s">
        <v>1</v>
      </c>
      <c r="B5">
        <v>0.97</v>
      </c>
      <c r="C5" s="4">
        <f>B5</f>
        <v>0.97</v>
      </c>
    </row>
    <row r="6" spans="1:5" x14ac:dyDescent="0.35">
      <c r="A6" t="s">
        <v>2</v>
      </c>
      <c r="B6" s="1">
        <v>0.92</v>
      </c>
      <c r="C6" s="4">
        <f>1-(1-B6)*(1-B7)</f>
        <v>0.99519999999999997</v>
      </c>
    </row>
    <row r="7" spans="1:5" x14ac:dyDescent="0.35">
      <c r="A7" t="s">
        <v>3</v>
      </c>
      <c r="B7" s="1">
        <v>0.94</v>
      </c>
      <c r="C7" s="4"/>
    </row>
    <row r="8" spans="1:5" x14ac:dyDescent="0.35">
      <c r="A8" t="s">
        <v>4</v>
      </c>
      <c r="B8" s="2">
        <v>0.9</v>
      </c>
      <c r="C8" s="4">
        <f>1-(1-B8)*(1-B9)</f>
        <v>0.98799999999999999</v>
      </c>
      <c r="D8" s="5">
        <f>C4*C5*C6*C8</f>
        <v>0.90607187839999992</v>
      </c>
    </row>
    <row r="9" spans="1:5" x14ac:dyDescent="0.35">
      <c r="A9" t="s">
        <v>5</v>
      </c>
      <c r="B9" s="2">
        <v>0.88</v>
      </c>
      <c r="D9" s="5"/>
    </row>
    <row r="10" spans="1:5" x14ac:dyDescent="0.35">
      <c r="A10" t="s">
        <v>6</v>
      </c>
      <c r="B10">
        <v>0.98</v>
      </c>
      <c r="C10">
        <f>B10</f>
        <v>0.98</v>
      </c>
      <c r="D10" s="5">
        <f>C10</f>
        <v>0.98</v>
      </c>
      <c r="E10" s="3">
        <f>1-(1-D8)*(1-D10)</f>
        <v>0.99812143756799998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D26" sqref="D26"/>
    </sheetView>
  </sheetViews>
  <sheetFormatPr defaultRowHeight="14.5" x14ac:dyDescent="0.35"/>
  <cols>
    <col min="2" max="2" width="11.1796875" customWidth="1"/>
    <col min="3" max="3" width="12.90625" customWidth="1"/>
    <col min="4" max="4" width="12.08984375" customWidth="1"/>
    <col min="5" max="5" width="10" bestFit="1" customWidth="1"/>
    <col min="6" max="6" width="9" bestFit="1" customWidth="1"/>
    <col min="9" max="9" width="9" bestFit="1" customWidth="1"/>
    <col min="10" max="10" width="10" bestFit="1" customWidth="1"/>
    <col min="11" max="13" width="9" bestFit="1" customWidth="1"/>
    <col min="14" max="14" width="10" bestFit="1" customWidth="1"/>
  </cols>
  <sheetData>
    <row r="1" spans="1:21" x14ac:dyDescent="0.35">
      <c r="A1" s="8" t="s">
        <v>22</v>
      </c>
    </row>
    <row r="3" spans="1:21" x14ac:dyDescent="0.35">
      <c r="A3" s="14" t="s">
        <v>26</v>
      </c>
      <c r="B3" s="15"/>
      <c r="C3" s="15"/>
      <c r="D3" s="15"/>
      <c r="E3" s="16"/>
      <c r="F3" s="17"/>
      <c r="H3" s="14" t="s">
        <v>28</v>
      </c>
      <c r="I3" s="15"/>
      <c r="J3" s="32"/>
      <c r="K3" s="15"/>
      <c r="L3" s="15"/>
      <c r="M3" s="15"/>
      <c r="N3" s="33"/>
      <c r="P3" s="14" t="s">
        <v>27</v>
      </c>
      <c r="Q3" s="43"/>
      <c r="R3" s="44"/>
      <c r="S3" s="44"/>
      <c r="T3" s="44"/>
      <c r="U3" s="45"/>
    </row>
    <row r="4" spans="1:21" x14ac:dyDescent="0.35">
      <c r="A4" s="18" t="s">
        <v>0</v>
      </c>
      <c r="B4" s="19">
        <v>0.84</v>
      </c>
      <c r="C4" s="19">
        <f>B4</f>
        <v>0.84</v>
      </c>
      <c r="D4" s="19">
        <f>C4</f>
        <v>0.84</v>
      </c>
      <c r="E4" s="19">
        <f>D4</f>
        <v>0.84</v>
      </c>
      <c r="F4" s="20"/>
      <c r="H4" s="18" t="s">
        <v>0</v>
      </c>
      <c r="I4" s="34">
        <v>0.84</v>
      </c>
      <c r="J4" s="24">
        <f>I4</f>
        <v>0.84</v>
      </c>
      <c r="K4" s="19">
        <f>J4*J5</f>
        <v>0.72239999999999993</v>
      </c>
      <c r="L4" s="19">
        <f>K4</f>
        <v>0.72239999999999993</v>
      </c>
      <c r="M4" s="19">
        <f>L4</f>
        <v>0.72239999999999993</v>
      </c>
      <c r="N4" s="20"/>
      <c r="P4" s="18" t="s">
        <v>0</v>
      </c>
      <c r="Q4" s="34">
        <v>0.84</v>
      </c>
      <c r="R4" s="19">
        <f>Q4</f>
        <v>0.84</v>
      </c>
      <c r="S4" s="19">
        <f>R4</f>
        <v>0.84</v>
      </c>
      <c r="T4" s="19"/>
      <c r="U4" s="39"/>
    </row>
    <row r="5" spans="1:21" x14ac:dyDescent="0.35">
      <c r="A5" s="18" t="s">
        <v>1</v>
      </c>
      <c r="B5" s="21">
        <v>0.86</v>
      </c>
      <c r="C5" s="22">
        <f>1-(1-B5*B6)*(1-B7*B8)</f>
        <v>0.94092772000000002</v>
      </c>
      <c r="D5" s="23"/>
      <c r="E5" s="19"/>
      <c r="F5" s="20"/>
      <c r="H5" s="18" t="s">
        <v>1</v>
      </c>
      <c r="I5" s="34">
        <v>0.86</v>
      </c>
      <c r="J5" s="24">
        <f>I5</f>
        <v>0.86</v>
      </c>
      <c r="K5" s="19"/>
      <c r="L5" s="19"/>
      <c r="M5" s="19"/>
      <c r="N5" s="20"/>
      <c r="P5" s="18" t="s">
        <v>1</v>
      </c>
      <c r="Q5" s="46">
        <v>0.86</v>
      </c>
      <c r="R5" s="46">
        <f>1-(1-Q5*Q6)*(1-Q7*Q8)*(1-Q9)</f>
        <v>0.98936698960000002</v>
      </c>
      <c r="S5" s="19">
        <f>1-(1-R5*R11)*(1-R10)</f>
        <v>0.99675381556453857</v>
      </c>
      <c r="T5" s="19"/>
      <c r="U5" s="39"/>
    </row>
    <row r="6" spans="1:21" x14ac:dyDescent="0.35">
      <c r="A6" s="18" t="s">
        <v>2</v>
      </c>
      <c r="B6" s="21">
        <v>0.89</v>
      </c>
      <c r="C6" s="22"/>
      <c r="D6" s="23"/>
      <c r="E6" s="19"/>
      <c r="F6" s="20"/>
      <c r="H6" s="18" t="s">
        <v>2</v>
      </c>
      <c r="I6" s="35">
        <v>0.89</v>
      </c>
      <c r="J6" s="19">
        <f>1-(1-I6)*(1-I7)</f>
        <v>0.98460000000000003</v>
      </c>
      <c r="K6" s="24">
        <f>J6*J9*J10</f>
        <v>0.70241363999999995</v>
      </c>
      <c r="L6" s="24">
        <f>1-(1-K6)*(1-K11)</f>
        <v>0.96083532575384645</v>
      </c>
      <c r="M6" s="19">
        <f>1-(1-L6*L14)*(1-L17)</f>
        <v>0.98781787108129893</v>
      </c>
      <c r="N6" s="26">
        <f>M4*M6</f>
        <v>0.7135996300691303</v>
      </c>
      <c r="P6" s="18" t="s">
        <v>2</v>
      </c>
      <c r="Q6" s="46">
        <v>0.89</v>
      </c>
      <c r="R6" s="46"/>
      <c r="S6" s="19"/>
      <c r="T6" s="19"/>
      <c r="U6" s="39"/>
    </row>
    <row r="7" spans="1:21" x14ac:dyDescent="0.35">
      <c r="A7" s="18" t="s">
        <v>3</v>
      </c>
      <c r="B7" s="24">
        <v>0.86</v>
      </c>
      <c r="C7" s="22"/>
      <c r="D7" s="23"/>
      <c r="E7" s="19"/>
      <c r="F7" s="20"/>
      <c r="H7" s="18" t="s">
        <v>3</v>
      </c>
      <c r="I7" s="35">
        <v>0.86</v>
      </c>
      <c r="J7" s="19"/>
      <c r="K7" s="24"/>
      <c r="L7" s="24"/>
      <c r="M7" s="19"/>
      <c r="N7" s="20"/>
      <c r="P7" s="18" t="s">
        <v>3</v>
      </c>
      <c r="Q7" s="46">
        <v>0.86</v>
      </c>
      <c r="R7" s="46"/>
      <c r="S7" s="19"/>
      <c r="T7" s="19"/>
      <c r="U7" s="39"/>
    </row>
    <row r="8" spans="1:21" x14ac:dyDescent="0.35">
      <c r="A8" s="18" t="s">
        <v>4</v>
      </c>
      <c r="B8" s="24">
        <v>0.87</v>
      </c>
      <c r="C8" s="22"/>
      <c r="D8" s="23"/>
      <c r="E8" s="19"/>
      <c r="F8" s="20"/>
      <c r="H8" s="18" t="s">
        <v>4</v>
      </c>
      <c r="I8" s="34">
        <v>0.87</v>
      </c>
      <c r="J8" s="19">
        <f>I8</f>
        <v>0.87</v>
      </c>
      <c r="K8" s="24"/>
      <c r="L8" s="24"/>
      <c r="M8" s="19"/>
      <c r="N8" s="20"/>
      <c r="P8" s="18" t="s">
        <v>4</v>
      </c>
      <c r="Q8" s="46">
        <v>0.87</v>
      </c>
      <c r="R8" s="46"/>
      <c r="S8" s="19"/>
      <c r="T8" s="19"/>
      <c r="U8" s="39"/>
    </row>
    <row r="9" spans="1:21" x14ac:dyDescent="0.35">
      <c r="A9" s="18" t="s">
        <v>5</v>
      </c>
      <c r="B9" s="19">
        <v>0.82</v>
      </c>
      <c r="C9" s="19">
        <f>B9</f>
        <v>0.82</v>
      </c>
      <c r="D9" s="23"/>
      <c r="E9" s="19"/>
      <c r="F9" s="20"/>
      <c r="H9" s="18" t="s">
        <v>5</v>
      </c>
      <c r="I9" s="34">
        <v>0.82</v>
      </c>
      <c r="J9" s="19">
        <f>I9</f>
        <v>0.82</v>
      </c>
      <c r="K9" s="24"/>
      <c r="L9" s="24"/>
      <c r="M9" s="19"/>
      <c r="N9" s="20"/>
      <c r="P9" s="18" t="s">
        <v>5</v>
      </c>
      <c r="Q9" s="46">
        <v>0.82</v>
      </c>
      <c r="R9" s="46"/>
      <c r="S9" s="19"/>
      <c r="T9" s="19"/>
      <c r="U9" s="39"/>
    </row>
    <row r="10" spans="1:21" x14ac:dyDescent="0.35">
      <c r="A10" s="18" t="s">
        <v>6</v>
      </c>
      <c r="B10" s="25">
        <v>0.87</v>
      </c>
      <c r="C10" s="19">
        <f>1-(1-B10)*(1-B11)</f>
        <v>0.98440000000000005</v>
      </c>
      <c r="D10" s="23"/>
      <c r="E10" s="19"/>
      <c r="F10" s="20"/>
      <c r="H10" s="18" t="s">
        <v>6</v>
      </c>
      <c r="I10" s="34">
        <v>0.87</v>
      </c>
      <c r="J10" s="19">
        <f>I10</f>
        <v>0.87</v>
      </c>
      <c r="K10" s="24"/>
      <c r="L10" s="24"/>
      <c r="M10" s="19"/>
      <c r="N10" s="20"/>
      <c r="P10" s="18" t="s">
        <v>6</v>
      </c>
      <c r="Q10" s="34">
        <v>0.87</v>
      </c>
      <c r="R10" s="46">
        <f>Q10*Q14</f>
        <v>0.73949999999999994</v>
      </c>
      <c r="S10" s="19"/>
      <c r="T10" s="19"/>
      <c r="U10" s="39"/>
    </row>
    <row r="11" spans="1:21" x14ac:dyDescent="0.35">
      <c r="A11" s="18" t="s">
        <v>7</v>
      </c>
      <c r="B11" s="25">
        <v>0.88</v>
      </c>
      <c r="C11" s="19"/>
      <c r="D11" s="23"/>
      <c r="E11" s="19"/>
      <c r="F11" s="20"/>
      <c r="H11" s="18" t="s">
        <v>7</v>
      </c>
      <c r="I11" s="35">
        <v>0.88</v>
      </c>
      <c r="J11" s="19">
        <f>1-(1-I11)*(1-I12)*(1-I13)</f>
        <v>0.99815200000000004</v>
      </c>
      <c r="K11" s="24">
        <f>J8*J11</f>
        <v>0.86839224000000004</v>
      </c>
      <c r="L11" s="24"/>
      <c r="M11" s="19"/>
      <c r="N11" s="20"/>
      <c r="P11" s="18" t="s">
        <v>7</v>
      </c>
      <c r="Q11" s="46">
        <v>0.88</v>
      </c>
      <c r="R11" s="46">
        <f>1-(1-Q11)*(1-Q12)*(1-Q13)</f>
        <v>0.99815200000000004</v>
      </c>
      <c r="S11" s="19"/>
      <c r="T11" s="19"/>
      <c r="U11" s="39"/>
    </row>
    <row r="12" spans="1:21" x14ac:dyDescent="0.35">
      <c r="A12" s="18" t="s">
        <v>8</v>
      </c>
      <c r="B12" s="19">
        <v>0.89</v>
      </c>
      <c r="C12" s="19">
        <f>B12</f>
        <v>0.89</v>
      </c>
      <c r="D12" s="23">
        <f>C5*C9*C10*C12</f>
        <v>0.6759767008751264</v>
      </c>
      <c r="E12" s="19">
        <f>1-(1-D12)*(1-D18)</f>
        <v>0.86807025486911349</v>
      </c>
      <c r="F12" s="26">
        <f>E4*E12</f>
        <v>0.72917901409005526</v>
      </c>
      <c r="H12" s="18" t="s">
        <v>8</v>
      </c>
      <c r="I12" s="35">
        <v>0.89</v>
      </c>
      <c r="J12" s="19"/>
      <c r="K12" s="24"/>
      <c r="L12" s="24"/>
      <c r="M12" s="19"/>
      <c r="N12" s="20"/>
      <c r="P12" s="18" t="s">
        <v>8</v>
      </c>
      <c r="Q12" s="46">
        <v>0.89</v>
      </c>
      <c r="R12" s="46"/>
      <c r="S12" s="19"/>
      <c r="T12" s="19"/>
      <c r="U12" s="39"/>
    </row>
    <row r="13" spans="1:21" x14ac:dyDescent="0.35">
      <c r="A13" s="18" t="s">
        <v>9</v>
      </c>
      <c r="B13" s="19">
        <v>0.86</v>
      </c>
      <c r="C13" s="19">
        <f>B13</f>
        <v>0.86</v>
      </c>
      <c r="D13" s="27"/>
      <c r="E13" s="19"/>
      <c r="F13" s="20"/>
      <c r="H13" s="18" t="s">
        <v>9</v>
      </c>
      <c r="I13" s="35">
        <v>0.86</v>
      </c>
      <c r="J13" s="19"/>
      <c r="K13" s="24"/>
      <c r="L13" s="24"/>
      <c r="M13" s="19"/>
      <c r="N13" s="20"/>
      <c r="P13" s="18" t="s">
        <v>9</v>
      </c>
      <c r="Q13" s="46">
        <v>0.86</v>
      </c>
      <c r="R13" s="46"/>
      <c r="S13" s="19"/>
      <c r="T13" s="19"/>
      <c r="U13" s="39"/>
    </row>
    <row r="14" spans="1:21" x14ac:dyDescent="0.35">
      <c r="A14" s="18" t="s">
        <v>10</v>
      </c>
      <c r="B14" s="23">
        <v>0.85</v>
      </c>
      <c r="C14" s="19">
        <f>1-(1-B14)*(1-B15)</f>
        <v>0.97899999999999998</v>
      </c>
      <c r="D14" s="27"/>
      <c r="E14" s="19"/>
      <c r="F14" s="20"/>
      <c r="H14" s="18" t="s">
        <v>10</v>
      </c>
      <c r="I14" s="36">
        <v>0.85</v>
      </c>
      <c r="J14" s="19">
        <f>1-(1-I14)*(1-I15)*(1-I16)</f>
        <v>0.99643000000000004</v>
      </c>
      <c r="K14" s="19">
        <f>J14</f>
        <v>0.99643000000000004</v>
      </c>
      <c r="L14" s="24">
        <f>K14</f>
        <v>0.99643000000000004</v>
      </c>
      <c r="M14" s="19"/>
      <c r="N14" s="20"/>
      <c r="P14" s="18" t="s">
        <v>10</v>
      </c>
      <c r="Q14" s="34">
        <v>0.85</v>
      </c>
      <c r="R14" s="46"/>
      <c r="S14" s="19"/>
      <c r="T14" s="19"/>
      <c r="U14" s="39"/>
    </row>
    <row r="15" spans="1:21" x14ac:dyDescent="0.35">
      <c r="A15" s="18" t="s">
        <v>11</v>
      </c>
      <c r="B15" s="23">
        <v>0.86</v>
      </c>
      <c r="C15" s="19"/>
      <c r="D15" s="27"/>
      <c r="E15" s="19"/>
      <c r="F15" s="20"/>
      <c r="H15" s="18" t="s">
        <v>11</v>
      </c>
      <c r="I15" s="36">
        <v>0.86</v>
      </c>
      <c r="J15" s="19"/>
      <c r="K15" s="19"/>
      <c r="L15" s="24"/>
      <c r="M15" s="19"/>
      <c r="N15" s="20"/>
      <c r="P15" s="18" t="s">
        <v>11</v>
      </c>
      <c r="Q15" s="34">
        <v>0.86</v>
      </c>
      <c r="R15" s="19">
        <f>Q15</f>
        <v>0.86</v>
      </c>
      <c r="S15" s="19">
        <f>R15</f>
        <v>0.86</v>
      </c>
      <c r="T15" s="19"/>
      <c r="U15" s="39"/>
    </row>
    <row r="16" spans="1:21" x14ac:dyDescent="0.35">
      <c r="A16" s="18" t="s">
        <v>12</v>
      </c>
      <c r="B16" s="19">
        <v>0.83</v>
      </c>
      <c r="C16" s="19">
        <f>B16</f>
        <v>0.83</v>
      </c>
      <c r="D16" s="27"/>
      <c r="E16" s="19"/>
      <c r="F16" s="20"/>
      <c r="H16" s="18" t="s">
        <v>12</v>
      </c>
      <c r="I16" s="36">
        <v>0.83</v>
      </c>
      <c r="J16" s="19"/>
      <c r="K16" s="19"/>
      <c r="L16" s="24"/>
      <c r="M16" s="19"/>
      <c r="N16" s="20"/>
      <c r="P16" s="18" t="s">
        <v>12</v>
      </c>
      <c r="Q16" s="46">
        <v>0.83</v>
      </c>
      <c r="R16" s="19">
        <f>1-(1-Q16)*(1-Q17)</f>
        <v>0.97450000000000003</v>
      </c>
      <c r="S16" s="19">
        <f>R16</f>
        <v>0.97450000000000003</v>
      </c>
      <c r="T16" s="47">
        <f>S4*S5*S15*S16</f>
        <v>0.70169355497654506</v>
      </c>
      <c r="U16" s="39"/>
    </row>
    <row r="17" spans="1:21" x14ac:dyDescent="0.35">
      <c r="A17" s="18" t="s">
        <v>13</v>
      </c>
      <c r="B17" s="19">
        <v>0.85</v>
      </c>
      <c r="C17" s="19">
        <f>B17</f>
        <v>0.85</v>
      </c>
      <c r="D17" s="27"/>
      <c r="E17" s="19"/>
      <c r="F17" s="20"/>
      <c r="H17" s="18" t="s">
        <v>13</v>
      </c>
      <c r="I17" s="24">
        <v>0.85</v>
      </c>
      <c r="J17" s="19">
        <f>I17*I18</f>
        <v>0.71399999999999997</v>
      </c>
      <c r="K17" s="19">
        <f>J17</f>
        <v>0.71399999999999997</v>
      </c>
      <c r="L17" s="24">
        <f>K17</f>
        <v>0.71399999999999997</v>
      </c>
      <c r="M17" s="19"/>
      <c r="N17" s="20"/>
      <c r="P17" s="18" t="s">
        <v>13</v>
      </c>
      <c r="Q17" s="46">
        <v>0.85</v>
      </c>
      <c r="R17" s="19"/>
      <c r="S17" s="19"/>
      <c r="T17" s="19"/>
      <c r="U17" s="39"/>
    </row>
    <row r="18" spans="1:21" x14ac:dyDescent="0.35">
      <c r="A18" s="18" t="s">
        <v>14</v>
      </c>
      <c r="B18" s="23">
        <v>0.84</v>
      </c>
      <c r="C18" s="19">
        <f>1-(1-B18)*(1-B19)*(1-B20)</f>
        <v>0.99806399999999995</v>
      </c>
      <c r="D18" s="27">
        <f>C13*C14*C16*C17*C18</f>
        <v>0.5928387079348798</v>
      </c>
      <c r="E18" s="19"/>
      <c r="F18" s="20"/>
      <c r="H18" s="18" t="s">
        <v>14</v>
      </c>
      <c r="I18" s="24">
        <v>0.84</v>
      </c>
      <c r="J18" s="19"/>
      <c r="K18" s="19"/>
      <c r="L18" s="19"/>
      <c r="M18" s="19"/>
      <c r="N18" s="20"/>
      <c r="P18" s="18"/>
      <c r="Q18" s="37"/>
      <c r="R18" s="38"/>
      <c r="S18" s="38"/>
      <c r="T18" s="38"/>
      <c r="U18" s="39"/>
    </row>
    <row r="19" spans="1:21" x14ac:dyDescent="0.35">
      <c r="A19" s="18" t="s">
        <v>15</v>
      </c>
      <c r="B19" s="23">
        <v>0.89</v>
      </c>
      <c r="C19" s="19"/>
      <c r="D19" s="19"/>
      <c r="E19" s="19"/>
      <c r="F19" s="20"/>
      <c r="H19" s="18"/>
      <c r="I19" s="37"/>
      <c r="J19" s="38"/>
      <c r="K19" s="38"/>
      <c r="L19" s="38"/>
      <c r="M19" s="38"/>
      <c r="N19" s="39"/>
      <c r="P19" s="18"/>
      <c r="Q19" s="37"/>
      <c r="R19" s="38"/>
      <c r="S19" s="38"/>
      <c r="T19" s="38"/>
      <c r="U19" s="39"/>
    </row>
    <row r="20" spans="1:21" x14ac:dyDescent="0.35">
      <c r="A20" s="28" t="s">
        <v>16</v>
      </c>
      <c r="B20" s="29">
        <v>0.89</v>
      </c>
      <c r="C20" s="30"/>
      <c r="D20" s="30"/>
      <c r="E20" s="30"/>
      <c r="F20" s="31"/>
      <c r="H20" s="28"/>
      <c r="I20" s="40"/>
      <c r="J20" s="41"/>
      <c r="K20" s="41"/>
      <c r="L20" s="41"/>
      <c r="M20" s="41"/>
      <c r="N20" s="42"/>
      <c r="P20" s="28"/>
      <c r="Q20" s="40"/>
      <c r="R20" s="41"/>
      <c r="S20" s="41"/>
      <c r="T20" s="41"/>
      <c r="U20" s="42"/>
    </row>
    <row r="21" spans="1:21" s="13" customFormat="1" x14ac:dyDescent="0.35">
      <c r="A21" s="48"/>
      <c r="B21" s="16"/>
      <c r="C21" s="16"/>
      <c r="D21" s="16"/>
      <c r="E21" s="16"/>
      <c r="F21" s="33"/>
      <c r="H21" s="48"/>
      <c r="I21" s="44"/>
      <c r="J21" s="44"/>
      <c r="K21" s="44"/>
      <c r="L21" s="44"/>
      <c r="M21" s="44"/>
      <c r="N21" s="57"/>
      <c r="P21" s="48"/>
      <c r="Q21" s="44"/>
      <c r="R21" s="44"/>
      <c r="S21" s="44"/>
      <c r="T21" s="44"/>
      <c r="U21" s="57"/>
    </row>
    <row r="22" spans="1:21" s="13" customFormat="1" x14ac:dyDescent="0.35">
      <c r="A22" s="49" t="s">
        <v>24</v>
      </c>
      <c r="B22" s="50"/>
      <c r="C22" s="51">
        <v>57000</v>
      </c>
      <c r="D22" s="50"/>
      <c r="E22" s="50"/>
      <c r="F22" s="52"/>
      <c r="H22" s="49" t="s">
        <v>24</v>
      </c>
      <c r="I22" s="50"/>
      <c r="J22" s="51">
        <v>39000</v>
      </c>
      <c r="K22" s="58"/>
      <c r="L22" s="58"/>
      <c r="M22" s="58"/>
      <c r="N22" s="59"/>
      <c r="P22" s="49" t="s">
        <v>24</v>
      </c>
      <c r="Q22" s="50"/>
      <c r="R22" s="51">
        <v>42000</v>
      </c>
      <c r="S22" s="58"/>
      <c r="T22" s="58"/>
      <c r="U22" s="59"/>
    </row>
    <row r="23" spans="1:21" s="13" customFormat="1" x14ac:dyDescent="0.35">
      <c r="A23" s="53" t="s">
        <v>25</v>
      </c>
      <c r="B23" s="54"/>
      <c r="C23" s="55">
        <f>C22/F12</f>
        <v>78170.104869420131</v>
      </c>
      <c r="D23" s="54"/>
      <c r="E23" s="54"/>
      <c r="F23" s="56"/>
      <c r="H23" s="53" t="s">
        <v>25</v>
      </c>
      <c r="I23" s="54"/>
      <c r="J23" s="55">
        <f>J22/N6</f>
        <v>54652.494699614486</v>
      </c>
      <c r="K23" s="60"/>
      <c r="L23" s="60"/>
      <c r="M23" s="60"/>
      <c r="N23" s="61"/>
      <c r="P23" s="53" t="s">
        <v>25</v>
      </c>
      <c r="Q23" s="54"/>
      <c r="R23" s="55">
        <f>R22/T16</f>
        <v>59855.188496642098</v>
      </c>
      <c r="S23" s="60"/>
      <c r="T23" s="60"/>
      <c r="U23" s="61"/>
    </row>
    <row r="25" spans="1:21" x14ac:dyDescent="0.35">
      <c r="A25" s="6" t="s">
        <v>17</v>
      </c>
      <c r="B25" s="6" t="s">
        <v>18</v>
      </c>
      <c r="C25" s="6" t="s">
        <v>19</v>
      </c>
      <c r="D25" s="6" t="s">
        <v>20</v>
      </c>
    </row>
    <row r="26" spans="1:21" x14ac:dyDescent="0.35">
      <c r="A26" s="6" t="s">
        <v>0</v>
      </c>
      <c r="B26" s="11">
        <f>F12</f>
        <v>0.72917901409005526</v>
      </c>
      <c r="C26" s="9">
        <v>57000</v>
      </c>
      <c r="D26" s="9">
        <f>(1-B26)*C26</f>
        <v>15436.79619686685</v>
      </c>
    </row>
    <row r="27" spans="1:21" x14ac:dyDescent="0.35">
      <c r="A27" s="7" t="s">
        <v>1</v>
      </c>
      <c r="B27" s="12">
        <f>N6</f>
        <v>0.7135996300691303</v>
      </c>
      <c r="C27" s="10">
        <v>39000</v>
      </c>
      <c r="D27" s="10">
        <f>(1-B27)*C27</f>
        <v>11169.614427303919</v>
      </c>
    </row>
    <row r="28" spans="1:21" x14ac:dyDescent="0.35">
      <c r="A28" s="6" t="s">
        <v>2</v>
      </c>
      <c r="B28" s="11">
        <f>T16</f>
        <v>0.70169355497654506</v>
      </c>
      <c r="C28" s="9">
        <v>42000</v>
      </c>
      <c r="D28" s="9">
        <f t="shared" ref="D28" si="0">(1-B28)*C28</f>
        <v>12528.870690985108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7" sqref="I7"/>
    </sheetView>
  </sheetViews>
  <sheetFormatPr defaultRowHeight="14.5" x14ac:dyDescent="0.35"/>
  <cols>
    <col min="1" max="1" width="9.453125" customWidth="1"/>
    <col min="2" max="2" width="11" customWidth="1"/>
    <col min="3" max="3" width="11.81640625" customWidth="1"/>
    <col min="4" max="4" width="13.36328125" customWidth="1"/>
    <col min="5" max="5" width="11.90625" customWidth="1"/>
    <col min="6" max="6" width="10.453125" customWidth="1"/>
    <col min="7" max="7" width="14.90625" customWidth="1"/>
    <col min="9" max="9" width="11.54296875" bestFit="1" customWidth="1"/>
    <col min="10" max="10" width="10.90625" customWidth="1"/>
    <col min="11" max="11" width="11.08984375" bestFit="1" customWidth="1"/>
  </cols>
  <sheetData>
    <row r="1" spans="1:11" x14ac:dyDescent="0.35">
      <c r="A1" s="8" t="s">
        <v>29</v>
      </c>
    </row>
    <row r="4" spans="1:11" s="64" customFormat="1" ht="43.5" x14ac:dyDescent="0.35">
      <c r="A4" s="62"/>
      <c r="B4" s="62" t="s">
        <v>30</v>
      </c>
      <c r="C4" s="62" t="s">
        <v>31</v>
      </c>
      <c r="D4" s="62" t="s">
        <v>32</v>
      </c>
      <c r="E4" s="63" t="s">
        <v>33</v>
      </c>
      <c r="F4" s="63" t="s">
        <v>34</v>
      </c>
      <c r="G4" s="62" t="s">
        <v>35</v>
      </c>
      <c r="H4" s="62" t="s">
        <v>36</v>
      </c>
      <c r="I4" s="62" t="s">
        <v>37</v>
      </c>
      <c r="J4" s="6" t="s">
        <v>38</v>
      </c>
      <c r="K4" s="62"/>
    </row>
    <row r="5" spans="1:11" x14ac:dyDescent="0.35">
      <c r="A5" s="6" t="s">
        <v>39</v>
      </c>
      <c r="B5" s="6">
        <v>0.1</v>
      </c>
      <c r="C5" s="6">
        <v>3</v>
      </c>
      <c r="D5" s="6">
        <v>60</v>
      </c>
      <c r="E5" s="65">
        <v>250000</v>
      </c>
      <c r="F5" s="65">
        <v>300000</v>
      </c>
      <c r="G5" s="66">
        <f>E5+F5</f>
        <v>550000</v>
      </c>
      <c r="H5" s="6"/>
      <c r="I5" s="6"/>
      <c r="J5" s="6" t="s">
        <v>40</v>
      </c>
      <c r="K5" s="6" t="s">
        <v>24</v>
      </c>
    </row>
    <row r="6" spans="1:11" x14ac:dyDescent="0.35">
      <c r="A6" s="6" t="s">
        <v>41</v>
      </c>
      <c r="B6" s="6">
        <v>0.15</v>
      </c>
      <c r="C6" s="6">
        <v>2</v>
      </c>
      <c r="D6" s="6">
        <v>20</v>
      </c>
      <c r="E6" s="65">
        <v>75000</v>
      </c>
      <c r="F6" s="65">
        <v>100000</v>
      </c>
      <c r="G6" s="66">
        <f>E6+F6</f>
        <v>175000</v>
      </c>
      <c r="H6" s="6">
        <f>1-(B5*C5+B6*C6)</f>
        <v>0.39999999999999991</v>
      </c>
      <c r="I6" s="6">
        <f>EXP(-LN(1/H6)*5)</f>
        <v>1.0239999999999989E-2</v>
      </c>
      <c r="J6" s="6">
        <f>($C5*B5)/($C5*B5+$C6*B6)*D5+($C6*B6)/($C5*B5+$C6*B6)*D6</f>
        <v>40</v>
      </c>
      <c r="K6" s="66">
        <f>($C5*B5)/($C5*B5+$C6*B6)*G5+($C6*B6)/($C5*B5+$C6*B6)*G6</f>
        <v>362500</v>
      </c>
    </row>
    <row r="10" spans="1:11" s="64" customFormat="1" ht="43.5" x14ac:dyDescent="0.35">
      <c r="A10" s="62"/>
      <c r="B10" s="62" t="s">
        <v>30</v>
      </c>
      <c r="C10" s="62" t="s">
        <v>42</v>
      </c>
      <c r="D10" s="62" t="s">
        <v>43</v>
      </c>
      <c r="E10" s="63" t="s">
        <v>33</v>
      </c>
      <c r="F10" s="63" t="s">
        <v>34</v>
      </c>
      <c r="G10" s="62" t="s">
        <v>35</v>
      </c>
      <c r="H10" s="62" t="s">
        <v>36</v>
      </c>
      <c r="I10" s="62" t="s">
        <v>37</v>
      </c>
      <c r="J10" s="6" t="s">
        <v>38</v>
      </c>
      <c r="K10" s="67"/>
    </row>
    <row r="11" spans="1:11" x14ac:dyDescent="0.35">
      <c r="A11" s="6" t="s">
        <v>39</v>
      </c>
      <c r="B11" s="6">
        <v>0.1</v>
      </c>
      <c r="C11" s="6">
        <v>2</v>
      </c>
      <c r="D11" s="6">
        <v>60</v>
      </c>
      <c r="E11" s="65">
        <v>250000</v>
      </c>
      <c r="F11" s="65">
        <v>300000</v>
      </c>
      <c r="G11" s="66">
        <f>E11+F11</f>
        <v>550000</v>
      </c>
      <c r="H11" s="6"/>
      <c r="I11" s="6"/>
      <c r="J11" s="6" t="s">
        <v>40</v>
      </c>
      <c r="K11" s="6" t="s">
        <v>24</v>
      </c>
    </row>
    <row r="12" spans="1:11" x14ac:dyDescent="0.35">
      <c r="A12" s="6" t="s">
        <v>41</v>
      </c>
      <c r="B12" s="6">
        <v>0.15</v>
      </c>
      <c r="C12" s="6">
        <v>2</v>
      </c>
      <c r="D12" s="6">
        <v>20</v>
      </c>
      <c r="E12" s="65">
        <v>75000</v>
      </c>
      <c r="F12" s="65">
        <v>100000</v>
      </c>
      <c r="G12" s="66">
        <f>E12+F12</f>
        <v>175000</v>
      </c>
      <c r="H12" s="6">
        <f>1-(B11*C11+B12*C12)</f>
        <v>0.5</v>
      </c>
      <c r="I12" s="6">
        <f>EXP(-LN(1/H12)*5)</f>
        <v>3.125E-2</v>
      </c>
      <c r="J12" s="6">
        <f>($C11*B11)/($C11*B11+$C12*B12)*D11+($C12*B12)/($C11*B11+$C12*B12)*D12</f>
        <v>36</v>
      </c>
      <c r="K12" s="66">
        <f>($C11*B11)/($C11*B11+$C12*B12)*G11+($C12*B12)/($C11*B11+$C12*B12)*G12</f>
        <v>325000</v>
      </c>
    </row>
    <row r="16" spans="1:11" s="64" customFormat="1" ht="29" x14ac:dyDescent="0.35">
      <c r="A16" s="68" t="s">
        <v>44</v>
      </c>
      <c r="B16" s="68" t="s">
        <v>18</v>
      </c>
      <c r="C16" s="68" t="s">
        <v>45</v>
      </c>
      <c r="D16" s="68" t="s">
        <v>30</v>
      </c>
      <c r="E16" s="68" t="s">
        <v>46</v>
      </c>
    </row>
    <row r="17" spans="1:9" x14ac:dyDescent="0.35">
      <c r="A17" s="69">
        <v>1</v>
      </c>
      <c r="B17" s="69">
        <f>I6</f>
        <v>1.0239999999999989E-2</v>
      </c>
      <c r="C17" s="70">
        <f>K6</f>
        <v>362500</v>
      </c>
      <c r="D17" s="69">
        <f>1-B17</f>
        <v>0.98975999999999997</v>
      </c>
      <c r="E17" s="71">
        <f>D17*C17</f>
        <v>358788</v>
      </c>
      <c r="I17">
        <f>-LN(H6)</f>
        <v>0.91629073187415533</v>
      </c>
    </row>
    <row r="18" spans="1:9" x14ac:dyDescent="0.35">
      <c r="A18" s="69">
        <v>2</v>
      </c>
      <c r="B18" s="69">
        <f>I12</f>
        <v>3.125E-2</v>
      </c>
      <c r="C18" s="70">
        <f>K12</f>
        <v>325000</v>
      </c>
      <c r="D18" s="69">
        <f>1-B18</f>
        <v>0.96875</v>
      </c>
      <c r="E18" s="71">
        <f>D18*C18</f>
        <v>314843.75</v>
      </c>
    </row>
    <row r="19" spans="1:9" x14ac:dyDescent="0.35">
      <c r="A19" s="73" t="s">
        <v>47</v>
      </c>
      <c r="B19" s="73"/>
      <c r="C19" s="73"/>
      <c r="D19" s="73"/>
      <c r="E19" s="71">
        <f>E17-E18</f>
        <v>43944.25</v>
      </c>
      <c r="I19">
        <f>EXP(-I17*5)</f>
        <v>1.0239999999999989E-2</v>
      </c>
    </row>
    <row r="22" spans="1:9" x14ac:dyDescent="0.35">
      <c r="G22">
        <f>-LN(0.5)</f>
        <v>0.69314718055994529</v>
      </c>
    </row>
    <row r="23" spans="1:9" x14ac:dyDescent="0.35">
      <c r="G23">
        <f>EXP(-G22*5)</f>
        <v>3.125E-2</v>
      </c>
    </row>
  </sheetData>
  <mergeCells count="1">
    <mergeCell ref="A19:D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defaultRowHeight="14.5" x14ac:dyDescent="0.35"/>
  <sheetData>
    <row r="1" spans="1:7" x14ac:dyDescent="0.35">
      <c r="A1" t="s">
        <v>48</v>
      </c>
      <c r="B1" t="s">
        <v>49</v>
      </c>
      <c r="C1" t="s">
        <v>18</v>
      </c>
      <c r="D1" t="s">
        <v>51</v>
      </c>
      <c r="F1" t="s">
        <v>52</v>
      </c>
      <c r="G1" t="s">
        <v>53</v>
      </c>
    </row>
    <row r="2" spans="1:7" x14ac:dyDescent="0.35">
      <c r="B2" t="s">
        <v>50</v>
      </c>
      <c r="C2" t="s">
        <v>50</v>
      </c>
      <c r="F2" t="s">
        <v>50</v>
      </c>
    </row>
    <row r="3" spans="1:7" x14ac:dyDescent="0.35">
      <c r="A3">
        <v>1</v>
      </c>
      <c r="B3">
        <f>1/6</f>
        <v>0.16666666666666666</v>
      </c>
      <c r="C3">
        <f>1-B3</f>
        <v>0.83333333333333337</v>
      </c>
      <c r="D3">
        <f>C3</f>
        <v>0.83333333333333337</v>
      </c>
      <c r="E3">
        <f>D3</f>
        <v>0.83333333333333337</v>
      </c>
      <c r="F3">
        <f>E3*E4*E8</f>
        <v>0.69390860768175588</v>
      </c>
      <c r="G3">
        <f>EXP(-LN(1/F3)*5)</f>
        <v>0.16088345118414549</v>
      </c>
    </row>
    <row r="4" spans="1:7" x14ac:dyDescent="0.35">
      <c r="A4">
        <v>2</v>
      </c>
      <c r="B4">
        <f t="shared" ref="B4:B8" si="0">1/6</f>
        <v>0.16666666666666666</v>
      </c>
      <c r="C4">
        <f t="shared" ref="C4:C8" si="1">1-B4</f>
        <v>0.83333333333333337</v>
      </c>
      <c r="D4">
        <f>C4</f>
        <v>0.83333333333333337</v>
      </c>
      <c r="E4">
        <f>1-(1-D4)*(1-D5)*(1-D7)</f>
        <v>0.99922839506172845</v>
      </c>
    </row>
    <row r="5" spans="1:7" x14ac:dyDescent="0.35">
      <c r="A5">
        <v>3</v>
      </c>
      <c r="B5">
        <f t="shared" si="0"/>
        <v>0.16666666666666666</v>
      </c>
      <c r="C5">
        <f t="shared" si="1"/>
        <v>0.83333333333333337</v>
      </c>
      <c r="D5">
        <f>1-(1-C5)*(1-C6)</f>
        <v>0.97222222222222221</v>
      </c>
    </row>
    <row r="6" spans="1:7" x14ac:dyDescent="0.35">
      <c r="A6">
        <v>4</v>
      </c>
      <c r="B6">
        <f t="shared" si="0"/>
        <v>0.16666666666666666</v>
      </c>
      <c r="C6">
        <f t="shared" si="1"/>
        <v>0.83333333333333337</v>
      </c>
    </row>
    <row r="7" spans="1:7" x14ac:dyDescent="0.35">
      <c r="A7">
        <v>5</v>
      </c>
      <c r="B7">
        <f t="shared" si="0"/>
        <v>0.16666666666666666</v>
      </c>
      <c r="C7">
        <f t="shared" si="1"/>
        <v>0.83333333333333337</v>
      </c>
      <c r="D7">
        <f>C7</f>
        <v>0.83333333333333337</v>
      </c>
    </row>
    <row r="8" spans="1:7" x14ac:dyDescent="0.35">
      <c r="A8">
        <v>6</v>
      </c>
      <c r="B8">
        <f t="shared" si="0"/>
        <v>0.16666666666666666</v>
      </c>
      <c r="C8">
        <f t="shared" si="1"/>
        <v>0.83333333333333337</v>
      </c>
      <c r="D8">
        <f>C8</f>
        <v>0.83333333333333337</v>
      </c>
      <c r="E8">
        <f>D8</f>
        <v>0.83333333333333337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H23" sqref="H23"/>
    </sheetView>
  </sheetViews>
  <sheetFormatPr defaultRowHeight="14.5" x14ac:dyDescent="0.35"/>
  <cols>
    <col min="2" max="2" width="10.1796875" bestFit="1" customWidth="1"/>
    <col min="3" max="3" width="14" bestFit="1" customWidth="1"/>
  </cols>
  <sheetData>
    <row r="1" spans="1:14" x14ac:dyDescent="0.35">
      <c r="A1" t="s">
        <v>54</v>
      </c>
    </row>
    <row r="2" spans="1:14" x14ac:dyDescent="0.35">
      <c r="B2" s="74" t="s">
        <v>23</v>
      </c>
      <c r="C2" t="s">
        <v>55</v>
      </c>
    </row>
    <row r="3" spans="1:14" x14ac:dyDescent="0.35">
      <c r="B3">
        <v>1</v>
      </c>
      <c r="C3">
        <f>5/6</f>
        <v>0.83333333333333337</v>
      </c>
      <c r="I3">
        <f>C3</f>
        <v>0.83333333333333337</v>
      </c>
      <c r="J3">
        <f>I3*I4*I8</f>
        <v>0.69390860768175588</v>
      </c>
    </row>
    <row r="4" spans="1:14" x14ac:dyDescent="0.35">
      <c r="B4">
        <v>2</v>
      </c>
      <c r="C4">
        <f>C3</f>
        <v>0.83333333333333337</v>
      </c>
      <c r="F4">
        <f>C4</f>
        <v>0.83333333333333337</v>
      </c>
      <c r="G4">
        <f>1-F4</f>
        <v>0.16666666666666663</v>
      </c>
      <c r="H4">
        <f>G4*G5*G7</f>
        <v>7.716049382716049E-4</v>
      </c>
      <c r="I4">
        <f>1-H4</f>
        <v>0.99922839506172845</v>
      </c>
      <c r="N4" s="75"/>
    </row>
    <row r="5" spans="1:14" x14ac:dyDescent="0.35">
      <c r="B5">
        <v>3</v>
      </c>
      <c r="C5">
        <f t="shared" ref="C5:C8" si="0">C4</f>
        <v>0.83333333333333337</v>
      </c>
      <c r="D5">
        <f>1-C5</f>
        <v>0.16666666666666663</v>
      </c>
      <c r="E5">
        <f>D5*D6</f>
        <v>2.7777777777777766E-2</v>
      </c>
      <c r="F5">
        <f>1-E5</f>
        <v>0.97222222222222221</v>
      </c>
      <c r="G5">
        <f>1-F5</f>
        <v>2.777777777777779E-2</v>
      </c>
      <c r="N5" s="75"/>
    </row>
    <row r="6" spans="1:14" x14ac:dyDescent="0.35">
      <c r="B6">
        <v>4</v>
      </c>
      <c r="C6">
        <f t="shared" si="0"/>
        <v>0.83333333333333337</v>
      </c>
      <c r="D6">
        <f>1-C6</f>
        <v>0.16666666666666663</v>
      </c>
      <c r="N6" s="75"/>
    </row>
    <row r="7" spans="1:14" x14ac:dyDescent="0.35">
      <c r="B7">
        <v>5</v>
      </c>
      <c r="C7">
        <f t="shared" si="0"/>
        <v>0.83333333333333337</v>
      </c>
      <c r="F7">
        <f>C7</f>
        <v>0.83333333333333337</v>
      </c>
      <c r="G7">
        <f>1-F7</f>
        <v>0.16666666666666663</v>
      </c>
      <c r="N7" s="75"/>
    </row>
    <row r="8" spans="1:14" x14ac:dyDescent="0.35">
      <c r="B8">
        <v>6</v>
      </c>
      <c r="C8">
        <f t="shared" si="0"/>
        <v>0.83333333333333337</v>
      </c>
      <c r="I8">
        <f>C8</f>
        <v>0.83333333333333337</v>
      </c>
      <c r="N8" s="75"/>
    </row>
    <row r="9" spans="1:14" x14ac:dyDescent="0.35">
      <c r="N9" s="75"/>
    </row>
    <row r="10" spans="1:14" x14ac:dyDescent="0.35">
      <c r="B10" t="s">
        <v>56</v>
      </c>
      <c r="C10">
        <f>-LN(C3)</f>
        <v>0.18232155679395459</v>
      </c>
      <c r="J10" s="76"/>
      <c r="K10" s="77"/>
    </row>
    <row r="13" spans="1:14" x14ac:dyDescent="0.35">
      <c r="B13" s="74" t="s">
        <v>23</v>
      </c>
      <c r="C13" t="s">
        <v>57</v>
      </c>
      <c r="D13">
        <v>5</v>
      </c>
    </row>
    <row r="14" spans="1:14" x14ac:dyDescent="0.35">
      <c r="B14">
        <v>1</v>
      </c>
      <c r="C14">
        <f>EXP(-$C$10*$D$13)</f>
        <v>0.40187757201646096</v>
      </c>
      <c r="I14">
        <f>C14</f>
        <v>0.40187757201646096</v>
      </c>
      <c r="J14" s="78">
        <f>I14*I15*I19</f>
        <v>0.14083523005646192</v>
      </c>
    </row>
    <row r="15" spans="1:14" x14ac:dyDescent="0.35">
      <c r="B15">
        <v>2</v>
      </c>
      <c r="C15">
        <f t="shared" ref="C15:C19" si="1">EXP(-$C$10*$D$13)</f>
        <v>0.40187757201646096</v>
      </c>
      <c r="F15">
        <f>C15</f>
        <v>0.40187757201646096</v>
      </c>
      <c r="G15">
        <f>1-F15</f>
        <v>0.5981224279835391</v>
      </c>
      <c r="H15">
        <f>G15*G16*G18</f>
        <v>0.12798537650232167</v>
      </c>
      <c r="I15">
        <f>1-H15</f>
        <v>0.87201462349767833</v>
      </c>
    </row>
    <row r="16" spans="1:14" x14ac:dyDescent="0.35">
      <c r="B16">
        <v>3</v>
      </c>
      <c r="C16">
        <f t="shared" si="1"/>
        <v>0.40187757201646096</v>
      </c>
      <c r="D16">
        <f>1-C16</f>
        <v>0.5981224279835391</v>
      </c>
      <c r="E16">
        <f>D16*D17</f>
        <v>0.35775043885692392</v>
      </c>
      <c r="F16">
        <f>1-E16</f>
        <v>0.64224956114307608</v>
      </c>
      <c r="G16">
        <f>1-F16</f>
        <v>0.35775043885692392</v>
      </c>
    </row>
    <row r="17" spans="1:15" x14ac:dyDescent="0.35">
      <c r="B17">
        <v>4</v>
      </c>
      <c r="C17">
        <f t="shared" si="1"/>
        <v>0.40187757201646096</v>
      </c>
      <c r="D17">
        <f>1-C17</f>
        <v>0.5981224279835391</v>
      </c>
    </row>
    <row r="18" spans="1:15" x14ac:dyDescent="0.35">
      <c r="B18">
        <v>5</v>
      </c>
      <c r="C18">
        <f t="shared" si="1"/>
        <v>0.40187757201646096</v>
      </c>
      <c r="F18">
        <f>C18</f>
        <v>0.40187757201646096</v>
      </c>
      <c r="G18">
        <f>1-F18</f>
        <v>0.5981224279835391</v>
      </c>
    </row>
    <row r="19" spans="1:15" x14ac:dyDescent="0.35">
      <c r="B19">
        <v>6</v>
      </c>
      <c r="C19">
        <f t="shared" si="1"/>
        <v>0.40187757201646096</v>
      </c>
      <c r="I19">
        <f>C19</f>
        <v>0.40187757201646096</v>
      </c>
    </row>
    <row r="21" spans="1:15" x14ac:dyDescent="0.35">
      <c r="A21" t="s">
        <v>58</v>
      </c>
    </row>
    <row r="23" spans="1:15" x14ac:dyDescent="0.35">
      <c r="B23" t="s">
        <v>48</v>
      </c>
    </row>
    <row r="25" spans="1:15" x14ac:dyDescent="0.35">
      <c r="B25" s="74" t="s">
        <v>23</v>
      </c>
      <c r="C25" t="s">
        <v>55</v>
      </c>
      <c r="K25" t="s">
        <v>59</v>
      </c>
      <c r="M25" t="s">
        <v>60</v>
      </c>
      <c r="N25" t="s">
        <v>61</v>
      </c>
    </row>
    <row r="26" spans="1:15" x14ac:dyDescent="0.35">
      <c r="B26">
        <v>1</v>
      </c>
      <c r="C26">
        <f>5/6+5/6*5%</f>
        <v>0.875</v>
      </c>
      <c r="I26">
        <f>C26</f>
        <v>0.875</v>
      </c>
      <c r="J26" s="78">
        <f>I26*I27*I31</f>
        <v>0.76503423996913578</v>
      </c>
      <c r="K26">
        <f>1-J26</f>
        <v>0.23496576003086422</v>
      </c>
      <c r="M26">
        <v>30</v>
      </c>
      <c r="N26">
        <f>M26*K26</f>
        <v>7.0489728009259265</v>
      </c>
      <c r="O26" t="s">
        <v>62</v>
      </c>
    </row>
    <row r="27" spans="1:15" x14ac:dyDescent="0.35">
      <c r="B27">
        <v>2</v>
      </c>
      <c r="C27">
        <f t="shared" ref="C27:C30" si="2">5/6</f>
        <v>0.83333333333333337</v>
      </c>
      <c r="F27">
        <f>C27</f>
        <v>0.83333333333333337</v>
      </c>
      <c r="G27">
        <f>1-F27</f>
        <v>0.16666666666666663</v>
      </c>
      <c r="H27">
        <f>G27*G28*G30</f>
        <v>7.716049382716049E-4</v>
      </c>
      <c r="I27">
        <f>1-H27</f>
        <v>0.99922839506172845</v>
      </c>
      <c r="J27">
        <v>0.76500000000000001</v>
      </c>
      <c r="K27">
        <f>1-J27</f>
        <v>0.23499999999999999</v>
      </c>
      <c r="N27" s="79">
        <f>M26*K27</f>
        <v>7.05</v>
      </c>
    </row>
    <row r="28" spans="1:15" x14ac:dyDescent="0.35">
      <c r="B28">
        <v>3</v>
      </c>
      <c r="C28">
        <f t="shared" si="2"/>
        <v>0.83333333333333337</v>
      </c>
      <c r="D28">
        <f>1-C28</f>
        <v>0.16666666666666663</v>
      </c>
      <c r="E28">
        <f>D28*D29</f>
        <v>2.7777777777777766E-2</v>
      </c>
      <c r="F28">
        <f>1-E28</f>
        <v>0.97222222222222221</v>
      </c>
      <c r="G28">
        <f>1-F28</f>
        <v>2.777777777777779E-2</v>
      </c>
    </row>
    <row r="29" spans="1:15" x14ac:dyDescent="0.35">
      <c r="B29">
        <v>4</v>
      </c>
      <c r="C29">
        <f t="shared" si="2"/>
        <v>0.83333333333333337</v>
      </c>
      <c r="D29">
        <f>1-C29</f>
        <v>0.16666666666666663</v>
      </c>
    </row>
    <row r="30" spans="1:15" x14ac:dyDescent="0.35">
      <c r="B30">
        <v>5</v>
      </c>
      <c r="C30">
        <f t="shared" si="2"/>
        <v>0.83333333333333337</v>
      </c>
      <c r="F30">
        <f>C30</f>
        <v>0.83333333333333337</v>
      </c>
      <c r="G30">
        <f>1-F30</f>
        <v>0.16666666666666663</v>
      </c>
    </row>
    <row r="31" spans="1:15" x14ac:dyDescent="0.35">
      <c r="B31">
        <v>6</v>
      </c>
      <c r="C31">
        <f>5/6+5/6*5%</f>
        <v>0.875</v>
      </c>
      <c r="I31">
        <f>C31</f>
        <v>0.875</v>
      </c>
    </row>
    <row r="33" spans="2:15" x14ac:dyDescent="0.35">
      <c r="B33" t="s">
        <v>63</v>
      </c>
    </row>
    <row r="35" spans="2:15" x14ac:dyDescent="0.35">
      <c r="B35" s="74" t="s">
        <v>23</v>
      </c>
      <c r="C35" t="s">
        <v>55</v>
      </c>
      <c r="K35" t="s">
        <v>59</v>
      </c>
      <c r="M35" t="s">
        <v>60</v>
      </c>
      <c r="N35" t="s">
        <v>61</v>
      </c>
    </row>
    <row r="36" spans="2:15" x14ac:dyDescent="0.35">
      <c r="B36">
        <v>1</v>
      </c>
      <c r="C36">
        <f>5/6</f>
        <v>0.83333333333333337</v>
      </c>
      <c r="I36">
        <f>C36</f>
        <v>0.83333333333333337</v>
      </c>
      <c r="J36" s="80">
        <f>I36*I37*I41</f>
        <v>0.69437500000000008</v>
      </c>
      <c r="K36">
        <f>1-J36</f>
        <v>0.30562499999999992</v>
      </c>
      <c r="M36">
        <v>30</v>
      </c>
      <c r="N36">
        <f>M36*K36</f>
        <v>9.1687499999999975</v>
      </c>
      <c r="O36" t="s">
        <v>62</v>
      </c>
    </row>
    <row r="37" spans="2:15" x14ac:dyDescent="0.35">
      <c r="B37">
        <v>2</v>
      </c>
      <c r="C37">
        <f>5/6+5/6*8%</f>
        <v>0.9</v>
      </c>
      <c r="F37">
        <f>C37</f>
        <v>0.9</v>
      </c>
      <c r="G37">
        <f>1-F37</f>
        <v>9.9999999999999978E-2</v>
      </c>
      <c r="H37">
        <f>G37*G38*G40</f>
        <v>1.0000000000000005E-4</v>
      </c>
      <c r="I37">
        <f>1-H37</f>
        <v>0.99990000000000001</v>
      </c>
      <c r="J37">
        <v>0.69399999999999995</v>
      </c>
      <c r="K37">
        <f>1-J37</f>
        <v>0.30600000000000005</v>
      </c>
      <c r="N37" s="79">
        <f>M36*K37</f>
        <v>9.1800000000000015</v>
      </c>
    </row>
    <row r="38" spans="2:15" x14ac:dyDescent="0.35">
      <c r="B38">
        <v>3</v>
      </c>
      <c r="C38">
        <f t="shared" ref="C38:C40" si="3">5/6+5/6*8%</f>
        <v>0.9</v>
      </c>
      <c r="D38">
        <f>1-C38</f>
        <v>9.9999999999999978E-2</v>
      </c>
      <c r="E38">
        <f>D38*D39</f>
        <v>9.999999999999995E-3</v>
      </c>
      <c r="F38">
        <f>1-E38</f>
        <v>0.99</v>
      </c>
      <c r="G38">
        <f>1-F38</f>
        <v>1.0000000000000009E-2</v>
      </c>
    </row>
    <row r="39" spans="2:15" x14ac:dyDescent="0.35">
      <c r="B39">
        <v>4</v>
      </c>
      <c r="C39">
        <f t="shared" si="3"/>
        <v>0.9</v>
      </c>
      <c r="D39">
        <f>1-C39</f>
        <v>9.9999999999999978E-2</v>
      </c>
    </row>
    <row r="40" spans="2:15" x14ac:dyDescent="0.35">
      <c r="B40">
        <v>5</v>
      </c>
      <c r="C40">
        <f t="shared" si="3"/>
        <v>0.9</v>
      </c>
      <c r="F40">
        <f>C40</f>
        <v>0.9</v>
      </c>
      <c r="G40">
        <f>1-F40</f>
        <v>9.9999999999999978E-2</v>
      </c>
    </row>
    <row r="41" spans="2:15" x14ac:dyDescent="0.35">
      <c r="B41">
        <v>6</v>
      </c>
      <c r="C41">
        <f>5/6</f>
        <v>0.83333333333333337</v>
      </c>
      <c r="I41">
        <f>C41</f>
        <v>0.83333333333333337</v>
      </c>
    </row>
    <row r="44" spans="2:15" x14ac:dyDescent="0.35">
      <c r="B44" t="s">
        <v>64</v>
      </c>
    </row>
    <row r="46" spans="2:15" x14ac:dyDescent="0.35">
      <c r="B46" t="s">
        <v>48</v>
      </c>
    </row>
    <row r="47" spans="2:15" x14ac:dyDescent="0.35">
      <c r="B47" s="74" t="s">
        <v>23</v>
      </c>
      <c r="C47" t="s">
        <v>57</v>
      </c>
      <c r="K47" t="s">
        <v>59</v>
      </c>
      <c r="M47" t="s">
        <v>60</v>
      </c>
      <c r="N47" t="s">
        <v>61</v>
      </c>
    </row>
    <row r="48" spans="2:15" x14ac:dyDescent="0.35">
      <c r="B48">
        <v>1</v>
      </c>
      <c r="C48">
        <f>EXP(-$C$10*5)+EXP(-$C$10*5)*5%</f>
        <v>0.42197145061728403</v>
      </c>
      <c r="I48">
        <f>C48</f>
        <v>0.42197145061728403</v>
      </c>
      <c r="J48">
        <f>I48*I49*I53</f>
        <v>0.15527084113724929</v>
      </c>
      <c r="K48">
        <f>1-J48</f>
        <v>0.84472915886275068</v>
      </c>
      <c r="M48">
        <v>30</v>
      </c>
      <c r="N48">
        <f>M48*K48</f>
        <v>25.341874765882519</v>
      </c>
      <c r="O48" t="s">
        <v>62</v>
      </c>
    </row>
    <row r="49" spans="2:15" x14ac:dyDescent="0.35">
      <c r="B49">
        <v>2</v>
      </c>
      <c r="C49">
        <f>EXP(-$C$10*5)</f>
        <v>0.40187757201646096</v>
      </c>
      <c r="F49">
        <f>C49</f>
        <v>0.40187757201646096</v>
      </c>
      <c r="G49">
        <f>1-F49</f>
        <v>0.5981224279835391</v>
      </c>
      <c r="H49">
        <f>G49*G50*G52</f>
        <v>0.12798537650232167</v>
      </c>
      <c r="I49">
        <f>1-H49</f>
        <v>0.87201462349767833</v>
      </c>
      <c r="J49">
        <v>0.155</v>
      </c>
      <c r="K49">
        <f>1-J49</f>
        <v>0.84499999999999997</v>
      </c>
      <c r="N49">
        <f>M48*K49</f>
        <v>25.349999999999998</v>
      </c>
    </row>
    <row r="50" spans="2:15" x14ac:dyDescent="0.35">
      <c r="B50">
        <v>3</v>
      </c>
      <c r="C50">
        <f>EXP(-$C$10*5)</f>
        <v>0.40187757201646096</v>
      </c>
      <c r="D50">
        <f>1-C50</f>
        <v>0.5981224279835391</v>
      </c>
      <c r="E50">
        <f>D50*D51</f>
        <v>0.35775043885692392</v>
      </c>
      <c r="F50">
        <f>1-E50</f>
        <v>0.64224956114307608</v>
      </c>
      <c r="G50">
        <f>1-F50</f>
        <v>0.35775043885692392</v>
      </c>
    </row>
    <row r="51" spans="2:15" x14ac:dyDescent="0.35">
      <c r="B51">
        <v>4</v>
      </c>
      <c r="C51">
        <f>EXP(-$C$10*5)</f>
        <v>0.40187757201646096</v>
      </c>
      <c r="D51">
        <f>1-C51</f>
        <v>0.5981224279835391</v>
      </c>
    </row>
    <row r="52" spans="2:15" x14ac:dyDescent="0.35">
      <c r="B52">
        <v>5</v>
      </c>
      <c r="C52">
        <f>EXP(-$C$10*5)</f>
        <v>0.40187757201646096</v>
      </c>
      <c r="F52">
        <f>C52</f>
        <v>0.40187757201646096</v>
      </c>
      <c r="G52">
        <f>1-F52</f>
        <v>0.5981224279835391</v>
      </c>
    </row>
    <row r="53" spans="2:15" x14ac:dyDescent="0.35">
      <c r="B53">
        <v>6</v>
      </c>
      <c r="C53">
        <f>EXP(-$C$10*5)+EXP(-$C$10*5)*5%</f>
        <v>0.42197145061728403</v>
      </c>
      <c r="I53">
        <f>C53</f>
        <v>0.42197145061728403</v>
      </c>
    </row>
    <row r="56" spans="2:15" x14ac:dyDescent="0.35">
      <c r="B56" t="s">
        <v>63</v>
      </c>
    </row>
    <row r="57" spans="2:15" x14ac:dyDescent="0.35">
      <c r="B57" s="74" t="s">
        <v>23</v>
      </c>
      <c r="C57" t="s">
        <v>57</v>
      </c>
      <c r="K57" t="s">
        <v>59</v>
      </c>
      <c r="M57" t="s">
        <v>60</v>
      </c>
      <c r="N57" t="s">
        <v>61</v>
      </c>
    </row>
    <row r="58" spans="2:15" x14ac:dyDescent="0.35">
      <c r="B58">
        <v>1</v>
      </c>
      <c r="C58">
        <f>EXP(-$C$10*5)</f>
        <v>0.40187757201646096</v>
      </c>
      <c r="I58">
        <f>C58</f>
        <v>0.40187757201646096</v>
      </c>
      <c r="J58">
        <f>I58*I59*I63</f>
        <v>0.14493384688781163</v>
      </c>
      <c r="K58">
        <f>1-J58</f>
        <v>0.85506615311218837</v>
      </c>
      <c r="M58">
        <v>30</v>
      </c>
      <c r="N58">
        <f>M58*K58</f>
        <v>25.651984593365651</v>
      </c>
      <c r="O58" t="s">
        <v>62</v>
      </c>
    </row>
    <row r="59" spans="2:15" x14ac:dyDescent="0.35">
      <c r="B59">
        <v>2</v>
      </c>
      <c r="C59">
        <f>EXP(-$C$10*5)+EXP(-$C$10*5)*8%</f>
        <v>0.43402777777777785</v>
      </c>
      <c r="F59">
        <f>C59</f>
        <v>0.43402777777777785</v>
      </c>
      <c r="G59">
        <f>1-F59</f>
        <v>0.5659722222222221</v>
      </c>
      <c r="H59">
        <f>G59*G60*G62</f>
        <v>0.10260782138619214</v>
      </c>
      <c r="I59">
        <f>1-H59</f>
        <v>0.89739217861380782</v>
      </c>
      <c r="J59">
        <v>0.14499999999999999</v>
      </c>
      <c r="K59">
        <f>1-J59</f>
        <v>0.85499999999999998</v>
      </c>
      <c r="N59">
        <f>M58*K59</f>
        <v>25.65</v>
      </c>
    </row>
    <row r="60" spans="2:15" x14ac:dyDescent="0.35">
      <c r="B60">
        <v>3</v>
      </c>
      <c r="C60">
        <f t="shared" ref="C60:C62" si="4">EXP(-$C$10*5)+EXP(-$C$10*5)*8%</f>
        <v>0.43402777777777785</v>
      </c>
      <c r="D60">
        <f>1-C60</f>
        <v>0.5659722222222221</v>
      </c>
      <c r="E60">
        <f>D60*D61</f>
        <v>0.32032455632716034</v>
      </c>
      <c r="F60">
        <f>1-E60</f>
        <v>0.67967544367283961</v>
      </c>
      <c r="G60">
        <f>1-F60</f>
        <v>0.32032455632716039</v>
      </c>
    </row>
    <row r="61" spans="2:15" x14ac:dyDescent="0.35">
      <c r="B61">
        <v>4</v>
      </c>
      <c r="C61">
        <f t="shared" si="4"/>
        <v>0.43402777777777785</v>
      </c>
      <c r="D61">
        <f>1-C61</f>
        <v>0.5659722222222221</v>
      </c>
    </row>
    <row r="62" spans="2:15" x14ac:dyDescent="0.35">
      <c r="B62">
        <v>5</v>
      </c>
      <c r="C62">
        <f t="shared" si="4"/>
        <v>0.43402777777777785</v>
      </c>
      <c r="F62">
        <f>C62</f>
        <v>0.43402777777777785</v>
      </c>
      <c r="G62">
        <f>1-F62</f>
        <v>0.5659722222222221</v>
      </c>
    </row>
    <row r="63" spans="2:15" x14ac:dyDescent="0.35">
      <c r="B63">
        <v>6</v>
      </c>
      <c r="C63">
        <f>EXP(-$C$10*5)</f>
        <v>0.40187757201646096</v>
      </c>
      <c r="I63">
        <f>C63</f>
        <v>0.40187757201646096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tabSelected="1" workbookViewId="0">
      <selection activeCell="K13" sqref="K13"/>
    </sheetView>
  </sheetViews>
  <sheetFormatPr defaultRowHeight="14.5" x14ac:dyDescent="0.35"/>
  <sheetData>
    <row r="2" spans="2:12" ht="116" x14ac:dyDescent="0.35">
      <c r="B2" s="81" t="s">
        <v>65</v>
      </c>
      <c r="C2" s="82" t="s">
        <v>24</v>
      </c>
      <c r="D2" s="82" t="s">
        <v>66</v>
      </c>
      <c r="E2" s="82" t="s">
        <v>67</v>
      </c>
      <c r="F2" s="82" t="s">
        <v>68</v>
      </c>
      <c r="G2" s="82" t="s">
        <v>69</v>
      </c>
      <c r="H2" s="82" t="s">
        <v>70</v>
      </c>
      <c r="I2" s="82" t="s">
        <v>71</v>
      </c>
      <c r="J2" s="82" t="s">
        <v>72</v>
      </c>
      <c r="K2" s="82" t="s">
        <v>73</v>
      </c>
      <c r="L2" s="82" t="s">
        <v>74</v>
      </c>
    </row>
    <row r="3" spans="2:12" x14ac:dyDescent="0.35">
      <c r="B3" s="72" t="s">
        <v>0</v>
      </c>
      <c r="C3" s="72">
        <v>15</v>
      </c>
      <c r="D3" s="72">
        <v>0.95</v>
      </c>
      <c r="E3" s="72">
        <v>0.9</v>
      </c>
      <c r="F3" s="72">
        <f>+E3*D3</f>
        <v>0.85499999999999998</v>
      </c>
      <c r="G3" s="72">
        <f>1-F3</f>
        <v>0.14500000000000002</v>
      </c>
      <c r="H3" s="72">
        <v>100</v>
      </c>
      <c r="I3" s="83">
        <f>+H3*G3</f>
        <v>14.500000000000002</v>
      </c>
      <c r="J3" s="83">
        <v>0</v>
      </c>
      <c r="K3" s="83">
        <v>0</v>
      </c>
      <c r="L3" s="83"/>
    </row>
    <row r="4" spans="2:12" x14ac:dyDescent="0.35">
      <c r="B4" s="84" t="s">
        <v>1</v>
      </c>
      <c r="C4" s="84">
        <v>19</v>
      </c>
      <c r="D4" s="83">
        <v>0.95</v>
      </c>
      <c r="E4" s="84">
        <f>+E3</f>
        <v>0.9</v>
      </c>
      <c r="F4" s="84">
        <f>+E4*(1-(1-D4)*(1-D5))</f>
        <v>0.89774999999999994</v>
      </c>
      <c r="G4" s="84">
        <f>1-F4</f>
        <v>0.10225000000000006</v>
      </c>
      <c r="H4" s="84">
        <f>+H3</f>
        <v>100</v>
      </c>
      <c r="I4" s="84">
        <f>+H4*G4</f>
        <v>10.225000000000007</v>
      </c>
      <c r="J4" s="84">
        <f>+C4-C3</f>
        <v>4</v>
      </c>
      <c r="K4" s="84">
        <f>+I3-I4</f>
        <v>4.274999999999995</v>
      </c>
      <c r="L4" s="84">
        <f>+K4-J4</f>
        <v>0.27499999999999503</v>
      </c>
    </row>
    <row r="5" spans="2:12" x14ac:dyDescent="0.35">
      <c r="B5" s="84"/>
      <c r="C5" s="84"/>
      <c r="D5" s="83">
        <v>0.95</v>
      </c>
      <c r="E5" s="84"/>
      <c r="F5" s="84"/>
      <c r="G5" s="84"/>
      <c r="H5" s="84"/>
      <c r="I5" s="84"/>
      <c r="J5" s="84"/>
      <c r="K5" s="84"/>
      <c r="L5" s="84"/>
    </row>
  </sheetData>
  <mergeCells count="10">
    <mergeCell ref="I4:I5"/>
    <mergeCell ref="J4:J5"/>
    <mergeCell ref="K4:K5"/>
    <mergeCell ref="L4:L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1.4</vt:lpstr>
      <vt:lpstr>1.5</vt:lpstr>
      <vt:lpstr>1.6</vt:lpstr>
    </vt:vector>
  </TitlesOfParts>
  <Company>ETH Zuerich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fernandn</dc:creator>
  <cp:lastModifiedBy>Le Thanh  Nam</cp:lastModifiedBy>
  <dcterms:created xsi:type="dcterms:W3CDTF">2010-11-08T20:55:00Z</dcterms:created>
  <dcterms:modified xsi:type="dcterms:W3CDTF">2014-10-31T10:32:14Z</dcterms:modified>
</cp:coreProperties>
</file>