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Git\Lectures\2023-NHA-TRANG-Data-Analytics-for-Managers\Du-Lieu\Bao-Hiem\"/>
    </mc:Choice>
  </mc:AlternateContent>
  <xr:revisionPtr revIDLastSave="0" documentId="13_ncr:1_{9E246D02-43B7-4B4E-8FA2-B3C4E709259D}" xr6:coauthVersionLast="47" xr6:coauthVersionMax="47" xr10:uidLastSave="{00000000-0000-0000-0000-000000000000}"/>
  <bookViews>
    <workbookView xWindow="28680" yWindow="-8550" windowWidth="29040" windowHeight="15720" xr2:uid="{10B5EDF1-7213-4714-A16C-DAF877EE2D0B}"/>
  </bookViews>
  <sheets>
    <sheet name="Sale" sheetId="3" r:id="rId1"/>
    <sheet name="KH" sheetId="1" r:id="rId2"/>
    <sheet name="Chung" sheetId="2" r:id="rId3"/>
    <sheet name="Can-Bo-Refer" sheetId="4" r:id="rId4"/>
    <sheet name="Don-Vi" sheetId="5" r:id="rId5"/>
    <sheet name="Nhan-Vien-Sale" sheetId="6" r:id="rId6"/>
    <sheet name="RM" sheetId="10" r:id="rId7"/>
    <sheet name="RM-TRUNG" sheetId="11" r:id="rId8"/>
    <sheet name="NV-Sale" sheetId="8" r:id="rId9"/>
    <sheet name="DAO" sheetId="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9" hidden="1">DAO!$A$1:$C$1</definedName>
    <definedName name="_xlnm._FilterDatabase" localSheetId="7" hidden="1">'RM-TRUNG'!$B$1:$M$69</definedName>
    <definedName name="asd" localSheetId="7">OFFSET(#REF!,0,0,COUNTA(#REF! )-COUNTIF(#REF!,""),1)</definedName>
    <definedName name="asd">OFFSET(#REF!,0,0,COUNTA(#REF! )-COUNTIF(#REF!,""),1)</definedName>
    <definedName name="BPHI_DT">"BPHI_DT"</definedName>
    <definedName name="BS" localSheetId="7">#REF!</definedName>
    <definedName name="BS">#REF!</definedName>
    <definedName name="BSTT">"BSTT"</definedName>
    <definedName name="CD">[1]Sheet1!$A$2:$A$24</definedName>
    <definedName name="CHUCVU" localSheetId="7">#REF!</definedName>
    <definedName name="CHUCVU">#REF!</definedName>
    <definedName name="dkdp" localSheetId="7">#REF!</definedName>
    <definedName name="dkdp">#REF!</definedName>
    <definedName name="FYMonthNo" localSheetId="7">IF(FYMonthStart="JAN",1,IF(FYMonthStart="FEB",2,IF(FYMonthStart="MAR",3,IF(FYMonthStart="APR",4,IF(FYMonthStart="MAY",5,IF(FYMonthStart="JUN",6,IF(FYMonthStart="JUL",7,IF(FYMonthStart="AUG",8,IF(FYMonthStart="SEP",9,IF(FYMonthStart="OCT",10,IF(FYMonthStart="NOV",11,12)))))))))))</definedName>
    <definedName name="FYMonthNo">IF(FYMonthStart="JAN",1,IF(FYMonthStart="FEB",2,IF(FYMonthStart="MAR",3,IF(FYMonthStart="APR",4,IF(FYMonthStart="MAY",5,IF(FYMonthStart="JUN",6,IF(FYMonthStart="JUL",7,IF(FYMonthStart="AUG",8,IF(FYMonthStart="SEP",9,IF(FYMonthStart="OCT",10,IF(FYMonthStart="NOV",11,12)))))))))))</definedName>
    <definedName name="FYMonthStart">'[2]Revenues (Sales)'!$F$2</definedName>
    <definedName name="FYStartYear">'[2]Revenues (Sales)'!$G$2</definedName>
    <definedName name="h" localSheetId="7">#REF!</definedName>
    <definedName name="h">#REF!</definedName>
    <definedName name="NGocdiep" localSheetId="7">OFFSET(#REF!,0,0,COUNTA(#REF! )-COUNTIF(#REF!,""),1)</definedName>
    <definedName name="NGocdiep">OFFSET(#REF!,0,0,COUNTA(#REF! )-COUNTIF(#REF!,""),1)</definedName>
    <definedName name="PENDING" localSheetId="7">#REF!</definedName>
    <definedName name="PENDING">#REF!</definedName>
    <definedName name="PhanloaiKHOCB">[3]Sheet2!$B$3:$B$6</definedName>
    <definedName name="ss">OFFSET(#REF!,0,0,COUNTA(#REF! )-COUNTIF(#REF!,""),1)</definedName>
    <definedName name="ssss" localSheetId="7">OFFSET(#REF!,0,0,COUNTA(#REF! )-COUNTIF(#REF!,""),1)</definedName>
    <definedName name="ssss">OFFSET(#REF!,0,0,COUNTA(#REF! )-COUNTIF(#REF!,""),1)</definedName>
    <definedName name="tuchoi" localSheetId="7">#REF!</definedName>
    <definedName name="tuchoi">#REF!</definedName>
    <definedName name="Type" localSheetId="7">#REF!</definedName>
    <definedName name="Type">#REF!</definedName>
    <definedName name="Typevalist" localSheetId="7">OFFSET(#REF!,0,0,COUNTA(#REF! )-COUNTIF(#REF!,""),1)</definedName>
    <definedName name="Typevalist">OFFSET(#REF!,0,0,COUNTA(#REF! )-COUNTIF(#REF!,""),1)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3" l="1"/>
  <c r="D21" i="3"/>
  <c r="D24" i="3"/>
  <c r="D25" i="3"/>
  <c r="D26" i="3"/>
  <c r="D44" i="3"/>
  <c r="D46" i="3"/>
  <c r="D47" i="3"/>
  <c r="D61" i="3"/>
  <c r="D64" i="3"/>
  <c r="D65" i="3"/>
  <c r="D66" i="3"/>
  <c r="D67" i="3"/>
  <c r="D7" i="3"/>
  <c r="B4" i="3"/>
  <c r="F6" i="11"/>
  <c r="F7" i="11"/>
  <c r="F8" i="11"/>
  <c r="F9" i="11"/>
  <c r="F10" i="11"/>
  <c r="F11" i="11"/>
  <c r="F12" i="11"/>
  <c r="F13" i="11"/>
  <c r="F14" i="11"/>
  <c r="F15" i="11"/>
  <c r="F16" i="11"/>
  <c r="F17" i="11"/>
  <c r="F18" i="11"/>
  <c r="F19" i="11"/>
  <c r="F20" i="11"/>
  <c r="F21" i="11"/>
  <c r="E21" i="3" s="1"/>
  <c r="F22" i="11"/>
  <c r="E22" i="3" s="1"/>
  <c r="F23" i="11"/>
  <c r="E23" i="3" s="1"/>
  <c r="F24" i="11"/>
  <c r="F25" i="11"/>
  <c r="E25" i="3" s="1"/>
  <c r="F26" i="11"/>
  <c r="F27" i="11"/>
  <c r="F28" i="11"/>
  <c r="F29" i="11"/>
  <c r="F30" i="11"/>
  <c r="F31" i="11"/>
  <c r="F32" i="11"/>
  <c r="F33" i="11"/>
  <c r="F34" i="11"/>
  <c r="F35" i="11"/>
  <c r="F36" i="11"/>
  <c r="F37" i="11"/>
  <c r="F38" i="11"/>
  <c r="F39" i="11"/>
  <c r="F40" i="11"/>
  <c r="F41" i="11"/>
  <c r="E41" i="3" s="1"/>
  <c r="F42" i="11"/>
  <c r="E42" i="3" s="1"/>
  <c r="F43" i="11"/>
  <c r="E43" i="3" s="1"/>
  <c r="F44" i="11"/>
  <c r="F45" i="11"/>
  <c r="E45" i="3" s="1"/>
  <c r="F46" i="11"/>
  <c r="F47" i="11"/>
  <c r="F48" i="11"/>
  <c r="F49" i="11"/>
  <c r="F50" i="11"/>
  <c r="F51" i="11"/>
  <c r="F52" i="11"/>
  <c r="F53" i="11"/>
  <c r="F54" i="11"/>
  <c r="F55" i="11"/>
  <c r="F56" i="11"/>
  <c r="F57" i="11"/>
  <c r="F58" i="11"/>
  <c r="F59" i="11"/>
  <c r="F60" i="11"/>
  <c r="F61" i="11"/>
  <c r="E61" i="3" s="1"/>
  <c r="F62" i="11"/>
  <c r="E62" i="3" s="1"/>
  <c r="F63" i="11"/>
  <c r="E63" i="3" s="1"/>
  <c r="F64" i="11"/>
  <c r="E64" i="3" s="1"/>
  <c r="F65" i="11"/>
  <c r="E65" i="3" s="1"/>
  <c r="F66" i="11"/>
  <c r="F67" i="11"/>
  <c r="F68" i="11"/>
  <c r="F69" i="11"/>
  <c r="F4" i="11"/>
  <c r="F5" i="11"/>
  <c r="D82" i="1"/>
  <c r="B82" i="1"/>
  <c r="D81" i="1"/>
  <c r="B81" i="1"/>
  <c r="D80" i="1"/>
  <c r="B80" i="1"/>
  <c r="D79" i="1"/>
  <c r="B79" i="1"/>
  <c r="D78" i="1"/>
  <c r="B78" i="1"/>
  <c r="D77" i="1"/>
  <c r="B77" i="1"/>
  <c r="D76" i="1"/>
  <c r="B76" i="1"/>
  <c r="D75" i="1"/>
  <c r="B75" i="1"/>
  <c r="D74" i="1"/>
  <c r="B74" i="1"/>
  <c r="D73" i="1"/>
  <c r="B73" i="1"/>
  <c r="D72" i="1"/>
  <c r="B72" i="1"/>
  <c r="D71" i="1"/>
  <c r="B71" i="1"/>
  <c r="D70" i="1"/>
  <c r="B70" i="1"/>
  <c r="D69" i="1"/>
  <c r="B69" i="1"/>
  <c r="D68" i="1"/>
  <c r="B68" i="1"/>
  <c r="D67" i="1"/>
  <c r="D69" i="3" s="1"/>
  <c r="B67" i="1"/>
  <c r="D66" i="1"/>
  <c r="D68" i="3" s="1"/>
  <c r="B66" i="1"/>
  <c r="D65" i="1"/>
  <c r="B65" i="1"/>
  <c r="D64" i="1"/>
  <c r="B64" i="1"/>
  <c r="D63" i="1"/>
  <c r="B63" i="1"/>
  <c r="D62" i="1"/>
  <c r="B62" i="1"/>
  <c r="D61" i="1"/>
  <c r="D63" i="3" s="1"/>
  <c r="B61" i="1"/>
  <c r="D60" i="1"/>
  <c r="D62" i="3" s="1"/>
  <c r="B60" i="1"/>
  <c r="D59" i="1"/>
  <c r="B59" i="1"/>
  <c r="D58" i="1"/>
  <c r="D60" i="3" s="1"/>
  <c r="B58" i="1"/>
  <c r="D57" i="1"/>
  <c r="D59" i="3" s="1"/>
  <c r="B57" i="1"/>
  <c r="D56" i="1"/>
  <c r="D58" i="3" s="1"/>
  <c r="B56" i="1"/>
  <c r="D55" i="1"/>
  <c r="D57" i="3" s="1"/>
  <c r="B55" i="1"/>
  <c r="D54" i="1"/>
  <c r="D56" i="3" s="1"/>
  <c r="B54" i="1"/>
  <c r="D53" i="1"/>
  <c r="D55" i="3" s="1"/>
  <c r="B53" i="1"/>
  <c r="D52" i="1"/>
  <c r="D54" i="3" s="1"/>
  <c r="B52" i="1"/>
  <c r="D51" i="1"/>
  <c r="D53" i="3" s="1"/>
  <c r="B51" i="1"/>
  <c r="D50" i="1"/>
  <c r="D52" i="3" s="1"/>
  <c r="B50" i="1"/>
  <c r="D49" i="1"/>
  <c r="D51" i="3" s="1"/>
  <c r="B49" i="1"/>
  <c r="D48" i="1"/>
  <c r="D50" i="3" s="1"/>
  <c r="B48" i="1"/>
  <c r="D47" i="1"/>
  <c r="D49" i="3" s="1"/>
  <c r="B47" i="1"/>
  <c r="D46" i="1"/>
  <c r="D48" i="3" s="1"/>
  <c r="B46" i="1"/>
  <c r="D45" i="1"/>
  <c r="B45" i="1"/>
  <c r="D44" i="1"/>
  <c r="B44" i="1"/>
  <c r="D43" i="1"/>
  <c r="D45" i="3" s="1"/>
  <c r="B43" i="1"/>
  <c r="D42" i="1"/>
  <c r="B42" i="1"/>
  <c r="D41" i="1"/>
  <c r="D43" i="3" s="1"/>
  <c r="B41" i="1"/>
  <c r="D40" i="1"/>
  <c r="D42" i="3" s="1"/>
  <c r="B40" i="1"/>
  <c r="D39" i="1"/>
  <c r="D41" i="3" s="1"/>
  <c r="B39" i="1"/>
  <c r="D38" i="1"/>
  <c r="D40" i="3" s="1"/>
  <c r="B38" i="1"/>
  <c r="D37" i="1"/>
  <c r="D39" i="3" s="1"/>
  <c r="B37" i="1"/>
  <c r="D36" i="1"/>
  <c r="D38" i="3" s="1"/>
  <c r="B36" i="1"/>
  <c r="D35" i="1"/>
  <c r="D37" i="3" s="1"/>
  <c r="B35" i="1"/>
  <c r="D34" i="1"/>
  <c r="D36" i="3" s="1"/>
  <c r="B34" i="1"/>
  <c r="D33" i="1"/>
  <c r="D35" i="3" s="1"/>
  <c r="B33" i="1"/>
  <c r="D32" i="1"/>
  <c r="D34" i="3" s="1"/>
  <c r="B32" i="1"/>
  <c r="D31" i="1"/>
  <c r="D33" i="3" s="1"/>
  <c r="B31" i="1"/>
  <c r="D30" i="1"/>
  <c r="D32" i="3" s="1"/>
  <c r="B30" i="1"/>
  <c r="D29" i="1"/>
  <c r="D31" i="3" s="1"/>
  <c r="B29" i="1"/>
  <c r="D28" i="1"/>
  <c r="D30" i="3" s="1"/>
  <c r="B28" i="1"/>
  <c r="D27" i="1"/>
  <c r="D29" i="3" s="1"/>
  <c r="B27" i="1"/>
  <c r="D26" i="1"/>
  <c r="D28" i="3" s="1"/>
  <c r="B26" i="1"/>
  <c r="D25" i="1"/>
  <c r="D27" i="3" s="1"/>
  <c r="B25" i="1"/>
  <c r="D24" i="1"/>
  <c r="B24" i="1"/>
  <c r="D23" i="1"/>
  <c r="B23" i="1"/>
  <c r="D22" i="1"/>
  <c r="B22" i="1"/>
  <c r="D21" i="1"/>
  <c r="D23" i="3" s="1"/>
  <c r="B21" i="1"/>
  <c r="D20" i="1"/>
  <c r="D22" i="3" s="1"/>
  <c r="B20" i="1"/>
  <c r="D19" i="1"/>
  <c r="B19" i="1"/>
  <c r="D18" i="1"/>
  <c r="D20" i="3" s="1"/>
  <c r="B18" i="1"/>
  <c r="D17" i="1"/>
  <c r="D19" i="3" s="1"/>
  <c r="B17" i="1"/>
  <c r="D16" i="1"/>
  <c r="D18" i="3" s="1"/>
  <c r="B16" i="1"/>
  <c r="D15" i="1"/>
  <c r="B15" i="1"/>
  <c r="D14" i="1"/>
  <c r="D16" i="3" s="1"/>
  <c r="B14" i="1"/>
  <c r="D13" i="1"/>
  <c r="D15" i="3" s="1"/>
  <c r="B13" i="1"/>
  <c r="D12" i="1"/>
  <c r="D14" i="3" s="1"/>
  <c r="B12" i="1"/>
  <c r="D11" i="1"/>
  <c r="D13" i="3" s="1"/>
  <c r="B11" i="1"/>
  <c r="D10" i="1"/>
  <c r="D12" i="3" s="1"/>
  <c r="B10" i="1"/>
  <c r="D9" i="1"/>
  <c r="D11" i="3" s="1"/>
  <c r="B9" i="1"/>
  <c r="D8" i="1"/>
  <c r="D10" i="3" s="1"/>
  <c r="B8" i="1"/>
  <c r="D7" i="1"/>
  <c r="D9" i="3" s="1"/>
  <c r="B7" i="1"/>
  <c r="D6" i="1"/>
  <c r="D8" i="3" s="1"/>
  <c r="B6" i="1"/>
  <c r="D5" i="1"/>
  <c r="B5" i="1"/>
  <c r="D4" i="1"/>
  <c r="D6" i="3" s="1"/>
  <c r="B4" i="1"/>
  <c r="D3" i="1"/>
  <c r="D5" i="3" s="1"/>
  <c r="B3" i="1"/>
  <c r="D2" i="1"/>
  <c r="D4" i="3" s="1"/>
  <c r="B2" i="1"/>
  <c r="B5" i="3"/>
  <c r="X69" i="3"/>
  <c r="W69" i="3"/>
  <c r="T69" i="3"/>
  <c r="S69" i="3"/>
  <c r="R69" i="3"/>
  <c r="Q69" i="3"/>
  <c r="P69" i="3"/>
  <c r="N69" i="3"/>
  <c r="L69" i="3"/>
  <c r="J69" i="3"/>
  <c r="H69" i="3"/>
  <c r="G69" i="3"/>
  <c r="F69" i="3"/>
  <c r="E69" i="3"/>
  <c r="B69" i="3"/>
  <c r="X68" i="3"/>
  <c r="W68" i="3"/>
  <c r="T68" i="3"/>
  <c r="S68" i="3"/>
  <c r="R68" i="3"/>
  <c r="Q68" i="3"/>
  <c r="P68" i="3"/>
  <c r="N68" i="3"/>
  <c r="L68" i="3"/>
  <c r="J68" i="3"/>
  <c r="H68" i="3"/>
  <c r="G68" i="3"/>
  <c r="F68" i="3"/>
  <c r="E68" i="3"/>
  <c r="B68" i="3"/>
  <c r="X67" i="3"/>
  <c r="W67" i="3"/>
  <c r="T67" i="3"/>
  <c r="S67" i="3"/>
  <c r="R67" i="3"/>
  <c r="Q67" i="3"/>
  <c r="P67" i="3"/>
  <c r="N67" i="3"/>
  <c r="L67" i="3"/>
  <c r="J67" i="3"/>
  <c r="H67" i="3"/>
  <c r="G67" i="3"/>
  <c r="F67" i="3"/>
  <c r="E67" i="3"/>
  <c r="B67" i="3"/>
  <c r="W66" i="3"/>
  <c r="T66" i="3"/>
  <c r="S66" i="3"/>
  <c r="R66" i="3"/>
  <c r="Q66" i="3"/>
  <c r="P66" i="3"/>
  <c r="N66" i="3"/>
  <c r="L66" i="3"/>
  <c r="J66" i="3"/>
  <c r="H66" i="3"/>
  <c r="G66" i="3"/>
  <c r="F66" i="3"/>
  <c r="E66" i="3"/>
  <c r="B66" i="3"/>
  <c r="W65" i="3"/>
  <c r="T65" i="3"/>
  <c r="S65" i="3"/>
  <c r="R65" i="3"/>
  <c r="Q65" i="3"/>
  <c r="P65" i="3"/>
  <c r="N65" i="3"/>
  <c r="L65" i="3"/>
  <c r="J65" i="3"/>
  <c r="H65" i="3"/>
  <c r="G65" i="3"/>
  <c r="F65" i="3"/>
  <c r="B65" i="3"/>
  <c r="X64" i="3"/>
  <c r="W64" i="3"/>
  <c r="T64" i="3"/>
  <c r="S64" i="3"/>
  <c r="R64" i="3"/>
  <c r="Q64" i="3"/>
  <c r="P64" i="3"/>
  <c r="N64" i="3"/>
  <c r="L64" i="3"/>
  <c r="J64" i="3"/>
  <c r="H64" i="3"/>
  <c r="G64" i="3"/>
  <c r="F64" i="3"/>
  <c r="B64" i="3"/>
  <c r="X63" i="3"/>
  <c r="W63" i="3"/>
  <c r="T63" i="3"/>
  <c r="S63" i="3"/>
  <c r="R63" i="3"/>
  <c r="Q63" i="3"/>
  <c r="P63" i="3"/>
  <c r="N63" i="3"/>
  <c r="L63" i="3"/>
  <c r="J63" i="3"/>
  <c r="H63" i="3"/>
  <c r="G63" i="3"/>
  <c r="F63" i="3"/>
  <c r="B63" i="3"/>
  <c r="X62" i="3"/>
  <c r="W62" i="3"/>
  <c r="T62" i="3"/>
  <c r="S62" i="3"/>
  <c r="R62" i="3"/>
  <c r="Q62" i="3"/>
  <c r="P62" i="3"/>
  <c r="N62" i="3"/>
  <c r="L62" i="3"/>
  <c r="J62" i="3"/>
  <c r="H62" i="3"/>
  <c r="G62" i="3"/>
  <c r="F62" i="3"/>
  <c r="B62" i="3"/>
  <c r="X61" i="3"/>
  <c r="T61" i="3"/>
  <c r="S61" i="3"/>
  <c r="R61" i="3"/>
  <c r="Q61" i="3"/>
  <c r="P61" i="3"/>
  <c r="N61" i="3"/>
  <c r="L61" i="3"/>
  <c r="J61" i="3"/>
  <c r="H61" i="3"/>
  <c r="G61" i="3"/>
  <c r="F61" i="3"/>
  <c r="B61" i="3"/>
  <c r="T60" i="3"/>
  <c r="S60" i="3"/>
  <c r="R60" i="3"/>
  <c r="Q60" i="3"/>
  <c r="P60" i="3"/>
  <c r="N60" i="3"/>
  <c r="L60" i="3"/>
  <c r="J60" i="3"/>
  <c r="H60" i="3"/>
  <c r="G60" i="3"/>
  <c r="F60" i="3"/>
  <c r="E60" i="3"/>
  <c r="B60" i="3"/>
  <c r="X59" i="3"/>
  <c r="W59" i="3"/>
  <c r="T59" i="3"/>
  <c r="S59" i="3"/>
  <c r="R59" i="3"/>
  <c r="Q59" i="3"/>
  <c r="P59" i="3"/>
  <c r="N59" i="3"/>
  <c r="L59" i="3"/>
  <c r="J59" i="3"/>
  <c r="H59" i="3"/>
  <c r="G59" i="3"/>
  <c r="F59" i="3"/>
  <c r="E59" i="3"/>
  <c r="B59" i="3"/>
  <c r="W58" i="3"/>
  <c r="T58" i="3"/>
  <c r="S58" i="3"/>
  <c r="R58" i="3"/>
  <c r="Q58" i="3"/>
  <c r="P58" i="3"/>
  <c r="N58" i="3"/>
  <c r="L58" i="3"/>
  <c r="J58" i="3"/>
  <c r="H58" i="3"/>
  <c r="G58" i="3"/>
  <c r="F58" i="3"/>
  <c r="E58" i="3"/>
  <c r="B58" i="3"/>
  <c r="W57" i="3"/>
  <c r="T57" i="3"/>
  <c r="S57" i="3"/>
  <c r="R57" i="3"/>
  <c r="Q57" i="3"/>
  <c r="P57" i="3"/>
  <c r="N57" i="3"/>
  <c r="L57" i="3"/>
  <c r="J57" i="3"/>
  <c r="H57" i="3"/>
  <c r="G57" i="3"/>
  <c r="F57" i="3"/>
  <c r="E57" i="3"/>
  <c r="B57" i="3"/>
  <c r="W56" i="3"/>
  <c r="T56" i="3"/>
  <c r="S56" i="3"/>
  <c r="R56" i="3"/>
  <c r="Q56" i="3"/>
  <c r="P56" i="3"/>
  <c r="N56" i="3"/>
  <c r="L56" i="3"/>
  <c r="J56" i="3"/>
  <c r="H56" i="3"/>
  <c r="G56" i="3"/>
  <c r="F56" i="3"/>
  <c r="E56" i="3"/>
  <c r="B56" i="3"/>
  <c r="W55" i="3"/>
  <c r="T55" i="3"/>
  <c r="S55" i="3"/>
  <c r="R55" i="3"/>
  <c r="Q55" i="3"/>
  <c r="P55" i="3"/>
  <c r="N55" i="3"/>
  <c r="L55" i="3"/>
  <c r="J55" i="3"/>
  <c r="H55" i="3"/>
  <c r="G55" i="3"/>
  <c r="F55" i="3"/>
  <c r="E55" i="3"/>
  <c r="B55" i="3"/>
  <c r="X54" i="3"/>
  <c r="W54" i="3"/>
  <c r="T54" i="3"/>
  <c r="S54" i="3"/>
  <c r="R54" i="3"/>
  <c r="Q54" i="3"/>
  <c r="P54" i="3"/>
  <c r="N54" i="3"/>
  <c r="L54" i="3"/>
  <c r="J54" i="3"/>
  <c r="H54" i="3"/>
  <c r="G54" i="3"/>
  <c r="F54" i="3"/>
  <c r="E54" i="3"/>
  <c r="B54" i="3"/>
  <c r="X53" i="3"/>
  <c r="W53" i="3"/>
  <c r="T53" i="3"/>
  <c r="S53" i="3"/>
  <c r="R53" i="3"/>
  <c r="Q53" i="3"/>
  <c r="P53" i="3"/>
  <c r="N53" i="3"/>
  <c r="L53" i="3"/>
  <c r="J53" i="3"/>
  <c r="H53" i="3"/>
  <c r="G53" i="3"/>
  <c r="F53" i="3"/>
  <c r="E53" i="3"/>
  <c r="B53" i="3"/>
  <c r="X52" i="3"/>
  <c r="W52" i="3"/>
  <c r="T52" i="3"/>
  <c r="S52" i="3"/>
  <c r="R52" i="3"/>
  <c r="Q52" i="3"/>
  <c r="P52" i="3"/>
  <c r="N52" i="3"/>
  <c r="L52" i="3"/>
  <c r="J52" i="3"/>
  <c r="H52" i="3"/>
  <c r="G52" i="3"/>
  <c r="F52" i="3"/>
  <c r="E52" i="3"/>
  <c r="B52" i="3"/>
  <c r="X51" i="3"/>
  <c r="W51" i="3"/>
  <c r="T51" i="3"/>
  <c r="S51" i="3"/>
  <c r="R51" i="3"/>
  <c r="Q51" i="3"/>
  <c r="P51" i="3"/>
  <c r="N51" i="3"/>
  <c r="L51" i="3"/>
  <c r="J51" i="3"/>
  <c r="H51" i="3"/>
  <c r="G51" i="3"/>
  <c r="F51" i="3"/>
  <c r="E51" i="3"/>
  <c r="B51" i="3"/>
  <c r="T50" i="3"/>
  <c r="S50" i="3"/>
  <c r="R50" i="3"/>
  <c r="Q50" i="3"/>
  <c r="P50" i="3"/>
  <c r="N50" i="3"/>
  <c r="L50" i="3"/>
  <c r="J50" i="3"/>
  <c r="H50" i="3"/>
  <c r="G50" i="3"/>
  <c r="F50" i="3"/>
  <c r="E50" i="3"/>
  <c r="B50" i="3"/>
  <c r="T49" i="3"/>
  <c r="S49" i="3"/>
  <c r="R49" i="3"/>
  <c r="Q49" i="3"/>
  <c r="P49" i="3"/>
  <c r="N49" i="3"/>
  <c r="L49" i="3"/>
  <c r="J49" i="3"/>
  <c r="H49" i="3"/>
  <c r="G49" i="3"/>
  <c r="F49" i="3"/>
  <c r="E49" i="3"/>
  <c r="B49" i="3"/>
  <c r="W48" i="3"/>
  <c r="T48" i="3"/>
  <c r="S48" i="3"/>
  <c r="R48" i="3"/>
  <c r="Q48" i="3"/>
  <c r="P48" i="3"/>
  <c r="N48" i="3"/>
  <c r="L48" i="3"/>
  <c r="J48" i="3"/>
  <c r="H48" i="3"/>
  <c r="G48" i="3"/>
  <c r="F48" i="3"/>
  <c r="E48" i="3"/>
  <c r="B48" i="3"/>
  <c r="X47" i="3"/>
  <c r="W47" i="3"/>
  <c r="T47" i="3"/>
  <c r="S47" i="3"/>
  <c r="R47" i="3"/>
  <c r="Q47" i="3"/>
  <c r="P47" i="3"/>
  <c r="N47" i="3"/>
  <c r="L47" i="3"/>
  <c r="J47" i="3"/>
  <c r="H47" i="3"/>
  <c r="G47" i="3"/>
  <c r="F47" i="3"/>
  <c r="E47" i="3"/>
  <c r="B47" i="3"/>
  <c r="T46" i="3"/>
  <c r="S46" i="3"/>
  <c r="R46" i="3"/>
  <c r="Q46" i="3"/>
  <c r="P46" i="3"/>
  <c r="N46" i="3"/>
  <c r="L46" i="3"/>
  <c r="J46" i="3"/>
  <c r="H46" i="3"/>
  <c r="G46" i="3"/>
  <c r="F46" i="3"/>
  <c r="E46" i="3"/>
  <c r="B46" i="3"/>
  <c r="X45" i="3"/>
  <c r="W45" i="3"/>
  <c r="T45" i="3"/>
  <c r="S45" i="3"/>
  <c r="R45" i="3"/>
  <c r="Q45" i="3"/>
  <c r="P45" i="3"/>
  <c r="N45" i="3"/>
  <c r="L45" i="3"/>
  <c r="J45" i="3"/>
  <c r="H45" i="3"/>
  <c r="G45" i="3"/>
  <c r="F45" i="3"/>
  <c r="B45" i="3"/>
  <c r="X44" i="3"/>
  <c r="T44" i="3"/>
  <c r="S44" i="3"/>
  <c r="R44" i="3"/>
  <c r="Q44" i="3"/>
  <c r="P44" i="3"/>
  <c r="N44" i="3"/>
  <c r="L44" i="3"/>
  <c r="J44" i="3"/>
  <c r="H44" i="3"/>
  <c r="G44" i="3"/>
  <c r="F44" i="3"/>
  <c r="E44" i="3"/>
  <c r="B44" i="3"/>
  <c r="T43" i="3"/>
  <c r="S43" i="3"/>
  <c r="R43" i="3"/>
  <c r="Q43" i="3"/>
  <c r="P43" i="3"/>
  <c r="N43" i="3"/>
  <c r="L43" i="3"/>
  <c r="J43" i="3"/>
  <c r="H43" i="3"/>
  <c r="G43" i="3"/>
  <c r="F43" i="3"/>
  <c r="B43" i="3"/>
  <c r="X42" i="3"/>
  <c r="W42" i="3"/>
  <c r="T42" i="3"/>
  <c r="S42" i="3"/>
  <c r="R42" i="3"/>
  <c r="Q42" i="3"/>
  <c r="P42" i="3"/>
  <c r="N42" i="3"/>
  <c r="L42" i="3"/>
  <c r="J42" i="3"/>
  <c r="H42" i="3"/>
  <c r="G42" i="3"/>
  <c r="F42" i="3"/>
  <c r="B42" i="3"/>
  <c r="W41" i="3"/>
  <c r="T41" i="3"/>
  <c r="S41" i="3"/>
  <c r="R41" i="3"/>
  <c r="Q41" i="3"/>
  <c r="P41" i="3"/>
  <c r="N41" i="3"/>
  <c r="L41" i="3"/>
  <c r="J41" i="3"/>
  <c r="H41" i="3"/>
  <c r="G41" i="3"/>
  <c r="F41" i="3"/>
  <c r="B41" i="3"/>
  <c r="X40" i="3"/>
  <c r="W40" i="3"/>
  <c r="T40" i="3"/>
  <c r="S40" i="3"/>
  <c r="R40" i="3"/>
  <c r="Q40" i="3"/>
  <c r="P40" i="3"/>
  <c r="N40" i="3"/>
  <c r="L40" i="3"/>
  <c r="J40" i="3"/>
  <c r="H40" i="3"/>
  <c r="G40" i="3"/>
  <c r="F40" i="3"/>
  <c r="E40" i="3"/>
  <c r="B40" i="3"/>
  <c r="X39" i="3"/>
  <c r="T39" i="3"/>
  <c r="S39" i="3"/>
  <c r="R39" i="3"/>
  <c r="Q39" i="3"/>
  <c r="P39" i="3"/>
  <c r="N39" i="3"/>
  <c r="L39" i="3"/>
  <c r="J39" i="3"/>
  <c r="H39" i="3"/>
  <c r="G39" i="3"/>
  <c r="F39" i="3"/>
  <c r="E39" i="3"/>
  <c r="B39" i="3"/>
  <c r="X38" i="3"/>
  <c r="T38" i="3"/>
  <c r="S38" i="3"/>
  <c r="R38" i="3"/>
  <c r="Q38" i="3"/>
  <c r="P38" i="3"/>
  <c r="N38" i="3"/>
  <c r="L38" i="3"/>
  <c r="J38" i="3"/>
  <c r="H38" i="3"/>
  <c r="G38" i="3"/>
  <c r="F38" i="3"/>
  <c r="E38" i="3"/>
  <c r="B38" i="3"/>
  <c r="W37" i="3"/>
  <c r="T37" i="3"/>
  <c r="S37" i="3"/>
  <c r="R37" i="3"/>
  <c r="Q37" i="3"/>
  <c r="P37" i="3"/>
  <c r="N37" i="3"/>
  <c r="L37" i="3"/>
  <c r="J37" i="3"/>
  <c r="H37" i="3"/>
  <c r="G37" i="3"/>
  <c r="F37" i="3"/>
  <c r="E37" i="3"/>
  <c r="B37" i="3"/>
  <c r="X36" i="3"/>
  <c r="W36" i="3"/>
  <c r="T36" i="3"/>
  <c r="S36" i="3"/>
  <c r="R36" i="3"/>
  <c r="Q36" i="3"/>
  <c r="P36" i="3"/>
  <c r="N36" i="3"/>
  <c r="L36" i="3"/>
  <c r="J36" i="3"/>
  <c r="H36" i="3"/>
  <c r="G36" i="3"/>
  <c r="F36" i="3"/>
  <c r="E36" i="3"/>
  <c r="B36" i="3"/>
  <c r="X35" i="3"/>
  <c r="W35" i="3"/>
  <c r="T35" i="3"/>
  <c r="S35" i="3"/>
  <c r="R35" i="3"/>
  <c r="Q35" i="3"/>
  <c r="P35" i="3"/>
  <c r="N35" i="3"/>
  <c r="L35" i="3"/>
  <c r="J35" i="3"/>
  <c r="H35" i="3"/>
  <c r="G35" i="3"/>
  <c r="F35" i="3"/>
  <c r="E35" i="3"/>
  <c r="B35" i="3"/>
  <c r="X34" i="3"/>
  <c r="W34" i="3"/>
  <c r="T34" i="3"/>
  <c r="S34" i="3"/>
  <c r="R34" i="3"/>
  <c r="Q34" i="3"/>
  <c r="P34" i="3"/>
  <c r="N34" i="3"/>
  <c r="L34" i="3"/>
  <c r="J34" i="3"/>
  <c r="H34" i="3"/>
  <c r="G34" i="3"/>
  <c r="F34" i="3"/>
  <c r="E34" i="3"/>
  <c r="B34" i="3"/>
  <c r="T33" i="3"/>
  <c r="S33" i="3"/>
  <c r="R33" i="3"/>
  <c r="Q33" i="3"/>
  <c r="P33" i="3"/>
  <c r="N33" i="3"/>
  <c r="L33" i="3"/>
  <c r="J33" i="3"/>
  <c r="H33" i="3"/>
  <c r="G33" i="3"/>
  <c r="F33" i="3"/>
  <c r="E33" i="3"/>
  <c r="B33" i="3"/>
  <c r="X32" i="3"/>
  <c r="W32" i="3"/>
  <c r="T32" i="3"/>
  <c r="S32" i="3"/>
  <c r="R32" i="3"/>
  <c r="Q32" i="3"/>
  <c r="P32" i="3"/>
  <c r="N32" i="3"/>
  <c r="L32" i="3"/>
  <c r="J32" i="3"/>
  <c r="H32" i="3"/>
  <c r="G32" i="3"/>
  <c r="F32" i="3"/>
  <c r="E32" i="3"/>
  <c r="B32" i="3"/>
  <c r="T31" i="3"/>
  <c r="S31" i="3"/>
  <c r="R31" i="3"/>
  <c r="Q31" i="3"/>
  <c r="P31" i="3"/>
  <c r="N31" i="3"/>
  <c r="L31" i="3"/>
  <c r="J31" i="3"/>
  <c r="H31" i="3"/>
  <c r="G31" i="3"/>
  <c r="F31" i="3"/>
  <c r="E31" i="3"/>
  <c r="B31" i="3"/>
  <c r="X30" i="3"/>
  <c r="T30" i="3"/>
  <c r="S30" i="3"/>
  <c r="R30" i="3"/>
  <c r="Q30" i="3"/>
  <c r="P30" i="3"/>
  <c r="N30" i="3"/>
  <c r="L30" i="3"/>
  <c r="J30" i="3"/>
  <c r="H30" i="3"/>
  <c r="G30" i="3"/>
  <c r="F30" i="3"/>
  <c r="E30" i="3"/>
  <c r="B30" i="3"/>
  <c r="T29" i="3"/>
  <c r="S29" i="3"/>
  <c r="R29" i="3"/>
  <c r="Q29" i="3"/>
  <c r="P29" i="3"/>
  <c r="N29" i="3"/>
  <c r="L29" i="3"/>
  <c r="J29" i="3"/>
  <c r="H29" i="3"/>
  <c r="G29" i="3"/>
  <c r="F29" i="3"/>
  <c r="E29" i="3"/>
  <c r="B29" i="3"/>
  <c r="W28" i="3"/>
  <c r="T28" i="3"/>
  <c r="S28" i="3"/>
  <c r="R28" i="3"/>
  <c r="Q28" i="3"/>
  <c r="P28" i="3"/>
  <c r="N28" i="3"/>
  <c r="L28" i="3"/>
  <c r="J28" i="3"/>
  <c r="H28" i="3"/>
  <c r="G28" i="3"/>
  <c r="F28" i="3"/>
  <c r="E28" i="3"/>
  <c r="B28" i="3"/>
  <c r="W27" i="3"/>
  <c r="T27" i="3"/>
  <c r="S27" i="3"/>
  <c r="R27" i="3"/>
  <c r="Q27" i="3"/>
  <c r="P27" i="3"/>
  <c r="N27" i="3"/>
  <c r="L27" i="3"/>
  <c r="J27" i="3"/>
  <c r="H27" i="3"/>
  <c r="G27" i="3"/>
  <c r="F27" i="3"/>
  <c r="E27" i="3"/>
  <c r="B27" i="3"/>
  <c r="X26" i="3"/>
  <c r="W26" i="3"/>
  <c r="T26" i="3"/>
  <c r="S26" i="3"/>
  <c r="R26" i="3"/>
  <c r="Q26" i="3"/>
  <c r="P26" i="3"/>
  <c r="N26" i="3"/>
  <c r="L26" i="3"/>
  <c r="J26" i="3"/>
  <c r="H26" i="3"/>
  <c r="G26" i="3"/>
  <c r="F26" i="3"/>
  <c r="E26" i="3"/>
  <c r="B26" i="3"/>
  <c r="W25" i="3"/>
  <c r="T25" i="3"/>
  <c r="S25" i="3"/>
  <c r="R25" i="3"/>
  <c r="Q25" i="3"/>
  <c r="P25" i="3"/>
  <c r="N25" i="3"/>
  <c r="L25" i="3"/>
  <c r="J25" i="3"/>
  <c r="H25" i="3"/>
  <c r="G25" i="3"/>
  <c r="F25" i="3"/>
  <c r="B25" i="3"/>
  <c r="X24" i="3"/>
  <c r="W24" i="3"/>
  <c r="T24" i="3"/>
  <c r="S24" i="3"/>
  <c r="R24" i="3"/>
  <c r="Q24" i="3"/>
  <c r="P24" i="3"/>
  <c r="N24" i="3"/>
  <c r="L24" i="3"/>
  <c r="J24" i="3"/>
  <c r="H24" i="3"/>
  <c r="G24" i="3"/>
  <c r="F24" i="3"/>
  <c r="E24" i="3"/>
  <c r="B24" i="3"/>
  <c r="X23" i="3"/>
  <c r="W23" i="3"/>
  <c r="T23" i="3"/>
  <c r="S23" i="3"/>
  <c r="R23" i="3"/>
  <c r="Q23" i="3"/>
  <c r="P23" i="3"/>
  <c r="N23" i="3"/>
  <c r="L23" i="3"/>
  <c r="J23" i="3"/>
  <c r="H23" i="3"/>
  <c r="G23" i="3"/>
  <c r="F23" i="3"/>
  <c r="B23" i="3"/>
  <c r="W22" i="3"/>
  <c r="T22" i="3"/>
  <c r="S22" i="3"/>
  <c r="R22" i="3"/>
  <c r="Q22" i="3"/>
  <c r="P22" i="3"/>
  <c r="N22" i="3"/>
  <c r="L22" i="3"/>
  <c r="J22" i="3"/>
  <c r="H22" i="3"/>
  <c r="G22" i="3"/>
  <c r="F22" i="3"/>
  <c r="B22" i="3"/>
  <c r="X21" i="3"/>
  <c r="W21" i="3"/>
  <c r="T21" i="3"/>
  <c r="S21" i="3"/>
  <c r="R21" i="3"/>
  <c r="Q21" i="3"/>
  <c r="P21" i="3"/>
  <c r="N21" i="3"/>
  <c r="L21" i="3"/>
  <c r="J21" i="3"/>
  <c r="H21" i="3"/>
  <c r="G21" i="3"/>
  <c r="F21" i="3"/>
  <c r="B21" i="3"/>
  <c r="W20" i="3"/>
  <c r="T20" i="3"/>
  <c r="S20" i="3"/>
  <c r="R20" i="3"/>
  <c r="Q20" i="3"/>
  <c r="P20" i="3"/>
  <c r="N20" i="3"/>
  <c r="L20" i="3"/>
  <c r="J20" i="3"/>
  <c r="H20" i="3"/>
  <c r="G20" i="3"/>
  <c r="F20" i="3"/>
  <c r="E20" i="3"/>
  <c r="B20" i="3"/>
  <c r="T19" i="3"/>
  <c r="S19" i="3"/>
  <c r="R19" i="3"/>
  <c r="Q19" i="3"/>
  <c r="P19" i="3"/>
  <c r="N19" i="3"/>
  <c r="L19" i="3"/>
  <c r="J19" i="3"/>
  <c r="H19" i="3"/>
  <c r="G19" i="3"/>
  <c r="F19" i="3"/>
  <c r="E19" i="3"/>
  <c r="B19" i="3"/>
  <c r="X18" i="3"/>
  <c r="W18" i="3"/>
  <c r="T18" i="3"/>
  <c r="S18" i="3"/>
  <c r="R18" i="3"/>
  <c r="Q18" i="3"/>
  <c r="P18" i="3"/>
  <c r="N18" i="3"/>
  <c r="L18" i="3"/>
  <c r="J18" i="3"/>
  <c r="H18" i="3"/>
  <c r="G18" i="3"/>
  <c r="F18" i="3"/>
  <c r="E18" i="3"/>
  <c r="B18" i="3"/>
  <c r="X17" i="3"/>
  <c r="W17" i="3"/>
  <c r="T17" i="3"/>
  <c r="S17" i="3"/>
  <c r="R17" i="3"/>
  <c r="Q17" i="3"/>
  <c r="P17" i="3"/>
  <c r="N17" i="3"/>
  <c r="L17" i="3"/>
  <c r="J17" i="3"/>
  <c r="H17" i="3"/>
  <c r="G17" i="3"/>
  <c r="F17" i="3"/>
  <c r="E17" i="3"/>
  <c r="B17" i="3"/>
  <c r="T16" i="3"/>
  <c r="S16" i="3"/>
  <c r="R16" i="3"/>
  <c r="Q16" i="3"/>
  <c r="P16" i="3"/>
  <c r="N16" i="3"/>
  <c r="L16" i="3"/>
  <c r="J16" i="3"/>
  <c r="H16" i="3"/>
  <c r="G16" i="3"/>
  <c r="F16" i="3"/>
  <c r="E16" i="3"/>
  <c r="B16" i="3"/>
  <c r="W15" i="3"/>
  <c r="T15" i="3"/>
  <c r="S15" i="3"/>
  <c r="R15" i="3"/>
  <c r="Q15" i="3"/>
  <c r="P15" i="3"/>
  <c r="N15" i="3"/>
  <c r="L15" i="3"/>
  <c r="J15" i="3"/>
  <c r="H15" i="3"/>
  <c r="G15" i="3"/>
  <c r="F15" i="3"/>
  <c r="E15" i="3"/>
  <c r="B15" i="3"/>
  <c r="W14" i="3"/>
  <c r="T14" i="3"/>
  <c r="S14" i="3"/>
  <c r="R14" i="3"/>
  <c r="Q14" i="3"/>
  <c r="P14" i="3"/>
  <c r="N14" i="3"/>
  <c r="L14" i="3"/>
  <c r="J14" i="3"/>
  <c r="H14" i="3"/>
  <c r="G14" i="3"/>
  <c r="F14" i="3"/>
  <c r="E14" i="3"/>
  <c r="B14" i="3"/>
  <c r="X13" i="3"/>
  <c r="W13" i="3"/>
  <c r="T13" i="3"/>
  <c r="S13" i="3"/>
  <c r="R13" i="3"/>
  <c r="Q13" i="3"/>
  <c r="P13" i="3"/>
  <c r="N13" i="3"/>
  <c r="L13" i="3"/>
  <c r="J13" i="3"/>
  <c r="H13" i="3"/>
  <c r="G13" i="3"/>
  <c r="F13" i="3"/>
  <c r="E13" i="3"/>
  <c r="B13" i="3"/>
  <c r="X12" i="3"/>
  <c r="W12" i="3"/>
  <c r="T12" i="3"/>
  <c r="S12" i="3"/>
  <c r="R12" i="3"/>
  <c r="Q12" i="3"/>
  <c r="P12" i="3"/>
  <c r="N12" i="3"/>
  <c r="L12" i="3"/>
  <c r="J12" i="3"/>
  <c r="H12" i="3"/>
  <c r="G12" i="3"/>
  <c r="F12" i="3"/>
  <c r="E12" i="3"/>
  <c r="B12" i="3"/>
  <c r="W11" i="3"/>
  <c r="T11" i="3"/>
  <c r="S11" i="3"/>
  <c r="R11" i="3"/>
  <c r="Q11" i="3"/>
  <c r="P11" i="3"/>
  <c r="N11" i="3"/>
  <c r="L11" i="3"/>
  <c r="J11" i="3"/>
  <c r="H11" i="3"/>
  <c r="G11" i="3"/>
  <c r="F11" i="3"/>
  <c r="E11" i="3"/>
  <c r="B11" i="3"/>
  <c r="W10" i="3"/>
  <c r="T10" i="3"/>
  <c r="S10" i="3"/>
  <c r="R10" i="3"/>
  <c r="Q10" i="3"/>
  <c r="P10" i="3"/>
  <c r="N10" i="3"/>
  <c r="L10" i="3"/>
  <c r="J10" i="3"/>
  <c r="H10" i="3"/>
  <c r="G10" i="3"/>
  <c r="F10" i="3"/>
  <c r="E10" i="3"/>
  <c r="B10" i="3"/>
  <c r="W9" i="3"/>
  <c r="T9" i="3"/>
  <c r="S9" i="3"/>
  <c r="R9" i="3"/>
  <c r="Q9" i="3"/>
  <c r="P9" i="3"/>
  <c r="N9" i="3"/>
  <c r="L9" i="3"/>
  <c r="J9" i="3"/>
  <c r="H9" i="3"/>
  <c r="G9" i="3"/>
  <c r="F9" i="3"/>
  <c r="E9" i="3"/>
  <c r="B9" i="3"/>
  <c r="X8" i="3"/>
  <c r="W8" i="3"/>
  <c r="T8" i="3"/>
  <c r="S8" i="3"/>
  <c r="R8" i="3"/>
  <c r="Q8" i="3"/>
  <c r="P8" i="3"/>
  <c r="N8" i="3"/>
  <c r="L8" i="3"/>
  <c r="J8" i="3"/>
  <c r="H8" i="3"/>
  <c r="G8" i="3"/>
  <c r="F8" i="3"/>
  <c r="E8" i="3"/>
  <c r="B8" i="3"/>
  <c r="T7" i="3"/>
  <c r="S7" i="3"/>
  <c r="R7" i="3"/>
  <c r="Q7" i="3"/>
  <c r="P7" i="3"/>
  <c r="N7" i="3"/>
  <c r="L7" i="3"/>
  <c r="J7" i="3"/>
  <c r="H7" i="3"/>
  <c r="G7" i="3"/>
  <c r="F7" i="3"/>
  <c r="E7" i="3"/>
  <c r="B7" i="3"/>
  <c r="T6" i="3"/>
  <c r="S6" i="3"/>
  <c r="R6" i="3"/>
  <c r="Q6" i="3"/>
  <c r="P6" i="3"/>
  <c r="N6" i="3"/>
  <c r="L6" i="3"/>
  <c r="J6" i="3"/>
  <c r="H6" i="3"/>
  <c r="G6" i="3"/>
  <c r="F6" i="3"/>
  <c r="E6" i="3"/>
  <c r="B6" i="3"/>
  <c r="X5" i="3"/>
  <c r="W5" i="3"/>
  <c r="T5" i="3"/>
  <c r="S5" i="3"/>
  <c r="R5" i="3"/>
  <c r="Q5" i="3"/>
  <c r="P5" i="3"/>
  <c r="N5" i="3"/>
  <c r="L5" i="3"/>
  <c r="J5" i="3"/>
  <c r="H5" i="3"/>
  <c r="G5" i="3"/>
  <c r="F5" i="3"/>
  <c r="E5" i="3"/>
  <c r="X4" i="3"/>
  <c r="W4" i="3"/>
  <c r="V4" i="3"/>
  <c r="T4" i="3"/>
  <c r="S4" i="3"/>
  <c r="R4" i="3"/>
  <c r="Q4" i="3"/>
  <c r="P4" i="3"/>
  <c r="N4" i="3"/>
  <c r="L4" i="3"/>
  <c r="J4" i="3"/>
  <c r="H4" i="3"/>
  <c r="G4" i="3"/>
  <c r="F4" i="3"/>
  <c r="E4" i="3"/>
  <c r="P66" i="11"/>
  <c r="X66" i="3" s="1"/>
  <c r="O66" i="11"/>
  <c r="P65" i="11"/>
  <c r="X65" i="3" s="1"/>
  <c r="P62" i="11"/>
  <c r="P61" i="11"/>
  <c r="O61" i="11"/>
  <c r="W61" i="3" s="1"/>
  <c r="P60" i="11"/>
  <c r="X60" i="3" s="1"/>
  <c r="O60" i="11"/>
  <c r="W60" i="3" s="1"/>
  <c r="P59" i="11"/>
  <c r="O59" i="11"/>
  <c r="P58" i="11"/>
  <c r="X58" i="3" s="1"/>
  <c r="P57" i="11"/>
  <c r="X57" i="3" s="1"/>
  <c r="P56" i="11"/>
  <c r="X56" i="3" s="1"/>
  <c r="P55" i="11"/>
  <c r="X55" i="3" s="1"/>
  <c r="P54" i="11"/>
  <c r="P51" i="11"/>
  <c r="O51" i="11"/>
  <c r="P50" i="11"/>
  <c r="X50" i="3" s="1"/>
  <c r="O50" i="11"/>
  <c r="W50" i="3" s="1"/>
  <c r="P49" i="11"/>
  <c r="X49" i="3" s="1"/>
  <c r="O49" i="11"/>
  <c r="W49" i="3" s="1"/>
  <c r="P48" i="11"/>
  <c r="X48" i="3" s="1"/>
  <c r="O48" i="11"/>
  <c r="P47" i="11"/>
  <c r="O47" i="11"/>
  <c r="P46" i="11"/>
  <c r="X46" i="3" s="1"/>
  <c r="O46" i="11"/>
  <c r="W46" i="3" s="1"/>
  <c r="P45" i="11"/>
  <c r="O45" i="11"/>
  <c r="P44" i="11"/>
  <c r="O44" i="11"/>
  <c r="W44" i="3" s="1"/>
  <c r="P43" i="11"/>
  <c r="X43" i="3" s="1"/>
  <c r="O43" i="11"/>
  <c r="W43" i="3" s="1"/>
  <c r="P41" i="11"/>
  <c r="X41" i="3" s="1"/>
  <c r="O41" i="11"/>
  <c r="P40" i="11"/>
  <c r="O40" i="11"/>
  <c r="P39" i="11"/>
  <c r="O39" i="11"/>
  <c r="W39" i="3" s="1"/>
  <c r="P38" i="11"/>
  <c r="O38" i="11"/>
  <c r="W38" i="3" s="1"/>
  <c r="P37" i="11"/>
  <c r="X37" i="3" s="1"/>
  <c r="O37" i="11"/>
  <c r="P33" i="11"/>
  <c r="X33" i="3" s="1"/>
  <c r="O33" i="11"/>
  <c r="W33" i="3" s="1"/>
  <c r="P32" i="11"/>
  <c r="P31" i="11"/>
  <c r="X31" i="3" s="1"/>
  <c r="O31" i="11"/>
  <c r="W31" i="3" s="1"/>
  <c r="P30" i="11"/>
  <c r="O30" i="11"/>
  <c r="W30" i="3" s="1"/>
  <c r="P29" i="11"/>
  <c r="X29" i="3" s="1"/>
  <c r="O29" i="11"/>
  <c r="W29" i="3" s="1"/>
  <c r="P28" i="11"/>
  <c r="X28" i="3" s="1"/>
  <c r="P27" i="11"/>
  <c r="X27" i="3" s="1"/>
  <c r="P26" i="11"/>
  <c r="P25" i="11"/>
  <c r="X25" i="3" s="1"/>
  <c r="P23" i="11"/>
  <c r="O23" i="11"/>
  <c r="P22" i="11"/>
  <c r="X22" i="3" s="1"/>
  <c r="P21" i="11"/>
  <c r="P20" i="11"/>
  <c r="X20" i="3" s="1"/>
  <c r="P19" i="11"/>
  <c r="X19" i="3" s="1"/>
  <c r="O19" i="11"/>
  <c r="W19" i="3" s="1"/>
  <c r="P18" i="11"/>
  <c r="O18" i="11"/>
  <c r="P17" i="11"/>
  <c r="P16" i="11"/>
  <c r="X16" i="3" s="1"/>
  <c r="O16" i="11"/>
  <c r="W16" i="3" s="1"/>
  <c r="P15" i="11"/>
  <c r="X15" i="3" s="1"/>
  <c r="P14" i="11"/>
  <c r="X14" i="3" s="1"/>
  <c r="P13" i="11"/>
  <c r="P11" i="11"/>
  <c r="X11" i="3" s="1"/>
  <c r="P10" i="11"/>
  <c r="X10" i="3" s="1"/>
  <c r="P9" i="11"/>
  <c r="X9" i="3" s="1"/>
  <c r="O9" i="11"/>
  <c r="P8" i="11"/>
  <c r="O8" i="11"/>
  <c r="P7" i="11"/>
  <c r="X7" i="3" s="1"/>
  <c r="O7" i="11"/>
  <c r="W7" i="3" s="1"/>
  <c r="P6" i="11"/>
  <c r="X6" i="3" s="1"/>
  <c r="O6" i="11"/>
  <c r="W6" i="3" s="1"/>
  <c r="P5" i="11"/>
  <c r="O5" i="11"/>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D4" i="9"/>
  <c r="D5" i="9"/>
  <c r="D6" i="9"/>
  <c r="D7" i="9"/>
  <c r="D8" i="9"/>
  <c r="D9" i="9"/>
  <c r="D10" i="9"/>
  <c r="D11" i="9"/>
  <c r="D12" i="9"/>
  <c r="D13" i="9"/>
  <c r="D14" i="9"/>
  <c r="D15" i="9"/>
  <c r="D16" i="9"/>
  <c r="D17" i="9"/>
  <c r="D18" i="9"/>
  <c r="D19" i="9"/>
  <c r="D20" i="9"/>
  <c r="D21" i="9"/>
  <c r="D22" i="9"/>
  <c r="D23" i="9"/>
  <c r="D24" i="9"/>
  <c r="D25" i="9"/>
  <c r="D26" i="9"/>
  <c r="D27" i="9"/>
  <c r="D28" i="9"/>
  <c r="D3" i="9"/>
  <c r="U5" i="3"/>
  <c r="U6" i="3"/>
  <c r="U7" i="3"/>
  <c r="U8" i="3"/>
  <c r="U9" i="3"/>
  <c r="U10" i="3"/>
  <c r="U11" i="3"/>
  <c r="U12" i="3"/>
  <c r="U13" i="3"/>
  <c r="U14" i="3"/>
  <c r="U15" i="3"/>
  <c r="U16" i="3"/>
  <c r="U17" i="3"/>
  <c r="U18" i="3"/>
  <c r="U19" i="3"/>
  <c r="U20" i="3"/>
  <c r="U21" i="3"/>
  <c r="U22" i="3"/>
  <c r="U23" i="3"/>
  <c r="U24" i="3"/>
  <c r="U25" i="3"/>
  <c r="U26" i="3"/>
  <c r="U27" i="3"/>
  <c r="U28" i="3"/>
  <c r="U29" i="3"/>
  <c r="U30" i="3"/>
  <c r="U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3" authorId="0" shapeId="0" xr:uid="{98F975E9-154E-4349-AE56-ED556CF4845D}">
      <text>
        <r>
          <rPr>
            <sz val="9"/>
            <color indexed="81"/>
            <rFont val="Tahoma"/>
            <family val="2"/>
          </rPr>
          <t xml:space="preserve">Không điền vào cột này
</t>
        </r>
      </text>
    </comment>
    <comment ref="P3" authorId="0" shapeId="0" xr:uid="{63454DFF-9434-4346-806D-675044B6E995}">
      <text>
        <r>
          <rPr>
            <sz val="9"/>
            <color indexed="81"/>
            <rFont val="Tahoma"/>
            <family val="2"/>
          </rPr>
          <t xml:space="preserve">Không điền vào cột này
</t>
        </r>
      </text>
    </comment>
  </commentList>
</comments>
</file>

<file path=xl/sharedStrings.xml><?xml version="1.0" encoding="utf-8"?>
<sst xmlns="http://schemas.openxmlformats.org/spreadsheetml/2006/main" count="1406" uniqueCount="524">
  <si>
    <t>Stt</t>
  </si>
  <si>
    <t>ID</t>
  </si>
  <si>
    <t>Giới Tính</t>
  </si>
  <si>
    <t>Ngày Sinh</t>
  </si>
  <si>
    <t>Tình Trạng Hôn Nhân</t>
  </si>
  <si>
    <t>Địa Chỉ</t>
  </si>
  <si>
    <t>Số Điện Thoại</t>
  </si>
  <si>
    <t>Email</t>
  </si>
  <si>
    <t>Thu Nhập</t>
  </si>
  <si>
    <t>Nghề Nghiệp</t>
  </si>
  <si>
    <t>Nguyên Quán</t>
  </si>
  <si>
    <t>Họ và Tên</t>
  </si>
  <si>
    <t>Gioi Tinh</t>
  </si>
  <si>
    <t>Nam</t>
  </si>
  <si>
    <t>Nữ</t>
  </si>
  <si>
    <t>Viên Chức</t>
  </si>
  <si>
    <t>Vị Trí</t>
  </si>
  <si>
    <t>Công Nhân</t>
  </si>
  <si>
    <t>Nông Dân</t>
  </si>
  <si>
    <t>Học Sinh</t>
  </si>
  <si>
    <t>Sinh Viên</t>
  </si>
  <si>
    <t>Giáo Viên</t>
  </si>
  <si>
    <t>Ghi chú</t>
  </si>
  <si>
    <t>Số Lượng Con Cái</t>
  </si>
  <si>
    <t>Mã KH</t>
  </si>
  <si>
    <t>Tên KH</t>
  </si>
  <si>
    <t>Ngày Refer</t>
  </si>
  <si>
    <t>Phân Loại KH</t>
  </si>
  <si>
    <t>IP Dự Kiến</t>
  </si>
  <si>
    <t>Tình Trạng Chốt Deal</t>
  </si>
  <si>
    <t>CẦN FOLLOW THÊM</t>
  </si>
  <si>
    <t>Chốt Deal (đã thu tiền)</t>
  </si>
  <si>
    <t>Tiềm năng chốt Deal</t>
  </si>
  <si>
    <t>Cần Follow thêm</t>
  </si>
  <si>
    <t>Từ chối</t>
  </si>
  <si>
    <t>Ngày Chốt Deal</t>
  </si>
  <si>
    <t>Kết Quả Gặp Lần 1</t>
  </si>
  <si>
    <t>Kết Quả Gặp Lần 2</t>
  </si>
  <si>
    <t>Kết Quả Gặp Lần 3</t>
  </si>
  <si>
    <t>Ngày Lần 1</t>
  </si>
  <si>
    <t>Ngày Lần 2</t>
  </si>
  <si>
    <t>Ngày Lần 3</t>
  </si>
  <si>
    <t>Ngày chốt Deal dự kiến</t>
  </si>
  <si>
    <t>KHÁCH HÀNG</t>
  </si>
  <si>
    <t>THEO DÕI TÌNH TRẠNG REFER</t>
  </si>
  <si>
    <t>THÔNG TIN CÁN BỘ REFER</t>
  </si>
  <si>
    <t>Mã Cán Bộ</t>
  </si>
  <si>
    <t>Tên Cán Bộ</t>
  </si>
  <si>
    <t>Tên Đơn Vị</t>
  </si>
  <si>
    <t>Tên RM</t>
  </si>
  <si>
    <t>Tên FA</t>
  </si>
  <si>
    <t>Tên Sale</t>
  </si>
  <si>
    <t>Chức Danh</t>
  </si>
  <si>
    <t>Khu Vực</t>
  </si>
  <si>
    <t>Chi Nhánh</t>
  </si>
  <si>
    <t>Mã Đơn Vị</t>
  </si>
  <si>
    <t>Mã NV Sale (CIF)</t>
  </si>
  <si>
    <t>RM001</t>
  </si>
  <si>
    <t>RM002</t>
  </si>
  <si>
    <t>RM003</t>
  </si>
  <si>
    <t>RM004</t>
  </si>
  <si>
    <t>THÔNG TIN KHÁCH HÀNG</t>
  </si>
  <si>
    <t>THÔNG TIN REFER</t>
  </si>
  <si>
    <t>KHU VỰC</t>
  </si>
  <si>
    <t>MÃ NV SALE (CIF)</t>
  </si>
  <si>
    <t>TÊN SALE</t>
  </si>
  <si>
    <t>CHỨC DANH</t>
  </si>
  <si>
    <t>TÊN KHÁCH HÀNG</t>
  </si>
  <si>
    <t>NGÀY SINH</t>
  </si>
  <si>
    <t>NGÀY REFER</t>
  </si>
  <si>
    <t>THÁNG REFER</t>
  </si>
  <si>
    <t>PHÂN LOẠI KHÁCH HÀNG</t>
  </si>
  <si>
    <t>IP DỰ KIẾN</t>
  </si>
  <si>
    <t>TÌNH TRẠNG</t>
  </si>
  <si>
    <t>KẾT QUẢ GẶP LẦN 1</t>
  </si>
  <si>
    <t>KẾT QUẢ GẶP LẦN 2</t>
  </si>
  <si>
    <t>KẾT QUẢ GẶP LẦN 3</t>
  </si>
  <si>
    <t>THỜI GIAN CHỐT DEAL DỰ KIẾN</t>
  </si>
  <si>
    <t>VAY</t>
  </si>
  <si>
    <t>GDV/KSV KHCN</t>
  </si>
  <si>
    <t>HUY ĐỘNG</t>
  </si>
  <si>
    <t>RM</t>
  </si>
  <si>
    <t>RM/TL KHCN</t>
  </si>
  <si>
    <t>RM/TL KHDN</t>
  </si>
  <si>
    <t>KHÁC</t>
  </si>
  <si>
    <t>RM/TL KHUT</t>
  </si>
  <si>
    <t>TP/PP DVKH</t>
  </si>
  <si>
    <t>Vay</t>
  </si>
  <si>
    <t>Huy Động</t>
  </si>
  <si>
    <t>Thẻ Tín Dụng</t>
  </si>
  <si>
    <t>Payroll</t>
  </si>
  <si>
    <t>Khác</t>
  </si>
  <si>
    <t>DAO</t>
  </si>
  <si>
    <t>9332</t>
  </si>
  <si>
    <t>9335</t>
  </si>
  <si>
    <t>9333</t>
  </si>
  <si>
    <t>9337</t>
  </si>
  <si>
    <t>9344</t>
  </si>
  <si>
    <t>9346</t>
  </si>
  <si>
    <t>9345</t>
  </si>
  <si>
    <t>9343</t>
  </si>
  <si>
    <t>9338</t>
  </si>
  <si>
    <t>9339</t>
  </si>
  <si>
    <t>9336</t>
  </si>
  <si>
    <t>9340</t>
  </si>
  <si>
    <t>9341</t>
  </si>
  <si>
    <t>9342</t>
  </si>
  <si>
    <t>9334</t>
  </si>
  <si>
    <t>9390</t>
  </si>
  <si>
    <t>9313</t>
  </si>
  <si>
    <t>9311</t>
  </si>
  <si>
    <t>9323</t>
  </si>
  <si>
    <t>9314</t>
  </si>
  <si>
    <t>9308</t>
  </si>
  <si>
    <t>9317</t>
  </si>
  <si>
    <t>9321</t>
  </si>
  <si>
    <t>9315</t>
  </si>
  <si>
    <t>9307</t>
  </si>
  <si>
    <t>9316</t>
  </si>
  <si>
    <t>9318</t>
  </si>
  <si>
    <t>9319</t>
  </si>
  <si>
    <t>9306</t>
  </si>
  <si>
    <t>9310</t>
  </si>
  <si>
    <t>9320</t>
  </si>
  <si>
    <t>9301</t>
  </si>
  <si>
    <t>9305</t>
  </si>
  <si>
    <t>9312</t>
  </si>
  <si>
    <t>9325</t>
  </si>
  <si>
    <t>9304</t>
  </si>
  <si>
    <t>9303</t>
  </si>
  <si>
    <t>9302</t>
  </si>
  <si>
    <t>9324</t>
  </si>
  <si>
    <t>9309</t>
  </si>
  <si>
    <t>9369</t>
  </si>
  <si>
    <t>9370</t>
  </si>
  <si>
    <t>9371</t>
  </si>
  <si>
    <t>9374</t>
  </si>
  <si>
    <t>9375</t>
  </si>
  <si>
    <t>9376</t>
  </si>
  <si>
    <t>9372</t>
  </si>
  <si>
    <t>9373</t>
  </si>
  <si>
    <t>9377</t>
  </si>
  <si>
    <t>9378</t>
  </si>
  <si>
    <t>9382</t>
  </si>
  <si>
    <t>9383</t>
  </si>
  <si>
    <t>9326</t>
  </si>
  <si>
    <t>9328</t>
  </si>
  <si>
    <t>9329</t>
  </si>
  <si>
    <t>9330</t>
  </si>
  <si>
    <t>9327</t>
  </si>
  <si>
    <t>9331</t>
  </si>
  <si>
    <t>9362</t>
  </si>
  <si>
    <t>9363</t>
  </si>
  <si>
    <t>9364</t>
  </si>
  <si>
    <t>9365</t>
  </si>
  <si>
    <t>9381</t>
  </si>
  <si>
    <t>9384</t>
  </si>
  <si>
    <t>9387</t>
  </si>
  <si>
    <t>9355</t>
  </si>
  <si>
    <t>9356</t>
  </si>
  <si>
    <t>9357</t>
  </si>
  <si>
    <t>9358</t>
  </si>
  <si>
    <t>9359</t>
  </si>
  <si>
    <t>9360</t>
  </si>
  <si>
    <t>9361</t>
  </si>
  <si>
    <t>9366</t>
  </si>
  <si>
    <t>9367</t>
  </si>
  <si>
    <t>9368</t>
  </si>
  <si>
    <t>9347</t>
  </si>
  <si>
    <t>9348</t>
  </si>
  <si>
    <t>9349</t>
  </si>
  <si>
    <t>9350</t>
  </si>
  <si>
    <t>9351</t>
  </si>
  <si>
    <t>9353</t>
  </si>
  <si>
    <t>9352</t>
  </si>
  <si>
    <t>9354</t>
  </si>
  <si>
    <t>9388</t>
  </si>
  <si>
    <t>9389</t>
  </si>
  <si>
    <t>9379</t>
  </si>
  <si>
    <t>9380</t>
  </si>
  <si>
    <t>9385</t>
  </si>
  <si>
    <t>9386</t>
  </si>
  <si>
    <t>9213</t>
  </si>
  <si>
    <t>9203</t>
  </si>
  <si>
    <t>9214</t>
  </si>
  <si>
    <t>9250</t>
  </si>
  <si>
    <t>9322</t>
  </si>
  <si>
    <t>9216</t>
  </si>
  <si>
    <t>9215</t>
  </si>
  <si>
    <t>9240</t>
  </si>
  <si>
    <t>9235</t>
  </si>
  <si>
    <t>9239</t>
  </si>
  <si>
    <t>9222</t>
  </si>
  <si>
    <t>9221</t>
  </si>
  <si>
    <t>9242</t>
  </si>
  <si>
    <t>9220</t>
  </si>
  <si>
    <t>9223</t>
  </si>
  <si>
    <t>9232</t>
  </si>
  <si>
    <t>9200</t>
  </si>
  <si>
    <t>9234</t>
  </si>
  <si>
    <t>9233</t>
  </si>
  <si>
    <t>9230</t>
  </si>
  <si>
    <t>9210</t>
  </si>
  <si>
    <t>9237</t>
  </si>
  <si>
    <t>9231</t>
  </si>
  <si>
    <t>9211</t>
  </si>
  <si>
    <t>9228</t>
  </si>
  <si>
    <t>9227</t>
  </si>
  <si>
    <t>9241</t>
  </si>
  <si>
    <t>9236</t>
  </si>
  <si>
    <t>9600</t>
  </si>
  <si>
    <t>9601</t>
  </si>
  <si>
    <t>9254</t>
  </si>
  <si>
    <t>Phân loại chi nhánh</t>
  </si>
  <si>
    <t>Đa năng</t>
  </si>
  <si>
    <t>Bán lẻ</t>
  </si>
  <si>
    <t>Khu vực</t>
  </si>
  <si>
    <t>Khu vực Hà Nội</t>
  </si>
  <si>
    <t>Khu vực Sài Gòn</t>
  </si>
  <si>
    <t>Khu vực Miền Nam</t>
  </si>
  <si>
    <t>Khu vực Miền Trung</t>
  </si>
  <si>
    <t>Khu vực Miền Bắc</t>
  </si>
  <si>
    <t>TRUNG TÂM KHUT</t>
  </si>
  <si>
    <t>Đơn Vị Bán</t>
  </si>
  <si>
    <t>Trung Tâm KHUT</t>
  </si>
  <si>
    <t>Năm Sinh</t>
  </si>
  <si>
    <t>GDV/KSV KHUT</t>
  </si>
  <si>
    <t>TP/PP KHCN</t>
  </si>
  <si>
    <t>TP/PP KHDN</t>
  </si>
  <si>
    <t>Nguyễn Việt Hà</t>
  </si>
  <si>
    <t>Nguyễn Duy Trung</t>
  </si>
  <si>
    <t>Trần Đức Thịnh</t>
  </si>
  <si>
    <t>Lê Thị Hoài Phương</t>
  </si>
  <si>
    <t>TÊN ĐƠN VỊ</t>
  </si>
  <si>
    <t>FA</t>
  </si>
  <si>
    <t>CN Đà Nẵng</t>
  </si>
  <si>
    <t>NGUYỄN DUY TRUNG</t>
  </si>
  <si>
    <t>NGUYỄN THỊ THANH HƯƠNG</t>
  </si>
  <si>
    <t>Hoàng Thị Dương Yến</t>
  </si>
  <si>
    <t>Nguyễn Trịnh Thanh Tuấn</t>
  </si>
  <si>
    <t>KH làm lĩnh vực xây dựng, chưa tham gia BH. Đã kết bạn zalo, đã gửi BMH và tư vấn KH, KH đang xem chi tiết về các quyền lợi trong BMH</t>
  </si>
  <si>
    <t>NGÔ THỊ THU</t>
  </si>
  <si>
    <t>PHAN THỊ BÊ</t>
  </si>
  <si>
    <t>Nguyễn Thị Thanh Trúc</t>
  </si>
  <si>
    <t>kh đang gửi trên 500tr,  đã có gia đình,con đều đã lớn, thích tập yoga, đã sử dụng bảo hiểm nhân thọ</t>
  </si>
  <si>
    <t>Nguyễn Tấn Ngọc</t>
  </si>
  <si>
    <t>kh gửi trên 1 tỷ,làm giáo viên dạy vật lý, đang độc thân, rất tiết kiệm</t>
  </si>
  <si>
    <t>Nguyễn Thị Mai Khanh</t>
  </si>
  <si>
    <t>kh gửi trên 500tr, đã có gia đình, làm kế toán, đã từng mới mua bảo hiểm nhưng từ chối</t>
  </si>
  <si>
    <t>Đã liên hệ KH qua điện thoại.</t>
  </si>
  <si>
    <t>KH từ chối khéo nghe tư vấn</t>
  </si>
  <si>
    <t>NGUYỄN THỊ NHẬT MI</t>
  </si>
  <si>
    <t>HOÀNG DIỄM THƯ</t>
  </si>
  <si>
    <t>LÊ QUANG HỢP</t>
  </si>
  <si>
    <t>25/08/1991</t>
  </si>
  <si>
    <t>Đã gửi BMH, về nc thêm với vợ, sẽ hẹn gặp trực tiếp 2 vc, bạn CBB</t>
  </si>
  <si>
    <t>TRƯƠNG THỊ TỊNH ANH</t>
  </si>
  <si>
    <t>TRẦN THỊ NGỌC</t>
  </si>
  <si>
    <t>22/10/1981</t>
  </si>
  <si>
    <t>Đã gửi BMH đến KH, KH cần sn thêm</t>
  </si>
  <si>
    <t>Trần Thảo Hạ Nguyên</t>
  </si>
  <si>
    <t>Phạm Thị Hải Yến</t>
  </si>
  <si>
    <t>Chưa tham gia gói BH nào, quan tâm đến bảo vệ và tiết kiệm, đã gửi BMH cho KH.</t>
  </si>
  <si>
    <t>Lê Thị Thu Diệu</t>
  </si>
  <si>
    <t>Mai Văn Thơ</t>
  </si>
  <si>
    <t>TỪ CHỐI</t>
  </si>
  <si>
    <t>Đã kết bạn zalo, đang sơ vấn cho KH</t>
  </si>
  <si>
    <t>CN Tây Lộc</t>
  </si>
  <si>
    <t>ĐOÀN THỊ MINH NGUYỆT</t>
  </si>
  <si>
    <t>Huỳnh Thị Minh Hiền</t>
  </si>
  <si>
    <t>HOÀNG THỊ BĂNG CHÂU</t>
  </si>
  <si>
    <t>28/12/1976</t>
  </si>
  <si>
    <t>KH đã nghe tư vấn, mang BMH về nhà, hẹn ngày mai lên phản hồi, FA và GDV đang theo sát</t>
  </si>
  <si>
    <t>Hồ Thị Thu Hà</t>
  </si>
  <si>
    <t>Nguyễn Thanh Hoa</t>
  </si>
  <si>
    <t>Đã liên hệ KH và đang sơ vấn</t>
  </si>
  <si>
    <t>KH chưa chuẩn bị thêm được tài chính</t>
  </si>
  <si>
    <t>Trần Thị Diễm My</t>
  </si>
  <si>
    <t>Đã ib zalo KH, KH làm nhân viên Ngân hàng Viettin</t>
  </si>
  <si>
    <t>Hoàng Thị Xoan</t>
  </si>
  <si>
    <t>Trương Thị Trang</t>
  </si>
  <si>
    <t>Đã liên hệ, sơ vấn cho KH, Kh đã tham gia 1 gói BH của Manulife, đang tư vấn để mở rộng thêm quyền lợi cho KH</t>
  </si>
  <si>
    <t>NGUYỄN THỊ THUỲ</t>
  </si>
  <si>
    <t>LÊ THỊ THU HẰNG</t>
  </si>
  <si>
    <t>NGUYỄN NGỌC HOÀNG</t>
  </si>
  <si>
    <t>CHỐT DEAL</t>
  </si>
  <si>
    <t>Chốt deal, khách hàng đã nghe tư vấn kĩ về quyền lợi của sản phẩm</t>
  </si>
  <si>
    <t>CN Đông Ba</t>
  </si>
  <si>
    <t>VÕ THỊ THANH NHÀN</t>
  </si>
  <si>
    <t>NGÔ THỊ BÍCH</t>
  </si>
  <si>
    <t>Chốt deal thành công</t>
  </si>
  <si>
    <t>NGUYỄN THỊ QUỲNH ANH</t>
  </si>
  <si>
    <t>ĐÀO THỊ HƯƠNG</t>
  </si>
  <si>
    <t>Đã gửi BMH đến CBB để đưa KH tham khảo ( chị dâu CCB)</t>
  </si>
  <si>
    <t>ĐẶNG THỊ DIỆU HIỀN</t>
  </si>
  <si>
    <t>LÊ VĂN MINH TRIỂN</t>
  </si>
  <si>
    <t>15/01/1991</t>
  </si>
  <si>
    <t>Đã gửi BMH đến KH, CB của ngân hàng khác, muốn tham khảo sp</t>
  </si>
  <si>
    <t>Nguyễn Tiến Dương</t>
  </si>
  <si>
    <t xml:space="preserve">Đã liên hệ, đang sơ vấn cho KH </t>
  </si>
  <si>
    <t>Lê Văn Minh Hiếu</t>
  </si>
  <si>
    <t xml:space="preserve">Nguyễn Ngọc Phúc </t>
  </si>
  <si>
    <t>Võ Thị Mỹ Thuận</t>
  </si>
  <si>
    <t>KH đồng ý nghe tư vấn qua BMH, cần tương tác thêm</t>
  </si>
  <si>
    <t xml:space="preserve">Ngô Lê Nhật Minh </t>
  </si>
  <si>
    <t>Tôn Nữ Hải Châu</t>
  </si>
  <si>
    <t>14/12/1973</t>
  </si>
  <si>
    <t>Trần Thị Ngân</t>
  </si>
  <si>
    <t>Trần Thị Nga</t>
  </si>
  <si>
    <t xml:space="preserve"> TIỀM NĂNG </t>
  </si>
  <si>
    <t>Đã liên hệ, đang sơ vấn cho KH, KH đã có 1 gói BH cho con. Đang tư vấn cho KH để tham gia cho 2 vợ chồng là người trụ cột.</t>
  </si>
  <si>
    <t>Nguyễn Hữu Quốc Thịnh</t>
  </si>
  <si>
    <t>Lê Thảo Uyên</t>
  </si>
  <si>
    <t>KH đã có 2 gói BH tại Map và Gen, đang cân nhắc.</t>
  </si>
  <si>
    <t>Trần Ly Na</t>
  </si>
  <si>
    <t>Trần Quang Hiếu</t>
  </si>
  <si>
    <t>LÊ TẤN BIÊN</t>
  </si>
  <si>
    <t>HUỲNH KIM HƯNG</t>
  </si>
  <si>
    <t>KH CHỐT DEAL</t>
  </si>
  <si>
    <t>LÊ THỊ DIỆP KHANH</t>
  </si>
  <si>
    <t>LÊ THỊ PHƯƠNG ANH</t>
  </si>
  <si>
    <t>Đã gửi BMH và tv cho khách, muốn thẻ bảo lãnh viện phí về suy nghĩ thêm, nv spa</t>
  </si>
  <si>
    <t>TRƯƠNG QUỐC ANH</t>
  </si>
  <si>
    <t>15/10/1991</t>
  </si>
  <si>
    <t>Đã gửi BMH đến KH, anh trai của CBB</t>
  </si>
  <si>
    <t>KH nghe tư vấn và chốt đồng ý</t>
  </si>
  <si>
    <t>Ngô Văn Vũ</t>
  </si>
  <si>
    <t>anh Trực</t>
  </si>
  <si>
    <t>Đã kết bạn zalo, sơ vấn</t>
  </si>
  <si>
    <t>NGUYỄN THỊ HẢI TRIỀU</t>
  </si>
  <si>
    <t>NGUYỄN NHƯ LỰC</t>
  </si>
  <si>
    <t>22/03/1968</t>
  </si>
  <si>
    <t>Đã gửi BMH và tv cho KH, Kh cần tham khảo thêm</t>
  </si>
  <si>
    <t>CN Trưng Nữ Vương</t>
  </si>
  <si>
    <t>NGUYỄN THỊ HOÀNG PHƯƠNG</t>
  </si>
  <si>
    <t>Trương Thi Phương Nhã</t>
  </si>
  <si>
    <t>Trương Phước Quang</t>
  </si>
  <si>
    <t>Nguyễn Thị Mỹ Huyền</t>
  </si>
  <si>
    <t>LÊ THỊ PHƯƠNG HẢI</t>
  </si>
  <si>
    <t>17/12/1990</t>
  </si>
  <si>
    <t>ngày 12/6 kh chốt deal</t>
  </si>
  <si>
    <t>Phạm Trường Bính</t>
  </si>
  <si>
    <t>Anh Lộc</t>
  </si>
  <si>
    <t>Đã kết bạn zalo, sơ vấn. KH từng làm nhân viên BH tại AIA hiện tại đang làm Mbbank</t>
  </si>
  <si>
    <t>Lý Tú Bình</t>
  </si>
  <si>
    <t>Nguyễn Thị Bích Phượng</t>
  </si>
  <si>
    <t>Đã kết bạn zalo, sơ vấn.</t>
  </si>
  <si>
    <t>Nguyễn Ái Thành</t>
  </si>
  <si>
    <t>Phan Anh Quốc</t>
  </si>
  <si>
    <t>Đã liên hệ, gửi BMH</t>
  </si>
  <si>
    <t>Lê Thục Ngân</t>
  </si>
  <si>
    <t>anh Huy</t>
  </si>
  <si>
    <t>Đã liên hệ, sơ vấn cho KH.</t>
  </si>
  <si>
    <t>HOÀNG THỊ MINH THƯ</t>
  </si>
  <si>
    <t>LÊ THỊ DẦN</t>
  </si>
  <si>
    <t>Tư vấn BMH, khách tích cực. Cần chăm sóc thêm</t>
  </si>
  <si>
    <t>ngày 12/6 kh hốt deal</t>
  </si>
  <si>
    <t>LÊ THỊ THÚY</t>
  </si>
  <si>
    <t>Đã gửi BMH đến KH, mẹ mua cho con, bạn của CBB</t>
  </si>
  <si>
    <t>NGUYỄN VĂN CHÍNH</t>
  </si>
  <si>
    <t>Đã gửi BMH đến KH, ng thân của CBB</t>
  </si>
  <si>
    <t>Lê Thị Duyên</t>
  </si>
  <si>
    <t>Đặng Thị Ánh</t>
  </si>
  <si>
    <t xml:space="preserve">Đã kết bạn zalo, đang sơ vấn cho KH </t>
  </si>
  <si>
    <t>DƯƠNG VIẾT NGÂN TRANG</t>
  </si>
  <si>
    <t>kh mới gặp lần đầu, đã tư vấn và đánh bảng minh họa, kh muốn tìm hiểu thêm</t>
  </si>
  <si>
    <t>Phạm Thị Thanh Hương</t>
  </si>
  <si>
    <t>NGUYỄN LONG</t>
  </si>
  <si>
    <t>kh muốn tìm hiểu bảo hiểm để mua cho 2 vk ck, đã tư vấn, 2 vk ck về suy nghĩ thêm</t>
  </si>
  <si>
    <t>Phan Thị Thanh Thúy</t>
  </si>
  <si>
    <t>chị Đào</t>
  </si>
  <si>
    <t>Đã liên hệ, sơ vấn cho KH, KH làm banker và đã tham gia Bảo hiểm.</t>
  </si>
  <si>
    <t>Trần Thị Nguyệt</t>
  </si>
  <si>
    <t>NGUYỄN THỊ THANH NGA</t>
  </si>
  <si>
    <t>Đã gửi BMH và tv cho KH, cần vè bàn bạc với gia đình</t>
  </si>
  <si>
    <t>Nguyễn Hoài Vinh</t>
  </si>
  <si>
    <t>kHÁC</t>
  </si>
  <si>
    <t>Đã gửi BMH cho kháhc hàng,sơ vấn qua điện thoại, hẹn gặp trực tiếp</t>
  </si>
  <si>
    <t>Trương Diệp Long</t>
  </si>
  <si>
    <t>KH từ chối vì chưa chuẩn bị được tài chính</t>
  </si>
  <si>
    <t>CN Ngô Quyền</t>
  </si>
  <si>
    <t>Nguyễn Văn Xuân Trà</t>
  </si>
  <si>
    <t>Nguyễn Thị Xuân Giang</t>
  </si>
  <si>
    <t>27/5/1999</t>
  </si>
  <si>
    <t>Thái Vân Khánh</t>
  </si>
  <si>
    <t>Nguyễn Thanh Vân</t>
  </si>
  <si>
    <t>20/1/1974</t>
  </si>
  <si>
    <t>Lê Quang Thanh</t>
  </si>
  <si>
    <t>Đoàn Ngọc Khánh Vân</t>
  </si>
  <si>
    <t>Trương Thị Tuyết Sương</t>
  </si>
  <si>
    <t>Gia đình không đồng ý</t>
  </si>
  <si>
    <t>Đoàn Thanh Tùng</t>
  </si>
  <si>
    <t>Trương Thị Tuyết Nương</t>
  </si>
  <si>
    <t>Nguyễn Trung Hiếu</t>
  </si>
  <si>
    <t xml:space="preserve">Chốt deal </t>
  </si>
  <si>
    <t>CCB muốn tìm hiểu về sp</t>
  </si>
  <si>
    <t>25/03/1989</t>
  </si>
  <si>
    <t>CBB muốn tìm hiểu sp chồng và con</t>
  </si>
  <si>
    <t>PHẠM LÊ ANH THƠ</t>
  </si>
  <si>
    <t>ĐINH THỊ QUỲNH CHÂU</t>
  </si>
  <si>
    <t>Lê Hà Tuấn</t>
  </si>
  <si>
    <t>Đã liên hệ, gửi BMH cho Kh</t>
  </si>
  <si>
    <t>Nguyễn Quang Trung</t>
  </si>
  <si>
    <t>chị Trang banker (muốn tìm hiểu tham gia cho ck)</t>
  </si>
  <si>
    <t>NGUYỄN THỊ THU HÀ</t>
  </si>
  <si>
    <t>Hỏi ý kiến chồng, đã tư vấn BMH, suy nghĩ  thêm, chăm sóc thêm</t>
  </si>
  <si>
    <t>TỐNG PHƯỚC TÍCH</t>
  </si>
  <si>
    <t>Đã nghe tư vấn bảng minh họa. Khách bị tiểu đường, cần cân nhắc thêm</t>
  </si>
  <si>
    <t>Lê Thị Dịu Hương</t>
  </si>
  <si>
    <t>Nguyễn Thị Thu Thuỷ</t>
  </si>
  <si>
    <t>Khách hàng đồng ý nghe tư vấn, cần suy nghĩ thêm</t>
  </si>
  <si>
    <t>KH từ chối</t>
  </si>
  <si>
    <t>Nguyễn Đặng Xuân Tú</t>
  </si>
  <si>
    <t>Đã chạy bảng minh hoạ, chỉ mới tư vấn qua điện thoại --&gt; KH từ chối, nhờ Banker đặt cuộc hẹn trực tiếp</t>
  </si>
  <si>
    <t>Trần Thị Khánh Linh</t>
  </si>
  <si>
    <t>Đã chạy BMH, tư vấn sản phẩm, khách hàng đồng ý tham gia.</t>
  </si>
  <si>
    <t>Chốt Deal</t>
  </si>
  <si>
    <t>Hợp đồng đã phát hành (30/05)</t>
  </si>
  <si>
    <t>RM002-01</t>
  </si>
  <si>
    <t>RM002-02</t>
  </si>
  <si>
    <t>RM002-03</t>
  </si>
  <si>
    <t>RM002-04</t>
  </si>
  <si>
    <t>RM002-05</t>
  </si>
  <si>
    <t>RM002-06</t>
  </si>
  <si>
    <t>RM002-07</t>
  </si>
  <si>
    <t>RM002-08</t>
  </si>
  <si>
    <t>RM002-09</t>
  </si>
  <si>
    <t>RM002-10</t>
  </si>
  <si>
    <t>RM002-11</t>
  </si>
  <si>
    <t>RM002-12</t>
  </si>
  <si>
    <t>RM002-13</t>
  </si>
  <si>
    <t>RM002-14</t>
  </si>
  <si>
    <t>RM002-15</t>
  </si>
  <si>
    <t>RM002-16</t>
  </si>
  <si>
    <t>RM002-17</t>
  </si>
  <si>
    <t>RM002-18</t>
  </si>
  <si>
    <t>RM002-19</t>
  </si>
  <si>
    <t>RM002-20</t>
  </si>
  <si>
    <t>RM002-21</t>
  </si>
  <si>
    <t>RM002-22</t>
  </si>
  <si>
    <t>RM002-23</t>
  </si>
  <si>
    <t>RM002-24</t>
  </si>
  <si>
    <t>RM002-25</t>
  </si>
  <si>
    <t>RM002-26</t>
  </si>
  <si>
    <t>RM002-27</t>
  </si>
  <si>
    <t>RM002-28</t>
  </si>
  <si>
    <t>RM002-29</t>
  </si>
  <si>
    <t>RM002-30</t>
  </si>
  <si>
    <t>RM002-31</t>
  </si>
  <si>
    <t>RM002-32</t>
  </si>
  <si>
    <t>RM002-33</t>
  </si>
  <si>
    <t>RM002-34</t>
  </si>
  <si>
    <t>RM002-35</t>
  </si>
  <si>
    <t>RM002-36</t>
  </si>
  <si>
    <t>RM002-37</t>
  </si>
  <si>
    <t>RM002-38</t>
  </si>
  <si>
    <t>RM002-39</t>
  </si>
  <si>
    <t>RM002-40</t>
  </si>
  <si>
    <t>RM002-41</t>
  </si>
  <si>
    <t>RM002-42</t>
  </si>
  <si>
    <t>RM002-43</t>
  </si>
  <si>
    <t>RM002-44</t>
  </si>
  <si>
    <t>RM002-45</t>
  </si>
  <si>
    <t>RM002-46</t>
  </si>
  <si>
    <t>RM002-47</t>
  </si>
  <si>
    <t>RM002-48</t>
  </si>
  <si>
    <t>RM002-49</t>
  </si>
  <si>
    <t>RM002-50</t>
  </si>
  <si>
    <t>RM002-51</t>
  </si>
  <si>
    <t>RM002-52</t>
  </si>
  <si>
    <t>RM002-53</t>
  </si>
  <si>
    <t>RM002-54</t>
  </si>
  <si>
    <t>RM002-55</t>
  </si>
  <si>
    <t>RM002-56</t>
  </si>
  <si>
    <t>RM002-57</t>
  </si>
  <si>
    <t>RM002-58</t>
  </si>
  <si>
    <t>RM002-59</t>
  </si>
  <si>
    <t>RM002-60</t>
  </si>
  <si>
    <t>RM002-61</t>
  </si>
  <si>
    <t>RM002-62</t>
  </si>
  <si>
    <t>RM002-63</t>
  </si>
  <si>
    <t>RM002-64</t>
  </si>
  <si>
    <t>RM002-65</t>
  </si>
  <si>
    <t>RM002-66</t>
  </si>
  <si>
    <t>Added</t>
  </si>
  <si>
    <t>RM002-67</t>
  </si>
  <si>
    <t>RM002-68</t>
  </si>
  <si>
    <t>RM002-69</t>
  </si>
  <si>
    <t>RM002-70</t>
  </si>
  <si>
    <t>RM002-71</t>
  </si>
  <si>
    <t>RM002-72</t>
  </si>
  <si>
    <t>RM002-73</t>
  </si>
  <si>
    <t>RM002-74</t>
  </si>
  <si>
    <t>RM002-75</t>
  </si>
  <si>
    <t>RM002-76</t>
  </si>
  <si>
    <t>RM002-77</t>
  </si>
  <si>
    <t>RM002-78</t>
  </si>
  <si>
    <t>RM002-79</t>
  </si>
  <si>
    <t>RM002-80</t>
  </si>
  <si>
    <t>RM002-81</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</si>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</sst>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1010000]d/m/yy;@"/>
    <numFmt numFmtId="166" formatCode="_(* #,##0_);_(* \(#,##0\);_(* &quot;-&quot;_);_(@_)"/>
    <numFmt numFmtId="167" formatCode="_(* #,##0.00_);_(* \(#,##0.00\);_(* &quot;-&quot;??_);_(@_)"/>
    <numFmt numFmtId="168" formatCode="[$-409]0%"/>
    <numFmt numFmtId="169" formatCode="#,##0;[Red]#,##0"/>
  </numFmts>
  <fonts count="1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theme="1"/>
      <name val="Times New Roman"/>
      <family val="1"/>
    </font>
    <font>
      <sz val="12"/>
      <color theme="1"/>
      <name val="Calibri"/>
      <family val="2"/>
      <scheme val="minor"/>
    </font>
    <font>
      <b/>
      <sz val="12"/>
      <color theme="1"/>
      <name val="Arial"/>
      <family val="2"/>
    </font>
    <font>
      <sz val="12"/>
      <color theme="1"/>
      <name val="Arial"/>
      <family val="2"/>
    </font>
    <font>
      <sz val="12"/>
      <color rgb="FF000000"/>
      <name val="Arial"/>
      <family val="2"/>
    </font>
    <font>
      <sz val="12"/>
      <color rgb="FF000000"/>
      <name val="Calibri"/>
      <family val="2"/>
      <scheme val="minor"/>
    </font>
    <font>
      <sz val="10"/>
      <name val="Arial"/>
      <family val="2"/>
    </font>
    <font>
      <sz val="12"/>
      <color theme="1"/>
      <name val="Cambria"/>
      <family val="1"/>
    </font>
    <font>
      <sz val="12"/>
      <name val="Arial"/>
      <family val="2"/>
    </font>
    <font>
      <sz val="9"/>
      <color indexed="81"/>
      <name val="Tahoma"/>
      <family val="2"/>
    </font>
  </fonts>
  <fills count="1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theme="0"/>
      </patternFill>
    </fill>
    <fill>
      <patternFill patternType="solid">
        <fgColor rgb="FFFFFFFF"/>
        <bgColor rgb="FFFFFFFF"/>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00B0F0"/>
        <bgColor theme="0"/>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hair">
        <color auto="1"/>
      </top>
      <bottom style="hair">
        <color auto="1"/>
      </bottom>
      <diagonal/>
    </border>
    <border>
      <left style="thin">
        <color auto="1"/>
      </left>
      <right style="thin">
        <color auto="1"/>
      </right>
      <top style="hair">
        <color auto="1"/>
      </top>
      <bottom/>
      <diagonal/>
    </border>
    <border>
      <left/>
      <right/>
      <top style="hair">
        <color auto="1"/>
      </top>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0">
    <xf numFmtId="0" fontId="0" fillId="0" borderId="0"/>
    <xf numFmtId="43" fontId="3" fillId="0" borderId="0" applyFont="0" applyFill="0" applyBorder="0" applyAlignment="0" applyProtection="0"/>
    <xf numFmtId="0" fontId="3" fillId="0" borderId="0"/>
    <xf numFmtId="0" fontId="5" fillId="0" borderId="0"/>
    <xf numFmtId="166" fontId="5" fillId="0" borderId="0" applyFont="0" applyFill="0" applyBorder="0" applyAlignment="0" applyProtection="0"/>
    <xf numFmtId="167" fontId="5" fillId="0" borderId="0" applyFont="0" applyFill="0" applyBorder="0" applyAlignment="0" applyProtection="0"/>
    <xf numFmtId="168" fontId="3" fillId="0" borderId="0"/>
    <xf numFmtId="0" fontId="10" fillId="0" borderId="0"/>
    <xf numFmtId="0" fontId="10" fillId="0" borderId="0"/>
    <xf numFmtId="167" fontId="3" fillId="0" borderId="0" applyFont="0" applyFill="0" applyBorder="0" applyAlignment="0" applyProtection="0"/>
  </cellStyleXfs>
  <cellXfs count="191">
    <xf numFmtId="0" fontId="0" fillId="0" borderId="0" xfId="0"/>
    <xf numFmtId="0" fontId="1" fillId="0" borderId="0" xfId="0" applyFont="1"/>
    <xf numFmtId="0" fontId="1" fillId="3" borderId="0" xfId="0" applyFont="1" applyFill="1"/>
    <xf numFmtId="0" fontId="0" fillId="3" borderId="0" xfId="0" applyFill="1"/>
    <xf numFmtId="14" fontId="0" fillId="3" borderId="7" xfId="0" applyNumberFormat="1" applyFill="1" applyBorder="1"/>
    <xf numFmtId="14" fontId="0" fillId="3" borderId="8" xfId="0" applyNumberFormat="1" applyFill="1" applyBorder="1"/>
    <xf numFmtId="0" fontId="1" fillId="3" borderId="2" xfId="0" applyFont="1" applyFill="1" applyBorder="1" applyAlignment="1">
      <alignment horizontal="centerContinuous"/>
    </xf>
    <xf numFmtId="0" fontId="1" fillId="2" borderId="2" xfId="0" applyFont="1" applyFill="1" applyBorder="1" applyAlignment="1">
      <alignment horizontal="centerContinuous"/>
    </xf>
    <xf numFmtId="0" fontId="1" fillId="0" borderId="4" xfId="0" applyFont="1" applyBorder="1"/>
    <xf numFmtId="0" fontId="1" fillId="0" borderId="2" xfId="0" applyFont="1" applyBorder="1"/>
    <xf numFmtId="0" fontId="1" fillId="0" borderId="6" xfId="0" applyFont="1" applyBorder="1"/>
    <xf numFmtId="0" fontId="1" fillId="3" borderId="1" xfId="0" applyFont="1" applyFill="1" applyBorder="1"/>
    <xf numFmtId="0" fontId="1" fillId="2" borderId="1" xfId="0" applyFont="1" applyFill="1" applyBorder="1"/>
    <xf numFmtId="0" fontId="1" fillId="0" borderId="5" xfId="0" applyFont="1" applyBorder="1"/>
    <xf numFmtId="0" fontId="1" fillId="0" borderId="3" xfId="0" applyFont="1" applyBorder="1"/>
    <xf numFmtId="0" fontId="0" fillId="3" borderId="7" xfId="0" applyFill="1" applyBorder="1"/>
    <xf numFmtId="0" fontId="0" fillId="3" borderId="7" xfId="0" applyFill="1" applyBorder="1" applyAlignment="1">
      <alignment horizontal="left"/>
    </xf>
    <xf numFmtId="0" fontId="0" fillId="2" borderId="7" xfId="0" applyFill="1" applyBorder="1"/>
    <xf numFmtId="0" fontId="0" fillId="0" borderId="7" xfId="0" applyBorder="1"/>
    <xf numFmtId="0" fontId="0" fillId="3" borderId="8" xfId="0" applyFill="1" applyBorder="1"/>
    <xf numFmtId="0" fontId="0" fillId="3" borderId="8" xfId="0" applyFill="1" applyBorder="1" applyAlignment="1">
      <alignment horizontal="left"/>
    </xf>
    <xf numFmtId="0" fontId="0" fillId="2" borderId="8" xfId="0" applyFill="1" applyBorder="1"/>
    <xf numFmtId="0" fontId="0" fillId="0" borderId="8" xfId="0" applyBorder="1"/>
    <xf numFmtId="0" fontId="0" fillId="3" borderId="6" xfId="0" applyFill="1" applyBorder="1"/>
    <xf numFmtId="0" fontId="0" fillId="2" borderId="6" xfId="0" applyFill="1" applyBorder="1"/>
    <xf numFmtId="3" fontId="0" fillId="3" borderId="7" xfId="1" applyNumberFormat="1" applyFont="1" applyFill="1" applyBorder="1"/>
    <xf numFmtId="3" fontId="0" fillId="3" borderId="8" xfId="1" applyNumberFormat="1" applyFont="1" applyFill="1" applyBorder="1"/>
    <xf numFmtId="49" fontId="0" fillId="0" borderId="0" xfId="0" applyNumberForma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2" xfId="0" applyNumberFormat="1" applyFont="1" applyBorder="1"/>
    <xf numFmtId="1" fontId="1" fillId="0" borderId="3" xfId="0" applyNumberFormat="1" applyFont="1" applyBorder="1"/>
    <xf numFmtId="1" fontId="0" fillId="0" borderId="7" xfId="0" applyNumberFormat="1" applyBorder="1" applyAlignment="1">
      <alignment horizontal="center"/>
    </xf>
    <xf numFmtId="1" fontId="0" fillId="0" borderId="0" xfId="0" applyNumberFormat="1"/>
    <xf numFmtId="49" fontId="0" fillId="0" borderId="8" xfId="0" applyNumberFormat="1" applyBorder="1" applyAlignment="1">
      <alignment horizontal="center"/>
    </xf>
    <xf numFmtId="0" fontId="0" fillId="0" borderId="13" xfId="0" applyBorder="1"/>
    <xf numFmtId="1" fontId="0" fillId="0" borderId="13" xfId="0" applyNumberFormat="1" applyBorder="1"/>
    <xf numFmtId="0" fontId="0" fillId="3" borderId="14" xfId="0" applyFill="1" applyBorder="1"/>
    <xf numFmtId="0" fontId="0" fillId="2" borderId="14" xfId="0" applyFill="1" applyBorder="1"/>
    <xf numFmtId="0" fontId="0" fillId="0" borderId="15" xfId="0" applyBorder="1"/>
    <xf numFmtId="1" fontId="0" fillId="0" borderId="15" xfId="0" applyNumberFormat="1" applyBorder="1"/>
    <xf numFmtId="0" fontId="6" fillId="7" borderId="1" xfId="3" applyFont="1" applyFill="1" applyBorder="1" applyAlignment="1">
      <alignment horizontal="center" vertical="center" wrapText="1"/>
    </xf>
    <xf numFmtId="0" fontId="6" fillId="7" borderId="1" xfId="3" applyFont="1" applyFill="1" applyBorder="1" applyAlignment="1">
      <alignment horizontal="left" vertical="center"/>
    </xf>
    <xf numFmtId="0" fontId="6" fillId="7" borderId="1" xfId="3" applyFont="1" applyFill="1" applyBorder="1" applyAlignment="1">
      <alignment horizontal="center" vertical="center"/>
    </xf>
    <xf numFmtId="0" fontId="6" fillId="11" borderId="1" xfId="3" applyFont="1" applyFill="1" applyBorder="1" applyAlignment="1">
      <alignment horizontal="center" vertical="center"/>
    </xf>
    <xf numFmtId="0" fontId="6" fillId="8" borderId="1" xfId="3" applyFont="1" applyFill="1" applyBorder="1" applyAlignment="1">
      <alignment horizontal="center" vertical="center"/>
    </xf>
    <xf numFmtId="165" fontId="6" fillId="8" borderId="1" xfId="3" applyNumberFormat="1" applyFont="1" applyFill="1" applyBorder="1" applyAlignment="1">
      <alignment horizontal="right" vertical="center"/>
    </xf>
    <xf numFmtId="0" fontId="6" fillId="9" borderId="1" xfId="3" applyFont="1" applyFill="1" applyBorder="1" applyAlignment="1">
      <alignment horizontal="right" vertical="center"/>
    </xf>
    <xf numFmtId="0" fontId="6" fillId="9" borderId="1" xfId="3" applyFont="1" applyFill="1" applyBorder="1" applyAlignment="1">
      <alignment horizontal="center" vertical="center" wrapText="1"/>
    </xf>
    <xf numFmtId="166" fontId="6" fillId="9" borderId="1" xfId="4" applyFont="1" applyFill="1" applyBorder="1" applyAlignment="1">
      <alignment vertical="center"/>
    </xf>
    <xf numFmtId="164" fontId="6" fillId="9" borderId="1" xfId="5" applyNumberFormat="1" applyFont="1" applyFill="1" applyBorder="1" applyAlignment="1">
      <alignment horizontal="left" vertical="center" wrapText="1"/>
    </xf>
    <xf numFmtId="0" fontId="6" fillId="10" borderId="1" xfId="3" applyFont="1" applyFill="1" applyBorder="1" applyAlignment="1">
      <alignment horizontal="center" vertical="center" wrapText="1"/>
    </xf>
    <xf numFmtId="0" fontId="6" fillId="12" borderId="1" xfId="3" applyFont="1" applyFill="1" applyBorder="1" applyAlignment="1">
      <alignment horizontal="center" vertical="center" wrapText="1"/>
    </xf>
    <xf numFmtId="0" fontId="7" fillId="0" borderId="1" xfId="3" applyFont="1" applyBorder="1" applyAlignment="1">
      <alignment horizontal="left" vertical="center"/>
    </xf>
    <xf numFmtId="0" fontId="8" fillId="0" borderId="1" xfId="3" applyFont="1" applyBorder="1" applyAlignment="1">
      <alignment horizontal="center" vertical="center"/>
    </xf>
    <xf numFmtId="0" fontId="8" fillId="0" borderId="1" xfId="3" applyFont="1" applyBorder="1" applyAlignment="1">
      <alignment horizontal="left" vertical="center"/>
    </xf>
    <xf numFmtId="0" fontId="8" fillId="0" borderId="1" xfId="3" applyFont="1" applyBorder="1" applyAlignment="1">
      <alignment horizontal="left" vertical="center" wrapText="1"/>
    </xf>
    <xf numFmtId="0" fontId="7" fillId="0" borderId="1" xfId="3" applyFont="1" applyBorder="1" applyAlignment="1">
      <alignment vertical="center"/>
    </xf>
    <xf numFmtId="0" fontId="8" fillId="5" borderId="1" xfId="3" applyFont="1" applyFill="1" applyBorder="1" applyAlignment="1">
      <alignment horizontal="left" vertical="center"/>
    </xf>
    <xf numFmtId="14" fontId="8" fillId="5" borderId="1" xfId="3" applyNumberFormat="1" applyFont="1" applyFill="1" applyBorder="1" applyAlignment="1">
      <alignment horizontal="right" vertical="center"/>
    </xf>
    <xf numFmtId="164" fontId="8" fillId="0" borderId="1" xfId="3" applyNumberFormat="1" applyFont="1" applyBorder="1" applyAlignment="1">
      <alignment horizontal="right" vertical="center" wrapText="1"/>
    </xf>
    <xf numFmtId="166" fontId="8" fillId="0" borderId="1" xfId="4" applyFont="1" applyBorder="1" applyAlignment="1">
      <alignment vertical="center"/>
    </xf>
    <xf numFmtId="164" fontId="7" fillId="0" borderId="1" xfId="3" applyNumberFormat="1" applyFont="1" applyBorder="1" applyAlignment="1">
      <alignment horizontal="left" vertical="center" wrapText="1"/>
    </xf>
    <xf numFmtId="0" fontId="9" fillId="0" borderId="11" xfId="3" applyFont="1" applyBorder="1" applyAlignment="1">
      <alignment horizontal="left" vertical="center" wrapText="1"/>
    </xf>
    <xf numFmtId="0" fontId="5" fillId="0" borderId="0" xfId="3" applyAlignment="1">
      <alignment horizontal="left" vertical="center"/>
    </xf>
    <xf numFmtId="0" fontId="7" fillId="0" borderId="1" xfId="3" applyFont="1" applyBorder="1" applyAlignment="1">
      <alignment horizontal="center" vertical="center"/>
    </xf>
    <xf numFmtId="0" fontId="7" fillId="0" borderId="1" xfId="6" applyNumberFormat="1" applyFont="1" applyBorder="1" applyAlignment="1" applyProtection="1">
      <alignment horizontal="center" vertical="center" wrapText="1"/>
      <protection locked="0"/>
    </xf>
    <xf numFmtId="0" fontId="7" fillId="0" borderId="1" xfId="7" applyFont="1" applyBorder="1" applyAlignment="1">
      <alignment vertical="center" wrapText="1"/>
    </xf>
    <xf numFmtId="14" fontId="7" fillId="0" borderId="1" xfId="3" applyNumberFormat="1" applyFont="1" applyBorder="1" applyAlignment="1">
      <alignment horizontal="left" vertical="center" wrapText="1"/>
    </xf>
    <xf numFmtId="49" fontId="7" fillId="0" borderId="1" xfId="3" applyNumberFormat="1" applyFont="1" applyBorder="1" applyAlignment="1">
      <alignment horizontal="right" vertical="center" wrapText="1"/>
    </xf>
    <xf numFmtId="1" fontId="7" fillId="0" borderId="1" xfId="5" applyNumberFormat="1" applyFont="1" applyBorder="1" applyAlignment="1">
      <alignment horizontal="right" vertical="center" wrapText="1"/>
    </xf>
    <xf numFmtId="164" fontId="7" fillId="0" borderId="1" xfId="5" applyNumberFormat="1" applyFont="1" applyBorder="1" applyAlignment="1">
      <alignment horizontal="right" vertical="center" wrapText="1"/>
    </xf>
    <xf numFmtId="166" fontId="7" fillId="0" borderId="1" xfId="4" applyFont="1" applyBorder="1" applyAlignment="1">
      <alignment vertical="center"/>
    </xf>
    <xf numFmtId="164" fontId="7" fillId="0" borderId="1" xfId="5" applyNumberFormat="1" applyFont="1" applyFill="1" applyBorder="1" applyAlignment="1">
      <alignment horizontal="left" vertical="center"/>
    </xf>
    <xf numFmtId="164" fontId="7" fillId="0" borderId="1" xfId="5" applyNumberFormat="1" applyFont="1" applyFill="1" applyBorder="1" applyAlignment="1">
      <alignment vertical="center" wrapText="1"/>
    </xf>
    <xf numFmtId="0" fontId="7" fillId="0" borderId="1" xfId="3" applyFont="1" applyBorder="1" applyAlignment="1">
      <alignment vertical="center" wrapText="1"/>
    </xf>
    <xf numFmtId="0" fontId="7" fillId="0" borderId="16" xfId="3" applyFont="1" applyBorder="1" applyAlignment="1">
      <alignment vertical="center" wrapText="1"/>
    </xf>
    <xf numFmtId="0" fontId="7" fillId="0" borderId="1" xfId="7" applyFont="1" applyBorder="1" applyAlignment="1">
      <alignment horizontal="left" vertical="center" wrapText="1"/>
    </xf>
    <xf numFmtId="49" fontId="7" fillId="0" borderId="1" xfId="3" applyNumberFormat="1" applyFont="1" applyBorder="1" applyAlignment="1">
      <alignment horizontal="right" vertical="center"/>
    </xf>
    <xf numFmtId="0" fontId="7" fillId="0" borderId="1" xfId="3" applyFont="1" applyBorder="1" applyAlignment="1">
      <alignment horizontal="left" vertical="center" wrapText="1"/>
    </xf>
    <xf numFmtId="0" fontId="7" fillId="0" borderId="16" xfId="3" applyFont="1" applyBorder="1" applyAlignment="1">
      <alignment horizontal="left" vertical="center" wrapText="1"/>
    </xf>
    <xf numFmtId="0" fontId="7" fillId="0" borderId="1" xfId="7" applyFont="1" applyBorder="1" applyAlignment="1">
      <alignment horizontal="center" vertical="center"/>
    </xf>
    <xf numFmtId="14" fontId="7" fillId="0" borderId="1" xfId="3" applyNumberFormat="1" applyFont="1" applyBorder="1" applyAlignment="1" applyProtection="1">
      <alignment horizontal="left" vertical="center"/>
      <protection locked="0"/>
    </xf>
    <xf numFmtId="14" fontId="7" fillId="0" borderId="1" xfId="3" applyNumberFormat="1" applyFont="1" applyBorder="1" applyAlignment="1">
      <alignment horizontal="right" vertical="center"/>
    </xf>
    <xf numFmtId="0" fontId="7" fillId="13" borderId="1" xfId="3" applyFont="1" applyFill="1" applyBorder="1" applyAlignment="1">
      <alignment vertical="center"/>
    </xf>
    <xf numFmtId="164" fontId="7" fillId="0" borderId="1" xfId="5" applyNumberFormat="1" applyFont="1" applyFill="1" applyBorder="1" applyAlignment="1">
      <alignment horizontal="right" vertical="center" wrapText="1"/>
    </xf>
    <xf numFmtId="166" fontId="7" fillId="0" borderId="1" xfId="4" applyFont="1" applyFill="1" applyBorder="1" applyAlignment="1">
      <alignment vertical="center"/>
    </xf>
    <xf numFmtId="0" fontId="7" fillId="13" borderId="1" xfId="3" applyFont="1" applyFill="1" applyBorder="1" applyAlignment="1">
      <alignment vertical="center" wrapText="1"/>
    </xf>
    <xf numFmtId="0" fontId="7" fillId="0" borderId="1" xfId="3" applyFont="1" applyBorder="1" applyAlignment="1">
      <alignment horizontal="center" vertical="center" wrapText="1"/>
    </xf>
    <xf numFmtId="0" fontId="8" fillId="0" borderId="1" xfId="3" applyFont="1" applyBorder="1" applyAlignment="1">
      <alignment vertical="center"/>
    </xf>
    <xf numFmtId="0" fontId="7" fillId="4" borderId="1" xfId="3" applyFont="1" applyFill="1" applyBorder="1" applyAlignment="1">
      <alignment horizontal="left" vertical="center"/>
    </xf>
    <xf numFmtId="14" fontId="7" fillId="4" borderId="1" xfId="3" applyNumberFormat="1" applyFont="1" applyFill="1" applyBorder="1" applyAlignment="1">
      <alignment horizontal="right" vertical="center"/>
    </xf>
    <xf numFmtId="164" fontId="7" fillId="0" borderId="1" xfId="3" applyNumberFormat="1" applyFont="1" applyBorder="1" applyAlignment="1">
      <alignment horizontal="right" vertical="center" wrapText="1"/>
    </xf>
    <xf numFmtId="0" fontId="8" fillId="0" borderId="1" xfId="3" applyFont="1" applyBorder="1" applyAlignment="1" applyProtection="1">
      <alignment horizontal="center" vertical="center" wrapText="1"/>
      <protection locked="0"/>
    </xf>
    <xf numFmtId="0" fontId="8" fillId="0" borderId="1" xfId="3" applyFont="1" applyBorder="1" applyAlignment="1">
      <alignment vertical="center" wrapText="1"/>
    </xf>
    <xf numFmtId="0" fontId="7" fillId="0" borderId="1" xfId="3" applyFont="1" applyBorder="1" applyAlignment="1">
      <alignment horizontal="right" vertical="center"/>
    </xf>
    <xf numFmtId="1" fontId="7" fillId="0" borderId="1" xfId="5" applyNumberFormat="1" applyFont="1" applyFill="1" applyBorder="1" applyAlignment="1">
      <alignment horizontal="right" vertical="center" wrapText="1"/>
    </xf>
    <xf numFmtId="0" fontId="7" fillId="13" borderId="1" xfId="3" applyFont="1" applyFill="1" applyBorder="1" applyAlignment="1">
      <alignment horizontal="center" vertical="center"/>
    </xf>
    <xf numFmtId="0" fontId="7" fillId="13" borderId="1" xfId="3" applyFont="1" applyFill="1" applyBorder="1" applyAlignment="1">
      <alignment horizontal="left" vertical="center"/>
    </xf>
    <xf numFmtId="0" fontId="7" fillId="13" borderId="1" xfId="7" applyFont="1" applyFill="1" applyBorder="1" applyAlignment="1">
      <alignment horizontal="center" vertical="center"/>
    </xf>
    <xf numFmtId="0" fontId="7" fillId="13" borderId="1" xfId="3" applyFont="1" applyFill="1" applyBorder="1" applyAlignment="1" applyProtection="1">
      <alignment horizontal="center" vertical="center"/>
      <protection locked="0"/>
    </xf>
    <xf numFmtId="14" fontId="7" fillId="13" borderId="1" xfId="3" applyNumberFormat="1" applyFont="1" applyFill="1" applyBorder="1" applyAlignment="1">
      <alignment horizontal="right" vertical="center"/>
    </xf>
    <xf numFmtId="0" fontId="7" fillId="13" borderId="1" xfId="5" applyNumberFormat="1" applyFont="1" applyFill="1" applyBorder="1" applyAlignment="1">
      <alignment horizontal="right" vertical="center"/>
    </xf>
    <xf numFmtId="164" fontId="7" fillId="13" borderId="1" xfId="5" applyNumberFormat="1" applyFont="1" applyFill="1" applyBorder="1" applyAlignment="1">
      <alignment horizontal="right" vertical="center" wrapText="1"/>
    </xf>
    <xf numFmtId="0" fontId="7" fillId="13" borderId="1" xfId="5" applyNumberFormat="1" applyFont="1" applyFill="1" applyBorder="1" applyAlignment="1">
      <alignment horizontal="center" vertical="center"/>
    </xf>
    <xf numFmtId="166" fontId="7" fillId="13" borderId="1" xfId="4" applyFont="1" applyFill="1" applyBorder="1" applyAlignment="1">
      <alignment vertical="center"/>
    </xf>
    <xf numFmtId="164" fontId="7" fillId="13" borderId="1" xfId="5" applyNumberFormat="1" applyFont="1" applyFill="1" applyBorder="1" applyAlignment="1">
      <alignment horizontal="left" vertical="center" wrapText="1"/>
    </xf>
    <xf numFmtId="0" fontId="7" fillId="13" borderId="1" xfId="3" applyFont="1" applyFill="1" applyBorder="1" applyAlignment="1">
      <alignment horizontal="center" vertical="center" wrapText="1"/>
    </xf>
    <xf numFmtId="0" fontId="7" fillId="0" borderId="1" xfId="7" applyFont="1" applyBorder="1" applyAlignment="1">
      <alignment horizontal="left" wrapText="1"/>
    </xf>
    <xf numFmtId="0" fontId="7" fillId="0" borderId="1" xfId="3" applyFont="1" applyBorder="1" applyAlignment="1">
      <alignment horizontal="left"/>
    </xf>
    <xf numFmtId="0" fontId="7" fillId="0" borderId="1" xfId="3" applyFont="1" applyBorder="1" applyAlignment="1">
      <alignment horizontal="right"/>
    </xf>
    <xf numFmtId="166" fontId="7" fillId="0" borderId="1" xfId="4" applyFont="1" applyBorder="1" applyAlignment="1"/>
    <xf numFmtId="164" fontId="8" fillId="0" borderId="1" xfId="3" applyNumberFormat="1" applyFont="1" applyBorder="1" applyAlignment="1">
      <alignment vertical="center" wrapText="1"/>
    </xf>
    <xf numFmtId="0" fontId="7" fillId="13" borderId="1" xfId="6" applyNumberFormat="1" applyFont="1" applyFill="1" applyBorder="1" applyAlignment="1" applyProtection="1">
      <alignment horizontal="center" vertical="center" wrapText="1"/>
      <protection locked="0"/>
    </xf>
    <xf numFmtId="0" fontId="7" fillId="13" borderId="1" xfId="7" applyFont="1" applyFill="1" applyBorder="1" applyAlignment="1">
      <alignment vertical="center" wrapText="1"/>
    </xf>
    <xf numFmtId="0" fontId="7" fillId="13" borderId="1" xfId="7" applyFont="1" applyFill="1" applyBorder="1" applyAlignment="1">
      <alignment horizontal="left" vertical="center" wrapText="1"/>
    </xf>
    <xf numFmtId="14" fontId="7" fillId="13" borderId="1" xfId="3" quotePrefix="1" applyNumberFormat="1" applyFont="1" applyFill="1" applyBorder="1" applyAlignment="1">
      <alignment horizontal="right" vertical="center"/>
    </xf>
    <xf numFmtId="1" fontId="7" fillId="13" borderId="1" xfId="5" applyNumberFormat="1" applyFont="1" applyFill="1" applyBorder="1" applyAlignment="1">
      <alignment horizontal="right" vertical="center" wrapText="1"/>
    </xf>
    <xf numFmtId="14" fontId="7" fillId="0" borderId="1" xfId="3" applyNumberFormat="1" applyFont="1" applyBorder="1" applyAlignment="1">
      <alignment vertical="center"/>
    </xf>
    <xf numFmtId="0" fontId="8" fillId="13" borderId="1" xfId="3" applyFont="1" applyFill="1" applyBorder="1" applyAlignment="1">
      <alignment horizontal="center" vertical="center"/>
    </xf>
    <xf numFmtId="0" fontId="8" fillId="13" borderId="1" xfId="3" applyFont="1" applyFill="1" applyBorder="1" applyAlignment="1">
      <alignment horizontal="left" vertical="center"/>
    </xf>
    <xf numFmtId="0" fontId="7" fillId="14" borderId="1" xfId="3" applyFont="1" applyFill="1" applyBorder="1" applyAlignment="1">
      <alignment horizontal="left" vertical="center"/>
    </xf>
    <xf numFmtId="14" fontId="7" fillId="14" borderId="1" xfId="3" applyNumberFormat="1" applyFont="1" applyFill="1" applyBorder="1" applyAlignment="1">
      <alignment horizontal="right" vertical="center"/>
    </xf>
    <xf numFmtId="164" fontId="7" fillId="13" borderId="1" xfId="3" applyNumberFormat="1" applyFont="1" applyFill="1" applyBorder="1" applyAlignment="1">
      <alignment horizontal="right" vertical="center" wrapText="1"/>
    </xf>
    <xf numFmtId="0" fontId="11" fillId="13" borderId="16" xfId="3" applyFont="1" applyFill="1" applyBorder="1" applyAlignment="1">
      <alignment vertical="center" wrapText="1"/>
    </xf>
    <xf numFmtId="0" fontId="11" fillId="13" borderId="1" xfId="3" applyFont="1" applyFill="1" applyBorder="1" applyAlignment="1">
      <alignment vertical="center" wrapText="1"/>
    </xf>
    <xf numFmtId="0" fontId="11" fillId="13" borderId="0" xfId="3" applyFont="1" applyFill="1" applyAlignment="1">
      <alignment vertical="center" wrapText="1"/>
    </xf>
    <xf numFmtId="14" fontId="7" fillId="13" borderId="1" xfId="3" applyNumberFormat="1" applyFont="1" applyFill="1" applyBorder="1" applyAlignment="1">
      <alignment horizontal="right"/>
    </xf>
    <xf numFmtId="14" fontId="7" fillId="0" borderId="1" xfId="3" applyNumberFormat="1" applyFont="1" applyBorder="1" applyAlignment="1">
      <alignment horizontal="center" vertical="center" wrapText="1"/>
    </xf>
    <xf numFmtId="165" fontId="7" fillId="0" borderId="1" xfId="3" applyNumberFormat="1" applyFont="1" applyBorder="1" applyAlignment="1">
      <alignment horizontal="right" vertical="center" wrapText="1"/>
    </xf>
    <xf numFmtId="0" fontId="7" fillId="0" borderId="1" xfId="5" applyNumberFormat="1" applyFont="1" applyBorder="1" applyAlignment="1">
      <alignment horizontal="right" vertical="center" wrapText="1"/>
    </xf>
    <xf numFmtId="0" fontId="7" fillId="0" borderId="1" xfId="5" applyNumberFormat="1" applyFont="1" applyBorder="1" applyAlignment="1">
      <alignment horizontal="center" vertical="center" wrapText="1"/>
    </xf>
    <xf numFmtId="166" fontId="7" fillId="0" borderId="1" xfId="4" applyFont="1" applyBorder="1" applyAlignment="1">
      <alignment vertical="center" wrapText="1"/>
    </xf>
    <xf numFmtId="164" fontId="7" fillId="0" borderId="1" xfId="5" applyNumberFormat="1" applyFont="1" applyFill="1" applyBorder="1" applyAlignment="1">
      <alignment horizontal="left" vertical="center" wrapText="1"/>
    </xf>
    <xf numFmtId="0" fontId="7" fillId="13" borderId="1" xfId="3" applyFont="1" applyFill="1" applyBorder="1" applyAlignment="1">
      <alignment horizontal="right"/>
    </xf>
    <xf numFmtId="166" fontId="7" fillId="13" borderId="1" xfId="4" applyFont="1" applyFill="1" applyBorder="1" applyAlignment="1"/>
    <xf numFmtId="14" fontId="8" fillId="0" borderId="1" xfId="3" applyNumberFormat="1" applyFont="1" applyBorder="1" applyAlignment="1">
      <alignment horizontal="right" vertical="center"/>
    </xf>
    <xf numFmtId="164" fontId="7" fillId="0" borderId="1" xfId="3" applyNumberFormat="1" applyFont="1" applyBorder="1" applyAlignment="1">
      <alignment vertical="center" wrapText="1"/>
    </xf>
    <xf numFmtId="0" fontId="8" fillId="0" borderId="1" xfId="3" applyFont="1" applyBorder="1" applyAlignment="1">
      <alignment horizontal="center" vertical="center" wrapText="1"/>
    </xf>
    <xf numFmtId="0" fontId="8" fillId="0" borderId="1" xfId="3" applyFont="1" applyBorder="1" applyAlignment="1">
      <alignment horizontal="left"/>
    </xf>
    <xf numFmtId="0" fontId="8" fillId="13" borderId="1" xfId="3" applyFont="1" applyFill="1" applyBorder="1" applyAlignment="1">
      <alignment vertical="center" wrapText="1"/>
    </xf>
    <xf numFmtId="14" fontId="7" fillId="0" borderId="1" xfId="3" applyNumberFormat="1" applyFont="1" applyBorder="1" applyAlignment="1">
      <alignment horizontal="right"/>
    </xf>
    <xf numFmtId="0" fontId="12" fillId="13" borderId="1" xfId="6" applyNumberFormat="1" applyFont="1" applyFill="1" applyBorder="1" applyAlignment="1" applyProtection="1">
      <alignment horizontal="center" vertical="center" wrapText="1"/>
      <protection locked="0"/>
    </xf>
    <xf numFmtId="14" fontId="7" fillId="13" borderId="1" xfId="3" applyNumberFormat="1" applyFont="1" applyFill="1" applyBorder="1" applyAlignment="1">
      <alignment horizontal="right" vertical="center" wrapText="1"/>
    </xf>
    <xf numFmtId="166" fontId="7" fillId="13" borderId="1" xfId="4" applyFont="1" applyFill="1" applyBorder="1" applyAlignment="1">
      <alignment vertical="center" wrapText="1"/>
    </xf>
    <xf numFmtId="14" fontId="7" fillId="13" borderId="1" xfId="3" quotePrefix="1" applyNumberFormat="1" applyFont="1" applyFill="1" applyBorder="1" applyAlignment="1">
      <alignment horizontal="right"/>
    </xf>
    <xf numFmtId="164" fontId="8" fillId="13" borderId="1" xfId="3" applyNumberFormat="1" applyFont="1" applyFill="1" applyBorder="1" applyAlignment="1">
      <alignment horizontal="right" vertical="center" wrapText="1"/>
    </xf>
    <xf numFmtId="166" fontId="8" fillId="13" borderId="1" xfId="4" applyFont="1" applyFill="1" applyBorder="1" applyAlignment="1">
      <alignment vertical="center"/>
    </xf>
    <xf numFmtId="14" fontId="7" fillId="0" borderId="1" xfId="8" applyNumberFormat="1" applyFont="1" applyBorder="1" applyAlignment="1" applyProtection="1">
      <alignment horizontal="center" vertical="center"/>
      <protection locked="0"/>
    </xf>
    <xf numFmtId="0" fontId="7" fillId="0" borderId="1" xfId="3" applyFont="1" applyBorder="1" applyAlignment="1" applyProtection="1">
      <alignment vertical="center"/>
      <protection locked="0"/>
    </xf>
    <xf numFmtId="164" fontId="8" fillId="0" borderId="1" xfId="3" applyNumberFormat="1" applyFont="1" applyBorder="1" applyAlignment="1">
      <alignment horizontal="right" vertical="center"/>
    </xf>
    <xf numFmtId="0" fontId="7" fillId="13" borderId="0" xfId="3" applyFont="1" applyFill="1" applyAlignment="1">
      <alignment horizontal="right"/>
    </xf>
    <xf numFmtId="164" fontId="7" fillId="13" borderId="1" xfId="9" applyNumberFormat="1" applyFont="1" applyFill="1" applyBorder="1" applyAlignment="1">
      <alignment horizontal="center" vertical="center"/>
    </xf>
    <xf numFmtId="0" fontId="4" fillId="13" borderId="1" xfId="3" applyFont="1" applyFill="1" applyBorder="1" applyAlignment="1">
      <alignment horizontal="center" vertical="center" wrapText="1"/>
    </xf>
    <xf numFmtId="0" fontId="8" fillId="0" borderId="9" xfId="3" applyFont="1" applyBorder="1" applyAlignment="1">
      <alignment horizontal="center" vertical="center"/>
    </xf>
    <xf numFmtId="0" fontId="8" fillId="0" borderId="12" xfId="3" applyFont="1" applyBorder="1" applyAlignment="1">
      <alignment horizontal="left" vertical="center"/>
    </xf>
    <xf numFmtId="0" fontId="7" fillId="0" borderId="9" xfId="3" applyFont="1" applyBorder="1" applyAlignment="1">
      <alignment horizontal="center" vertical="center"/>
    </xf>
    <xf numFmtId="0" fontId="8" fillId="0" borderId="9" xfId="3" applyFont="1" applyBorder="1" applyAlignment="1">
      <alignment vertical="center"/>
    </xf>
    <xf numFmtId="0" fontId="7" fillId="0" borderId="9" xfId="3" applyFont="1" applyBorder="1" applyAlignment="1">
      <alignment horizontal="left" vertical="center" wrapText="1"/>
    </xf>
    <xf numFmtId="0" fontId="7" fillId="4" borderId="9" xfId="3" applyFont="1" applyFill="1" applyBorder="1" applyAlignment="1">
      <alignment horizontal="left" vertical="center"/>
    </xf>
    <xf numFmtId="14" fontId="7" fillId="4" borderId="9" xfId="3" applyNumberFormat="1" applyFont="1" applyFill="1" applyBorder="1" applyAlignment="1">
      <alignment horizontal="center" vertical="center"/>
    </xf>
    <xf numFmtId="164" fontId="7" fillId="0" borderId="9" xfId="3" applyNumberFormat="1" applyFont="1" applyBorder="1" applyAlignment="1">
      <alignment horizontal="right" vertical="center" wrapText="1"/>
    </xf>
    <xf numFmtId="169" fontId="7" fillId="0" borderId="9" xfId="3" applyNumberFormat="1" applyFont="1" applyBorder="1" applyAlignment="1">
      <alignment horizontal="center" vertical="center"/>
    </xf>
    <xf numFmtId="164" fontId="7" fillId="0" borderId="9" xfId="3" applyNumberFormat="1" applyFont="1" applyBorder="1" applyAlignment="1">
      <alignment vertical="center" wrapText="1"/>
    </xf>
    <xf numFmtId="0" fontId="7" fillId="0" borderId="9" xfId="3" applyFont="1" applyBorder="1" applyAlignment="1">
      <alignment vertical="center" wrapText="1"/>
    </xf>
    <xf numFmtId="0" fontId="7" fillId="0" borderId="10" xfId="3" applyFont="1" applyBorder="1" applyAlignment="1">
      <alignment vertical="center" wrapText="1"/>
    </xf>
    <xf numFmtId="0" fontId="8" fillId="0" borderId="17" xfId="3" applyFont="1" applyBorder="1" applyAlignment="1">
      <alignment horizontal="center" vertical="center"/>
    </xf>
    <xf numFmtId="0" fontId="8" fillId="0" borderId="18" xfId="3" applyFont="1" applyBorder="1" applyAlignment="1">
      <alignment horizontal="left" vertical="center"/>
    </xf>
    <xf numFmtId="165" fontId="7" fillId="0" borderId="1" xfId="3" applyNumberFormat="1" applyFont="1" applyBorder="1" applyAlignment="1">
      <alignment horizontal="center" vertical="center" wrapText="1"/>
    </xf>
    <xf numFmtId="164" fontId="7" fillId="0" borderId="1" xfId="9" applyNumberFormat="1" applyFont="1" applyBorder="1" applyAlignment="1">
      <alignment horizontal="center" vertical="center" wrapText="1"/>
    </xf>
    <xf numFmtId="164" fontId="7" fillId="0" borderId="1" xfId="5" applyNumberFormat="1" applyFont="1" applyFill="1" applyBorder="1" applyAlignment="1">
      <alignment horizontal="center" vertical="center" wrapText="1"/>
    </xf>
    <xf numFmtId="165" fontId="7" fillId="0" borderId="1" xfId="3" quotePrefix="1" applyNumberFormat="1" applyFont="1" applyBorder="1" applyAlignment="1">
      <alignment horizontal="center" vertical="center" wrapText="1"/>
    </xf>
    <xf numFmtId="14" fontId="7" fillId="0" borderId="1" xfId="3" applyNumberFormat="1" applyFont="1" applyBorder="1" applyAlignment="1">
      <alignment vertical="center" wrapText="1"/>
    </xf>
    <xf numFmtId="0" fontId="7" fillId="0" borderId="0" xfId="3" applyFont="1" applyAlignment="1">
      <alignment horizontal="right"/>
    </xf>
    <xf numFmtId="164" fontId="7" fillId="0" borderId="1" xfId="5" applyNumberFormat="1" applyFont="1" applyBorder="1" applyAlignment="1">
      <alignment horizontal="center" vertical="center" wrapText="1"/>
    </xf>
    <xf numFmtId="0" fontId="5" fillId="0" borderId="0" xfId="3" applyAlignment="1">
      <alignment horizontal="center"/>
    </xf>
    <xf numFmtId="0" fontId="5" fillId="0" borderId="0" xfId="3" applyAlignment="1">
      <alignment horizontal="left"/>
    </xf>
    <xf numFmtId="0" fontId="5" fillId="0" borderId="0" xfId="3" applyAlignment="1">
      <alignment horizontal="right"/>
    </xf>
    <xf numFmtId="166" fontId="0" fillId="0" borderId="0" xfId="4" applyFont="1" applyAlignment="1"/>
    <xf numFmtId="0" fontId="6" fillId="6" borderId="1" xfId="3" applyFont="1" applyFill="1" applyBorder="1" applyAlignment="1">
      <alignment horizontal="left" vertical="center" wrapText="1"/>
    </xf>
    <xf numFmtId="0" fontId="6" fillId="7" borderId="1" xfId="3" applyFont="1" applyFill="1" applyBorder="1" applyAlignment="1">
      <alignment horizontal="left" vertical="center" wrapText="1"/>
    </xf>
    <xf numFmtId="0" fontId="6" fillId="8" borderId="1" xfId="3" applyFont="1" applyFill="1" applyBorder="1" applyAlignment="1">
      <alignment horizontal="left" vertical="center" wrapText="1"/>
    </xf>
    <xf numFmtId="0" fontId="6" fillId="9" borderId="1" xfId="3" applyFont="1" applyFill="1" applyBorder="1" applyAlignment="1">
      <alignment horizontal="left" vertical="center" wrapText="1"/>
    </xf>
    <xf numFmtId="0" fontId="6" fillId="10" borderId="1" xfId="3" applyFont="1" applyFill="1" applyBorder="1" applyAlignment="1">
      <alignment horizontal="left" vertical="center" wrapText="1"/>
    </xf>
    <xf numFmtId="0" fontId="5" fillId="0" borderId="0" xfId="3"/>
    <xf numFmtId="0" fontId="5" fillId="13" borderId="0" xfId="3" applyFill="1"/>
    <xf numFmtId="0" fontId="7" fillId="0" borderId="1" xfId="3" applyFont="1" applyBorder="1"/>
    <xf numFmtId="0" fontId="7" fillId="13" borderId="1" xfId="3" applyFont="1" applyFill="1" applyBorder="1"/>
    <xf numFmtId="0" fontId="7" fillId="0" borderId="0" xfId="3" applyFont="1"/>
    <xf numFmtId="14" fontId="7" fillId="0" borderId="1" xfId="5" applyNumberFormat="1" applyFont="1" applyBorder="1" applyAlignment="1">
      <alignment horizontal="right" vertical="center" wrapText="1"/>
    </xf>
    <xf numFmtId="14" fontId="7" fillId="0" borderId="1" xfId="3" applyNumberFormat="1" applyFont="1" applyBorder="1" applyAlignment="1">
      <alignment horizontal="right" wrapText="1"/>
    </xf>
  </cellXfs>
  <cellStyles count="10">
    <cellStyle name="Comma" xfId="1" builtinId="3"/>
    <cellStyle name="Comma [0] 2" xfId="4" xr:uid="{E9EAF6FB-1135-4FCF-8E5B-A74D5079DBE8}"/>
    <cellStyle name="Comma 2" xfId="9" xr:uid="{0BD2E6C6-6CE2-48AB-83C5-66F5C3CF4BA5}"/>
    <cellStyle name="Comma 3" xfId="5" xr:uid="{6693B2CE-7D70-4D81-A9B8-076AF8B3A62C}"/>
    <cellStyle name="Normal" xfId="0" builtinId="0"/>
    <cellStyle name="Normal 1003" xfId="6" xr:uid="{D72A5313-5525-4906-8A9A-3B896847BD89}"/>
    <cellStyle name="Normal 2 2 3" xfId="7" xr:uid="{7BCE79CF-A1A7-4540-967B-65FCC6C41AC4}"/>
    <cellStyle name="Normal 2 7" xfId="8" xr:uid="{BC7A1CD3-A8E9-4F1A-BD68-85EB0F75E314}"/>
    <cellStyle name="Normal 6" xfId="2" xr:uid="{66E8E442-5746-447E-B614-D42A2CBBEEEA}"/>
    <cellStyle name="Normal 7" xfId="3" xr:uid="{82D83FAE-F77D-44A1-9F8E-D311F1893A6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calcChain" Target="calcChain.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VH6RLYQG/Base%2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5.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6.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7.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7.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trungnguyen/Downloads/BA?O%20CA?O%20DOANH%20SO??%20BA?O%20HIE??M%20HA?NG%20NGA?Y%20_FA-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gocntb2/AppData/Roaming/Microsoft/Excel/Profit%20loss%20statement1%20(version%202).xlsb"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9.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trungnguyen\Downloads\BA?O%20CA?O%20DOANH%20SO??%20BA?O%20HIE??M%20HA?NG%20NGA?Y%20_%20NGUYE??N%20HU??U%20THO?-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9.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4.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iemvn/AppData/Roaming/Microsoft/Excel/Bao%20cao%20kinh%20doanh_MK2%2008%20(version%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Desktop\B&#193;O%20C&#193;O%20DOANH%20S&#7888;%20B&#7842;O%20HI&#7874;M%20H&#192;NG%20NG&#192;Y%20_F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THÁNG 5"/>
      <sheetName val="THÁNG 6"/>
      <sheetName val="TỔNG HỢP T6"/>
      <sheetName val="DSML"/>
    </sheetNames>
    <sheetDataSet>
      <sheetData sheetId="0" refreshError="1"/>
      <sheetData sheetId="1" refreshError="1"/>
      <sheetData sheetId="2" refreshError="1"/>
      <sheetData sheetId="3" refreshError="1"/>
      <sheetData sheetId="4">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F209">
            <v>0</v>
          </cell>
          <cell r="G209" t="str">
            <v>TRUNG TÂM KHUT</v>
          </cell>
          <cell r="I209" t="str">
            <v>Trung tâm Khách hàng ưu tiên</v>
          </cell>
          <cell r="J209" t="str">
            <v>TT KHUT</v>
          </cell>
        </row>
        <row r="210">
          <cell r="E210">
            <v>9601</v>
          </cell>
          <cell r="F210">
            <v>0</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DSML"/>
    </sheetNames>
    <sheetDataSet>
      <sheetData sheetId="0" refreshError="1"/>
      <sheetData sheetId="1"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HÁNG 4"/>
      <sheetName val="REFER THANG 5"/>
      <sheetName val="Sheet1"/>
      <sheetName val="DSML"/>
    </sheetNames>
    <sheetDataSet>
      <sheetData sheetId="0" refreshError="1"/>
      <sheetData sheetId="1" refreshError="1"/>
      <sheetData sheetId="2" refreshError="1"/>
      <sheetData sheetId="3"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BDE1-79EF-4352-BFE4-88CF34869C41}">
  <dimension ref="A1:X78"/>
  <sheetViews>
    <sheetView tabSelected="1" topLeftCell="K1" workbookViewId="0">
      <selection activeCell="X10" sqref="X10"/>
    </sheetView>
  </sheetViews>
  <sheetFormatPr defaultRowHeight="14.4" x14ac:dyDescent="0.3"/>
  <cols>
    <col min="1" max="1" width="10" style="23" customWidth="1"/>
    <col min="2" max="2" width="23.77734375" style="23" bestFit="1" customWidth="1"/>
    <col min="3" max="3" width="9.77734375" style="23" customWidth="1"/>
    <col min="4" max="4" width="9.109375" style="23" bestFit="1" customWidth="1"/>
    <col min="5" max="5" width="13.44140625" style="23" customWidth="1"/>
    <col min="6" max="6" width="12" style="23" bestFit="1" customWidth="1"/>
    <col min="7" max="7" width="23.109375" style="23" customWidth="1"/>
    <col min="8" max="8" width="24.77734375" style="23" customWidth="1"/>
    <col min="9" max="9" width="14.109375" style="23" bestFit="1" customWidth="1"/>
    <col min="10" max="10" width="48.5546875" style="24" bestFit="1" customWidth="1"/>
    <col min="11" max="11" width="10.21875" style="24" bestFit="1" customWidth="1"/>
    <col min="12" max="12" width="16.5546875" style="24" bestFit="1" customWidth="1"/>
    <col min="13" max="13" width="10.21875" style="24" bestFit="1" customWidth="1"/>
    <col min="14" max="14" width="16.5546875" style="24" bestFit="1" customWidth="1"/>
    <col min="15" max="15" width="10.21875" style="24" bestFit="1" customWidth="1"/>
    <col min="16" max="16" width="21.21875" style="24" bestFit="1" customWidth="1"/>
    <col min="17" max="17" width="23.77734375" bestFit="1" customWidth="1"/>
    <col min="18" max="18" width="18.6640625" bestFit="1" customWidth="1"/>
    <col min="19" max="19" width="22.6640625" customWidth="1"/>
    <col min="20" max="20" width="18.6640625" bestFit="1" customWidth="1"/>
    <col min="21" max="21" width="17.6640625" customWidth="1"/>
    <col min="22" max="22" width="11" style="33" customWidth="1"/>
    <col min="23" max="23" width="19.77734375" customWidth="1"/>
    <col min="24" max="24" width="19.6640625" customWidth="1"/>
  </cols>
  <sheetData>
    <row r="1" spans="1:24" s="9" customFormat="1" x14ac:dyDescent="0.3">
      <c r="A1" s="6" t="s">
        <v>43</v>
      </c>
      <c r="B1" s="6"/>
      <c r="C1" s="6"/>
      <c r="D1" s="6"/>
      <c r="E1" s="6"/>
      <c r="F1" s="6"/>
      <c r="G1" s="6"/>
      <c r="H1" s="6"/>
      <c r="I1" s="6"/>
      <c r="J1" s="7" t="s">
        <v>44</v>
      </c>
      <c r="K1" s="7"/>
      <c r="L1" s="7"/>
      <c r="M1" s="7"/>
      <c r="N1" s="7"/>
      <c r="O1" s="7"/>
      <c r="P1" s="7"/>
      <c r="Q1" s="8" t="s">
        <v>45</v>
      </c>
      <c r="V1" s="30"/>
    </row>
    <row r="2" spans="1:24" s="10" customFormat="1" x14ac:dyDescent="0.3">
      <c r="A2" s="6" t="s">
        <v>500</v>
      </c>
      <c r="B2" s="6" t="s">
        <v>501</v>
      </c>
      <c r="C2" s="6" t="s">
        <v>502</v>
      </c>
      <c r="D2" s="6" t="s">
        <v>503</v>
      </c>
      <c r="E2" s="6" t="s">
        <v>504</v>
      </c>
      <c r="F2" s="6" t="s">
        <v>505</v>
      </c>
      <c r="G2" s="6" t="s">
        <v>506</v>
      </c>
      <c r="H2" s="6" t="s">
        <v>507</v>
      </c>
      <c r="I2" s="6" t="s">
        <v>508</v>
      </c>
      <c r="J2" s="6" t="s">
        <v>509</v>
      </c>
      <c r="K2" s="6" t="s">
        <v>510</v>
      </c>
      <c r="L2" s="6" t="s">
        <v>511</v>
      </c>
      <c r="M2" s="6" t="s">
        <v>512</v>
      </c>
      <c r="N2" s="6" t="s">
        <v>513</v>
      </c>
      <c r="O2" s="6" t="s">
        <v>514</v>
      </c>
      <c r="P2" s="6" t="s">
        <v>515</v>
      </c>
      <c r="Q2" s="6" t="s">
        <v>516</v>
      </c>
      <c r="R2" s="6" t="s">
        <v>517</v>
      </c>
      <c r="S2" s="6" t="s">
        <v>518</v>
      </c>
      <c r="T2" s="6" t="s">
        <v>519</v>
      </c>
      <c r="U2" s="6" t="s">
        <v>520</v>
      </c>
      <c r="V2" s="6" t="s">
        <v>521</v>
      </c>
      <c r="W2" s="6" t="s">
        <v>522</v>
      </c>
      <c r="X2" s="6" t="s">
        <v>523</v>
      </c>
    </row>
    <row r="3" spans="1:24" s="14" customFormat="1" x14ac:dyDescent="0.3">
      <c r="A3" s="11" t="s">
        <v>24</v>
      </c>
      <c r="B3" s="11" t="s">
        <v>25</v>
      </c>
      <c r="C3" s="11" t="s">
        <v>2</v>
      </c>
      <c r="D3" s="11" t="s">
        <v>225</v>
      </c>
      <c r="E3" s="11" t="s">
        <v>26</v>
      </c>
      <c r="F3" s="11" t="s">
        <v>27</v>
      </c>
      <c r="G3" s="11" t="s">
        <v>28</v>
      </c>
      <c r="H3" s="11" t="s">
        <v>29</v>
      </c>
      <c r="I3" s="11" t="s">
        <v>35</v>
      </c>
      <c r="J3" s="12" t="s">
        <v>36</v>
      </c>
      <c r="K3" s="12" t="s">
        <v>39</v>
      </c>
      <c r="L3" s="12" t="s">
        <v>37</v>
      </c>
      <c r="M3" s="12" t="s">
        <v>40</v>
      </c>
      <c r="N3" s="12" t="s">
        <v>38</v>
      </c>
      <c r="O3" s="12" t="s">
        <v>41</v>
      </c>
      <c r="P3" s="12" t="s">
        <v>42</v>
      </c>
      <c r="Q3" s="13" t="s">
        <v>56</v>
      </c>
      <c r="R3" s="14" t="s">
        <v>51</v>
      </c>
      <c r="S3" s="14" t="s">
        <v>52</v>
      </c>
      <c r="T3" s="14" t="s">
        <v>50</v>
      </c>
      <c r="U3" s="14" t="s">
        <v>49</v>
      </c>
      <c r="V3" s="31" t="s">
        <v>55</v>
      </c>
      <c r="W3" s="14" t="s">
        <v>54</v>
      </c>
      <c r="X3" s="14" t="s">
        <v>53</v>
      </c>
    </row>
    <row r="4" spans="1:24" s="18" customFormat="1" x14ac:dyDescent="0.3">
      <c r="A4" s="15" t="s">
        <v>418</v>
      </c>
      <c r="B4" s="16" t="str">
        <f>IF(LEN(VLOOKUP(A4,'RM-TRUNG'!A:V,2,0))=0,"",VLOOKUP(A4,'RM-TRUNG'!A:V,2,0))</f>
        <v>Nguyễn Trịnh Thanh Tuấn</v>
      </c>
      <c r="C4" s="15"/>
      <c r="D4" s="19">
        <f>IF(IF(YEAR(IFERROR(VLOOKUP(A4,KH!A:N,4,0),""))&gt;1905,YEAR(IFERROR(VLOOKUP(A4,KH!A:N,4,0),"")),IFERROR(VLOOKUP(A4,KH!A:N,4,0),""))=0,"",IF(YEAR(IFERROR(VLOOKUP(A4,KH!A:N,4,0),""))&gt;1905,YEAR(IFERROR(VLOOKUP(A4,KH!A:N,4,0),"")),IFERROR(VLOOKUP(A4,KH!A:N,4,0),"")))</f>
        <v>1992</v>
      </c>
      <c r="E4" s="4">
        <f>IFERROR(VLOOKUP(A4,'RM-TRUNG'!A:V,6,0),"")</f>
        <v>45079</v>
      </c>
      <c r="F4" s="15" t="str">
        <f>PROPER(IFERROR(VLOOKUP(A4,'RM-TRUNG'!A:V,7,0),""))</f>
        <v>Khác</v>
      </c>
      <c r="G4" s="25">
        <f>IF(IFERROR(VLOOKUP(A4,'RM-TRUNG'!A:V,8,0),"")&lt;1000000,IFERROR(VLOOKUP(A4,'RM-TRUNG'!A:V,8,0),"")*1000000,IFERROR(VLOOKUP(A4,'RM-TRUNG'!A:V,8,0),""))</f>
        <v>70000000</v>
      </c>
      <c r="H4" s="15" t="str">
        <f>PROPER(IFERROR(VLOOKUP(A4,'RM-TRUNG'!A:V,9,0),""))</f>
        <v>Cần Follow Thêm</v>
      </c>
      <c r="I4" s="15"/>
      <c r="J4" s="17" t="str">
        <f>IF(LEN(VLOOKUP(A4,'RM-TRUNG'!A:V,10,0))=0,"",VLOOKUP(A4,'RM-TRUNG'!A:V,10,0))</f>
        <v>KH làm lĩnh vực xây dựng, chưa tham gia BH. Đã kết bạn zalo, đã gửi BMH và tư vấn KH, KH đang xem chi tiết về các quyền lợi trong BMH</v>
      </c>
      <c r="K4" s="17"/>
      <c r="L4" s="17" t="str">
        <f>IF(LEN(VLOOKUP(A4,'RM-TRUNG'!A:V,11,0))=0,"",VLOOKUP(A4,'RM-TRUNG'!A:V,11,0))</f>
        <v/>
      </c>
      <c r="M4" s="17"/>
      <c r="N4" s="17" t="str">
        <f>IF(LEN(VLOOKUP(A4,'RM-TRUNG'!A:V,12,0))=0,"",VLOOKUP(A4,'RM-TRUNG'!A:V,12,0))</f>
        <v/>
      </c>
      <c r="O4" s="17"/>
      <c r="P4" s="17" t="str">
        <f>IF(LEN(VLOOKUP(A4,'RM-TRUNG'!A:V,13,0))=0,"",VLOOKUP(A4,'RM-TRUNG'!A:V,13,0))</f>
        <v/>
      </c>
      <c r="Q4" s="18">
        <f>IF(LEN(VLOOKUP(A4,'RM-TRUNG'!A:V,19,0))=0,"",VLOOKUP(A4,'RM-TRUNG'!A:V,19,0))</f>
        <v>11405404</v>
      </c>
      <c r="R4" s="18" t="str">
        <f>IF(LEN(VLOOKUP(A4,'RM-TRUNG'!A:V,20,0))=0,"",VLOOKUP(A4,'RM-TRUNG'!A:V,20,0))</f>
        <v>Hoàng Thị Dương Yến</v>
      </c>
      <c r="S4" s="18" t="str">
        <f>IF(LEN(VLOOKUP(A4,'RM-TRUNG'!A:V,21,0))=0,"",VLOOKUP(A4,'RM-TRUNG'!A:V,21,0))</f>
        <v>GDV/KSV KHCN</v>
      </c>
      <c r="T4" s="18" t="str">
        <f>IF(LEN(VLOOKUP(A4,'RM-TRUNG'!A:V,18,0))=0,"",VLOOKUP(A4,'RM-TRUNG'!A:V,18,0))</f>
        <v>NGUYỄN THỊ THANH HƯƠNG</v>
      </c>
      <c r="U4" s="18" t="str">
        <f>VLOOKUP(LEFT(A4,5),RM!A:B,2,0)</f>
        <v>Nguyễn Duy Trung</v>
      </c>
      <c r="V4" s="32">
        <f>IF(LEN(VLOOKUP(A4,'RM-TRUNG'!A:V,14,0))=0,"",VLOOKUP(A4,'RM-TRUNG'!A:V,14,0))</f>
        <v>9355</v>
      </c>
      <c r="W4" s="18" t="str">
        <f>IF(LEN(VLOOKUP(A4,'RM-TRUNG'!A:V,15,0))=0,"",VLOOKUP(A4,'RM-TRUNG'!A:V,15,0))</f>
        <v>CN Đà Nẵng</v>
      </c>
      <c r="X4" s="18" t="str">
        <f>IF(LEN(VLOOKUP(A4,'RM-TRUNG'!A:V,16,0))=0,"",VLOOKUP(A4,'RM-TRUNG'!A:V,16,0))</f>
        <v>Khu vực Miền Trung</v>
      </c>
    </row>
    <row r="5" spans="1:24" s="22" customFormat="1" x14ac:dyDescent="0.3">
      <c r="A5" s="19" t="s">
        <v>419</v>
      </c>
      <c r="B5" s="20" t="str">
        <f>IF(LEN(VLOOKUP(A5,'RM-TRUNG'!A:V,2,0))=0,"",VLOOKUP(A5,'RM-TRUNG'!A:V,2,0))</f>
        <v>Nguyễn Thị Thanh Trúc</v>
      </c>
      <c r="C5" s="19"/>
      <c r="D5" s="19" t="str">
        <f>IF(IF(YEAR(IFERROR(VLOOKUP(A5,KH!A:N,4,0),""))&gt;1905,YEAR(IFERROR(VLOOKUP(A5,KH!A:N,4,0),"")),IFERROR(VLOOKUP(A5,KH!A:N,4,0),""))=0,"",IF(YEAR(IFERROR(VLOOKUP(A5,KH!A:N,4,0),""))&gt;1905,YEAR(IFERROR(VLOOKUP(A5,KH!A:N,4,0),"")),IFERROR(VLOOKUP(A5,KH!A:N,4,0),"")))</f>
        <v/>
      </c>
      <c r="E5" s="5">
        <f>IFERROR(VLOOKUP(A5,'RM-TRUNG'!A:V,6,0),"")</f>
        <v>45079</v>
      </c>
      <c r="F5" s="19" t="str">
        <f>PROPER(IFERROR(VLOOKUP(A5,'RM-TRUNG'!A:V,7,0),""))</f>
        <v>Huy Động</v>
      </c>
      <c r="G5" s="26">
        <f>IF(IFERROR(VLOOKUP(A5,'RM-TRUNG'!A:V,8,0),"")&lt;1000000,IFERROR(VLOOKUP(A5,'RM-TRUNG'!A:V,8,0),"")*1000000,IFERROR(VLOOKUP(A5,'RM-TRUNG'!A:V,8,0),""))</f>
        <v>20000000</v>
      </c>
      <c r="H5" s="19" t="str">
        <f>PROPER(IFERROR(VLOOKUP(A5,'RM-TRUNG'!A:V,9,0),""))</f>
        <v>Cần Follow Thêm</v>
      </c>
      <c r="I5" s="19"/>
      <c r="J5" s="21" t="str">
        <f>IF(LEN(VLOOKUP(A5,'RM-TRUNG'!A:V,10,0))=0,"",VLOOKUP(A5,'RM-TRUNG'!A:V,10,0))</f>
        <v>kh đang gửi trên 500tr,  đã có gia đình,con đều đã lớn, thích tập yoga, đã sử dụng bảo hiểm nhân thọ</v>
      </c>
      <c r="K5" s="21"/>
      <c r="L5" s="21" t="str">
        <f>IF(LEN(VLOOKUP(A5,'RM-TRUNG'!A:V,11,0))=0,"",VLOOKUP(A5,'RM-TRUNG'!A:V,11,0))</f>
        <v/>
      </c>
      <c r="M5" s="21"/>
      <c r="N5" s="21" t="str">
        <f>IF(LEN(VLOOKUP(A5,'RM-TRUNG'!A:V,12,0))=0,"",VLOOKUP(A5,'RM-TRUNG'!A:V,12,0))</f>
        <v/>
      </c>
      <c r="O5" s="21"/>
      <c r="P5" s="21" t="str">
        <f>IF(LEN(VLOOKUP(A5,'RM-TRUNG'!A:V,13,0))=0,"",VLOOKUP(A5,'RM-TRUNG'!A:V,13,0))</f>
        <v/>
      </c>
      <c r="Q5" s="22">
        <f>IF(LEN(VLOOKUP(A5,'RM-TRUNG'!A:V,19,0))=0,"",VLOOKUP(A5,'RM-TRUNG'!A:V,19,0))</f>
        <v>10034813</v>
      </c>
      <c r="R5" s="22" t="str">
        <f>IF(LEN(VLOOKUP(A5,'RM-TRUNG'!A:V,20,0))=0,"",VLOOKUP(A5,'RM-TRUNG'!A:V,20,0))</f>
        <v>PHAN THỊ BÊ</v>
      </c>
      <c r="S5" s="22" t="str">
        <f>IF(LEN(VLOOKUP(A5,'RM-TRUNG'!A:V,21,0))=0,"",VLOOKUP(A5,'RM-TRUNG'!A:V,21,0))</f>
        <v>GDV/KSV KHCN</v>
      </c>
      <c r="T5" s="22" t="str">
        <f>IF(LEN(VLOOKUP(A5,'RM-TRUNG'!A:V,18,0))=0,"",VLOOKUP(A5,'RM-TRUNG'!A:V,18,0))</f>
        <v>NGÔ THỊ THU</v>
      </c>
      <c r="U5" s="22" t="str">
        <f>VLOOKUP(LEFT(A5,5),RM!A:B,2,0)</f>
        <v>Nguyễn Duy Trung</v>
      </c>
      <c r="V5" s="34">
        <v>9349</v>
      </c>
      <c r="W5" s="22" t="str">
        <f>IF(LEN(VLOOKUP(A5,'RM-TRUNG'!A:V,15,0))=0,"",VLOOKUP(A5,'RM-TRUNG'!A:V,15,0))</f>
        <v>CN Hòa Xuân</v>
      </c>
      <c r="X5" s="22" t="str">
        <f>IF(LEN(VLOOKUP(A5,'RM-TRUNG'!A:V,16,0))=0,"",VLOOKUP(A5,'RM-TRUNG'!A:V,16,0))</f>
        <v>Khu vực Miền Trung</v>
      </c>
    </row>
    <row r="6" spans="1:24" s="22" customFormat="1" x14ac:dyDescent="0.3">
      <c r="A6" s="15" t="s">
        <v>420</v>
      </c>
      <c r="B6" s="20" t="str">
        <f>IF(LEN(VLOOKUP(A6,'RM-TRUNG'!A:V,2,0))=0,"",VLOOKUP(A6,'RM-TRUNG'!A:V,2,0))</f>
        <v>Nguyễn Tấn Ngọc</v>
      </c>
      <c r="C6" s="19"/>
      <c r="D6" s="19" t="str">
        <f>IF(IF(YEAR(IFERROR(VLOOKUP(A6,KH!A:N,4,0),""))&gt;1905,YEAR(IFERROR(VLOOKUP(A6,KH!A:N,4,0),"")),IFERROR(VLOOKUP(A6,KH!A:N,4,0),""))=0,"",IF(YEAR(IFERROR(VLOOKUP(A6,KH!A:N,4,0),""))&gt;1905,YEAR(IFERROR(VLOOKUP(A6,KH!A:N,4,0),"")),IFERROR(VLOOKUP(A6,KH!A:N,4,0),"")))</f>
        <v/>
      </c>
      <c r="E6" s="5">
        <f>IFERROR(VLOOKUP(A6,'RM-TRUNG'!A:V,6,0),"")</f>
        <v>45079</v>
      </c>
      <c r="F6" s="19" t="str">
        <f>PROPER(IFERROR(VLOOKUP(A6,'RM-TRUNG'!A:V,7,0),""))</f>
        <v>Huy Động</v>
      </c>
      <c r="G6" s="26">
        <f>IF(IFERROR(VLOOKUP(A6,'RM-TRUNG'!A:V,8,0),"")&lt;1000000,IFERROR(VLOOKUP(A6,'RM-TRUNG'!A:V,8,0),"")*1000000,IFERROR(VLOOKUP(A6,'RM-TRUNG'!A:V,8,0),""))</f>
        <v>20000000</v>
      </c>
      <c r="H6" s="19" t="str">
        <f>PROPER(IFERROR(VLOOKUP(A6,'RM-TRUNG'!A:V,9,0),""))</f>
        <v>Cần Follow Thêm</v>
      </c>
      <c r="I6" s="19"/>
      <c r="J6" s="21" t="str">
        <f>IF(LEN(VLOOKUP(A6,'RM-TRUNG'!A:V,10,0))=0,"",VLOOKUP(A6,'RM-TRUNG'!A:V,10,0))</f>
        <v>kh gửi trên 1 tỷ,làm giáo viên dạy vật lý, đang độc thân, rất tiết kiệm</v>
      </c>
      <c r="K6" s="21"/>
      <c r="L6" s="21" t="str">
        <f>IF(LEN(VLOOKUP(A6,'RM-TRUNG'!A:V,11,0))=0,"",VLOOKUP(A6,'RM-TRUNG'!A:V,11,0))</f>
        <v/>
      </c>
      <c r="M6" s="21"/>
      <c r="N6" s="21" t="str">
        <f>IF(LEN(VLOOKUP(A6,'RM-TRUNG'!A:V,12,0))=0,"",VLOOKUP(A6,'RM-TRUNG'!A:V,12,0))</f>
        <v/>
      </c>
      <c r="O6" s="21"/>
      <c r="P6" s="21" t="str">
        <f>IF(LEN(VLOOKUP(A6,'RM-TRUNG'!A:V,13,0))=0,"",VLOOKUP(A6,'RM-TRUNG'!A:V,13,0))</f>
        <v/>
      </c>
      <c r="Q6" s="22">
        <f>IF(LEN(VLOOKUP(A6,'RM-TRUNG'!A:V,19,0))=0,"",VLOOKUP(A6,'RM-TRUNG'!A:V,19,0))</f>
        <v>10034813</v>
      </c>
      <c r="R6" s="22" t="str">
        <f>IF(LEN(VLOOKUP(A6,'RM-TRUNG'!A:V,20,0))=0,"",VLOOKUP(A6,'RM-TRUNG'!A:V,20,0))</f>
        <v>PHAN THỊ BÊ</v>
      </c>
      <c r="S6" s="22" t="str">
        <f>IF(LEN(VLOOKUP(A6,'RM-TRUNG'!A:V,21,0))=0,"",VLOOKUP(A6,'RM-TRUNG'!A:V,21,0))</f>
        <v>GDV/KSV KHCN</v>
      </c>
      <c r="T6" s="22" t="str">
        <f>IF(LEN(VLOOKUP(A6,'RM-TRUNG'!A:V,18,0))=0,"",VLOOKUP(A6,'RM-TRUNG'!A:V,18,0))</f>
        <v>NGÔ THỊ THU</v>
      </c>
      <c r="U6" s="22" t="str">
        <f>VLOOKUP(LEFT(A6,5),RM!A:B,2,0)</f>
        <v>Nguyễn Duy Trung</v>
      </c>
      <c r="V6" s="34" t="s">
        <v>116</v>
      </c>
      <c r="W6" s="22" t="str">
        <f>IF(LEN(VLOOKUP(A6,'RM-TRUNG'!A:V,15,0))=0,"",VLOOKUP(A6,'RM-TRUNG'!A:V,15,0))</f>
        <v>CN Hòa Xuân</v>
      </c>
      <c r="X6" s="22" t="str">
        <f>IF(LEN(VLOOKUP(A6,'RM-TRUNG'!A:V,16,0))=0,"",VLOOKUP(A6,'RM-TRUNG'!A:V,16,0))</f>
        <v>Khu vực Miền Trung</v>
      </c>
    </row>
    <row r="7" spans="1:24" s="22" customFormat="1" x14ac:dyDescent="0.3">
      <c r="A7" s="19" t="s">
        <v>421</v>
      </c>
      <c r="B7" s="20" t="str">
        <f>IF(LEN(VLOOKUP(A7,'RM-TRUNG'!A:V,2,0))=0,"",VLOOKUP(A7,'RM-TRUNG'!A:V,2,0))</f>
        <v>Nguyễn Thị Mai Khanh</v>
      </c>
      <c r="C7" s="19"/>
      <c r="D7" s="19" t="str">
        <f>IF(IF(YEAR(IFERROR(VLOOKUP(A7,KH!A:N,4,0),""))&gt;1905,YEAR(IFERROR(VLOOKUP(A7,KH!A:N,4,0),"")),IFERROR(VLOOKUP(A7,KH!A:N,4,0),""))=0,"",IF(YEAR(IFERROR(VLOOKUP(A7,KH!A:N,4,0),""))&gt;1905,YEAR(IFERROR(VLOOKUP(A7,KH!A:N,4,0),"")),IFERROR(VLOOKUP(A7,KH!A:N,4,0),"")))</f>
        <v/>
      </c>
      <c r="E7" s="5">
        <f>IFERROR(VLOOKUP(A7,'RM-TRUNG'!A:V,6,0),"")</f>
        <v>45079</v>
      </c>
      <c r="F7" s="19" t="str">
        <f>PROPER(IFERROR(VLOOKUP(A7,'RM-TRUNG'!A:V,7,0),""))</f>
        <v>Huy Động</v>
      </c>
      <c r="G7" s="26">
        <f>IF(IFERROR(VLOOKUP(A7,'RM-TRUNG'!A:V,8,0),"")&lt;1000000,IFERROR(VLOOKUP(A7,'RM-TRUNG'!A:V,8,0),"")*1000000,IFERROR(VLOOKUP(A7,'RM-TRUNG'!A:V,8,0),""))</f>
        <v>20000000</v>
      </c>
      <c r="H7" s="19" t="str">
        <f>PROPER(IFERROR(VLOOKUP(A7,'RM-TRUNG'!A:V,9,0),""))</f>
        <v>Cần Follow Thêm</v>
      </c>
      <c r="I7" s="19"/>
      <c r="J7" s="21" t="str">
        <f>IF(LEN(VLOOKUP(A7,'RM-TRUNG'!A:V,10,0))=0,"",VLOOKUP(A7,'RM-TRUNG'!A:V,10,0))</f>
        <v>kh gửi trên 500tr, đã có gia đình, làm kế toán, đã từng mới mua bảo hiểm nhưng từ chối</v>
      </c>
      <c r="K7" s="21"/>
      <c r="L7" s="21" t="str">
        <f>IF(LEN(VLOOKUP(A7,'RM-TRUNG'!A:V,11,0))=0,"",VLOOKUP(A7,'RM-TRUNG'!A:V,11,0))</f>
        <v>Đã liên hệ KH qua điện thoại.</v>
      </c>
      <c r="M7" s="21"/>
      <c r="N7" s="21" t="str">
        <f>IF(LEN(VLOOKUP(A7,'RM-TRUNG'!A:V,12,0))=0,"",VLOOKUP(A7,'RM-TRUNG'!A:V,12,0))</f>
        <v>KH từ chối khéo nghe tư vấn</v>
      </c>
      <c r="O7" s="21"/>
      <c r="P7" s="21" t="str">
        <f>IF(LEN(VLOOKUP(A7,'RM-TRUNG'!A:V,13,0))=0,"",VLOOKUP(A7,'RM-TRUNG'!A:V,13,0))</f>
        <v/>
      </c>
      <c r="Q7" s="22">
        <f>IF(LEN(VLOOKUP(A7,'RM-TRUNG'!A:V,19,0))=0,"",VLOOKUP(A7,'RM-TRUNG'!A:V,19,0))</f>
        <v>10034813</v>
      </c>
      <c r="R7" s="22" t="str">
        <f>IF(LEN(VLOOKUP(A7,'RM-TRUNG'!A:V,20,0))=0,"",VLOOKUP(A7,'RM-TRUNG'!A:V,20,0))</f>
        <v>PHAN THỊ BÊ</v>
      </c>
      <c r="S7" s="22" t="str">
        <f>IF(LEN(VLOOKUP(A7,'RM-TRUNG'!A:V,21,0))=0,"",VLOOKUP(A7,'RM-TRUNG'!A:V,21,0))</f>
        <v>GDV/KSV KHCN</v>
      </c>
      <c r="T7" s="22" t="str">
        <f>IF(LEN(VLOOKUP(A7,'RM-TRUNG'!A:V,18,0))=0,"",VLOOKUP(A7,'RM-TRUNG'!A:V,18,0))</f>
        <v>NGÔ THỊ THU</v>
      </c>
      <c r="U7" s="22" t="str">
        <f>VLOOKUP(LEFT(A7,5),RM!A:B,2,0)</f>
        <v>Nguyễn Duy Trung</v>
      </c>
      <c r="V7" s="34" t="s">
        <v>137</v>
      </c>
      <c r="W7" s="22" t="str">
        <f>IF(LEN(VLOOKUP(A7,'RM-TRUNG'!A:V,15,0))=0,"",VLOOKUP(A7,'RM-TRUNG'!A:V,15,0))</f>
        <v>CN Hòa Xuân</v>
      </c>
      <c r="X7" s="22" t="str">
        <f>IF(LEN(VLOOKUP(A7,'RM-TRUNG'!A:V,16,0))=0,"",VLOOKUP(A7,'RM-TRUNG'!A:V,16,0))</f>
        <v>Khu vực Miền Trung</v>
      </c>
    </row>
    <row r="8" spans="1:24" s="22" customFormat="1" x14ac:dyDescent="0.3">
      <c r="A8" s="15" t="s">
        <v>422</v>
      </c>
      <c r="B8" s="20" t="str">
        <f>IF(LEN(VLOOKUP(A8,'RM-TRUNG'!A:V,2,0))=0,"",VLOOKUP(A8,'RM-TRUNG'!A:V,2,0))</f>
        <v>LÊ QUANG HỢP</v>
      </c>
      <c r="C8" s="19"/>
      <c r="D8" s="19">
        <f>IF(IF(YEAR(IFERROR(VLOOKUP(A8,KH!A:N,4,0),""))&gt;1905,YEAR(IFERROR(VLOOKUP(A8,KH!A:N,4,0),"")),IFERROR(VLOOKUP(A8,KH!A:N,4,0),""))=0,"",IF(YEAR(IFERROR(VLOOKUP(A8,KH!A:N,4,0),""))&gt;1905,YEAR(IFERROR(VLOOKUP(A8,KH!A:N,4,0),"")),IFERROR(VLOOKUP(A8,KH!A:N,4,0),"")))</f>
        <v>1991</v>
      </c>
      <c r="E8" s="5">
        <f>IFERROR(VLOOKUP(A8,'RM-TRUNG'!A:V,6,0),"")</f>
        <v>45079</v>
      </c>
      <c r="F8" s="19" t="str">
        <f>PROPER(IFERROR(VLOOKUP(A8,'RM-TRUNG'!A:V,7,0),""))</f>
        <v>Khác</v>
      </c>
      <c r="G8" s="26">
        <f>IF(IFERROR(VLOOKUP(A8,'RM-TRUNG'!A:V,8,0),"")&lt;1000000,IFERROR(VLOOKUP(A8,'RM-TRUNG'!A:V,8,0),"")*1000000,IFERROR(VLOOKUP(A8,'RM-TRUNG'!A:V,8,0),""))</f>
        <v>21000000</v>
      </c>
      <c r="H8" s="19" t="str">
        <f>PROPER(IFERROR(VLOOKUP(A8,'RM-TRUNG'!A:V,9,0),""))</f>
        <v>Cần Follow Thêm</v>
      </c>
      <c r="I8" s="19"/>
      <c r="J8" s="21" t="str">
        <f>IF(LEN(VLOOKUP(A8,'RM-TRUNG'!A:V,10,0))=0,"",VLOOKUP(A8,'RM-TRUNG'!A:V,10,0))</f>
        <v>Đã gửi BMH, về nc thêm với vợ, sẽ hẹn gặp trực tiếp 2 vc, bạn CBB</v>
      </c>
      <c r="K8" s="21"/>
      <c r="L8" s="21" t="str">
        <f>IF(LEN(VLOOKUP(A8,'RM-TRUNG'!A:V,11,0))=0,"",VLOOKUP(A8,'RM-TRUNG'!A:V,11,0))</f>
        <v>Đã liên hệ KH qua điện thoại.</v>
      </c>
      <c r="M8" s="21"/>
      <c r="N8" s="21" t="str">
        <f>IF(LEN(VLOOKUP(A8,'RM-TRUNG'!A:V,12,0))=0,"",VLOOKUP(A8,'RM-TRUNG'!A:V,12,0))</f>
        <v>KH từ chối khéo nghe tư vấn</v>
      </c>
      <c r="O8" s="21"/>
      <c r="P8" s="21" t="str">
        <f>IF(LEN(VLOOKUP(A8,'RM-TRUNG'!A:V,13,0))=0,"",VLOOKUP(A8,'RM-TRUNG'!A:V,13,0))</f>
        <v/>
      </c>
      <c r="Q8" s="22">
        <f>IF(LEN(VLOOKUP(A8,'RM-TRUNG'!A:V,19,0))=0,"",VLOOKUP(A8,'RM-TRUNG'!A:V,19,0))</f>
        <v>10168561</v>
      </c>
      <c r="R8" s="22" t="str">
        <f>IF(LEN(VLOOKUP(A8,'RM-TRUNG'!A:V,20,0))=0,"",VLOOKUP(A8,'RM-TRUNG'!A:V,20,0))</f>
        <v>HOÀNG DIỄM THƯ</v>
      </c>
      <c r="S8" s="22" t="str">
        <f>IF(LEN(VLOOKUP(A8,'RM-TRUNG'!A:V,21,0))=0,"",VLOOKUP(A8,'RM-TRUNG'!A:V,21,0))</f>
        <v>RM/TL KHCN</v>
      </c>
      <c r="T8" s="22" t="str">
        <f>IF(LEN(VLOOKUP(A8,'RM-TRUNG'!A:V,18,0))=0,"",VLOOKUP(A8,'RM-TRUNG'!A:V,18,0))</f>
        <v>NGUYỄN THỊ NHẬT MI</v>
      </c>
      <c r="U8" s="22" t="str">
        <f>VLOOKUP(LEFT(A8,5),RM!A:B,2,0)</f>
        <v>Nguyễn Duy Trung</v>
      </c>
      <c r="V8" s="34" t="s">
        <v>178</v>
      </c>
      <c r="W8" s="22" t="str">
        <f>IF(LEN(VLOOKUP(A8,'RM-TRUNG'!A:V,15,0))=0,"",VLOOKUP(A8,'RM-TRUNG'!A:V,15,0))</f>
        <v>CN Thừa Thiên Huế</v>
      </c>
      <c r="X8" s="22" t="str">
        <f>IF(LEN(VLOOKUP(A8,'RM-TRUNG'!A:V,16,0))=0,"",VLOOKUP(A8,'RM-TRUNG'!A:V,16,0))</f>
        <v>Khu vực Miền Trung</v>
      </c>
    </row>
    <row r="9" spans="1:24" s="22" customFormat="1" x14ac:dyDescent="0.3">
      <c r="A9" s="19" t="s">
        <v>423</v>
      </c>
      <c r="B9" s="20" t="str">
        <f>IF(LEN(VLOOKUP(A9,'RM-TRUNG'!A:V,2,0))=0,"",VLOOKUP(A9,'RM-TRUNG'!A:V,2,0))</f>
        <v>TRẦN THỊ NGỌC</v>
      </c>
      <c r="C9" s="19"/>
      <c r="D9" s="19">
        <f>IF(IF(YEAR(IFERROR(VLOOKUP(A9,KH!A:N,4,0),""))&gt;1905,YEAR(IFERROR(VLOOKUP(A9,KH!A:N,4,0),"")),IFERROR(VLOOKUP(A9,KH!A:N,4,0),""))=0,"",IF(YEAR(IFERROR(VLOOKUP(A9,KH!A:N,4,0),""))&gt;1905,YEAR(IFERROR(VLOOKUP(A9,KH!A:N,4,0),"")),IFERROR(VLOOKUP(A9,KH!A:N,4,0),"")))</f>
        <v>1981</v>
      </c>
      <c r="E9" s="5">
        <f>IFERROR(VLOOKUP(A9,'RM-TRUNG'!A:V,6,0),"")</f>
        <v>45079</v>
      </c>
      <c r="F9" s="19" t="str">
        <f>PROPER(IFERROR(VLOOKUP(A9,'RM-TRUNG'!A:V,7,0),""))</f>
        <v>Huy Động</v>
      </c>
      <c r="G9" s="26">
        <f>IF(IFERROR(VLOOKUP(A9,'RM-TRUNG'!A:V,8,0),"")&lt;1000000,IFERROR(VLOOKUP(A9,'RM-TRUNG'!A:V,8,0),"")*1000000,IFERROR(VLOOKUP(A9,'RM-TRUNG'!A:V,8,0),""))</f>
        <v>20000000</v>
      </c>
      <c r="H9" s="19" t="str">
        <f>PROPER(IFERROR(VLOOKUP(A9,'RM-TRUNG'!A:V,9,0),""))</f>
        <v>Cần Follow Thêm</v>
      </c>
      <c r="I9" s="19"/>
      <c r="J9" s="21" t="str">
        <f>IF(LEN(VLOOKUP(A9,'RM-TRUNG'!A:V,10,0))=0,"",VLOOKUP(A9,'RM-TRUNG'!A:V,10,0))</f>
        <v>Đã gửi BMH đến KH, KH cần sn thêm</v>
      </c>
      <c r="K9" s="21"/>
      <c r="L9" s="21" t="str">
        <f>IF(LEN(VLOOKUP(A9,'RM-TRUNG'!A:V,11,0))=0,"",VLOOKUP(A9,'RM-TRUNG'!A:V,11,0))</f>
        <v/>
      </c>
      <c r="M9" s="21"/>
      <c r="N9" s="21" t="str">
        <f>IF(LEN(VLOOKUP(A9,'RM-TRUNG'!A:V,12,0))=0,"",VLOOKUP(A9,'RM-TRUNG'!A:V,12,0))</f>
        <v/>
      </c>
      <c r="O9" s="21"/>
      <c r="P9" s="21" t="str">
        <f>IF(LEN(VLOOKUP(A9,'RM-TRUNG'!A:V,13,0))=0,"",VLOOKUP(A9,'RM-TRUNG'!A:V,13,0))</f>
        <v/>
      </c>
      <c r="Q9" s="22">
        <f>IF(LEN(VLOOKUP(A9,'RM-TRUNG'!A:V,19,0))=0,"",VLOOKUP(A9,'RM-TRUNG'!A:V,19,0))</f>
        <v>10970349</v>
      </c>
      <c r="R9" s="22" t="str">
        <f>IF(LEN(VLOOKUP(A9,'RM-TRUNG'!A:V,20,0))=0,"",VLOOKUP(A9,'RM-TRUNG'!A:V,20,0))</f>
        <v>TRƯƠNG THỊ TỊNH ANH</v>
      </c>
      <c r="S9" s="22" t="str">
        <f>IF(LEN(VLOOKUP(A9,'RM-TRUNG'!A:V,21,0))=0,"",VLOOKUP(A9,'RM-TRUNG'!A:V,21,0))</f>
        <v>GDV/KSV KHCN</v>
      </c>
      <c r="T9" s="22" t="str">
        <f>IF(LEN(VLOOKUP(A9,'RM-TRUNG'!A:V,18,0))=0,"",VLOOKUP(A9,'RM-TRUNG'!A:V,18,0))</f>
        <v>NGUYỄN THỊ NHẬT MI</v>
      </c>
      <c r="U9" s="22" t="str">
        <f>VLOOKUP(LEFT(A9,5),RM!A:B,2,0)</f>
        <v>Nguyễn Duy Trung</v>
      </c>
      <c r="V9" s="34" t="s">
        <v>178</v>
      </c>
      <c r="W9" s="22" t="str">
        <f>IF(LEN(VLOOKUP(A9,'RM-TRUNG'!A:V,15,0))=0,"",VLOOKUP(A9,'RM-TRUNG'!A:V,15,0))</f>
        <v>CN Thừa Thiên Huế</v>
      </c>
      <c r="X9" s="22" t="str">
        <f>IF(LEN(VLOOKUP(A9,'RM-TRUNG'!A:V,16,0))=0,"",VLOOKUP(A9,'RM-TRUNG'!A:V,16,0))</f>
        <v>Khu vực Miền Trung</v>
      </c>
    </row>
    <row r="10" spans="1:24" s="22" customFormat="1" x14ac:dyDescent="0.3">
      <c r="A10" s="15" t="s">
        <v>424</v>
      </c>
      <c r="B10" s="20" t="str">
        <f>IF(LEN(VLOOKUP(A10,'RM-TRUNG'!A:V,2,0))=0,"",VLOOKUP(A10,'RM-TRUNG'!A:V,2,0))</f>
        <v>Phạm Thị Hải Yến</v>
      </c>
      <c r="C10" s="19"/>
      <c r="D10" s="19">
        <f>IF(IF(YEAR(IFERROR(VLOOKUP(A10,KH!A:N,4,0),""))&gt;1905,YEAR(IFERROR(VLOOKUP(A10,KH!A:N,4,0),"")),IFERROR(VLOOKUP(A10,KH!A:N,4,0),""))=0,"",IF(YEAR(IFERROR(VLOOKUP(A10,KH!A:N,4,0),""))&gt;1905,YEAR(IFERROR(VLOOKUP(A10,KH!A:N,4,0),"")),IFERROR(VLOOKUP(A10,KH!A:N,4,0),"")))</f>
        <v>1984</v>
      </c>
      <c r="E10" s="5">
        <f>IFERROR(VLOOKUP(A10,'RM-TRUNG'!A:V,6,0),"")</f>
        <v>45082</v>
      </c>
      <c r="F10" s="19" t="str">
        <f>PROPER(IFERROR(VLOOKUP(A10,'RM-TRUNG'!A:V,7,0),""))</f>
        <v>Vay</v>
      </c>
      <c r="G10" s="26">
        <f>IF(IFERROR(VLOOKUP(A10,'RM-TRUNG'!A:V,8,0),"")&lt;1000000,IFERROR(VLOOKUP(A10,'RM-TRUNG'!A:V,8,0),"")*1000000,IFERROR(VLOOKUP(A10,'RM-TRUNG'!A:V,8,0),""))</f>
        <v>10000000</v>
      </c>
      <c r="H10" s="19" t="str">
        <f>PROPER(IFERROR(VLOOKUP(A10,'RM-TRUNG'!A:V,9,0),""))</f>
        <v>Cần Follow Thêm</v>
      </c>
      <c r="I10" s="19"/>
      <c r="J10" s="21" t="str">
        <f>IF(LEN(VLOOKUP(A10,'RM-TRUNG'!A:V,10,0))=0,"",VLOOKUP(A10,'RM-TRUNG'!A:V,10,0))</f>
        <v>Chưa tham gia gói BH nào, quan tâm đến bảo vệ và tiết kiệm, đã gửi BMH cho KH.</v>
      </c>
      <c r="K10" s="21"/>
      <c r="L10" s="21" t="str">
        <f>IF(LEN(VLOOKUP(A10,'RM-TRUNG'!A:V,11,0))=0,"",VLOOKUP(A10,'RM-TRUNG'!A:V,11,0))</f>
        <v/>
      </c>
      <c r="M10" s="21"/>
      <c r="N10" s="21" t="str">
        <f>IF(LEN(VLOOKUP(A10,'RM-TRUNG'!A:V,12,0))=0,"",VLOOKUP(A10,'RM-TRUNG'!A:V,12,0))</f>
        <v/>
      </c>
      <c r="O10" s="21"/>
      <c r="P10" s="21" t="str">
        <f>IF(LEN(VLOOKUP(A10,'RM-TRUNG'!A:V,13,0))=0,"",VLOOKUP(A10,'RM-TRUNG'!A:V,13,0))</f>
        <v/>
      </c>
      <c r="Q10" s="22">
        <f>IF(LEN(VLOOKUP(A10,'RM-TRUNG'!A:V,19,0))=0,"",VLOOKUP(A10,'RM-TRUNG'!A:V,19,0))</f>
        <v>11115202</v>
      </c>
      <c r="R10" s="22" t="str">
        <f>IF(LEN(VLOOKUP(A10,'RM-TRUNG'!A:V,20,0))=0,"",VLOOKUP(A10,'RM-TRUNG'!A:V,20,0))</f>
        <v>Trần Thảo Hạ Nguyên</v>
      </c>
      <c r="S10" s="22" t="str">
        <f>IF(LEN(VLOOKUP(A10,'RM-TRUNG'!A:V,21,0))=0,"",VLOOKUP(A10,'RM-TRUNG'!A:V,21,0))</f>
        <v>RM/TL KHDN</v>
      </c>
      <c r="T10" s="22" t="str">
        <f>IF(LEN(VLOOKUP(A10,'RM-TRUNG'!A:V,18,0))=0,"",VLOOKUP(A10,'RM-TRUNG'!A:V,18,0))</f>
        <v>NGUYỄN THỊ THANH HƯƠNG</v>
      </c>
      <c r="U10" s="22" t="str">
        <f>VLOOKUP(LEFT(A10,5),RM!A:B,2,0)</f>
        <v>Nguyễn Duy Trung</v>
      </c>
      <c r="V10" s="34" t="s">
        <v>179</v>
      </c>
      <c r="W10" s="22" t="str">
        <f>IF(LEN(VLOOKUP(A10,'RM-TRUNG'!A:V,15,0))=0,"",VLOOKUP(A10,'RM-TRUNG'!A:V,15,0))</f>
        <v>CN Đà Nẵng</v>
      </c>
      <c r="X10" s="22" t="str">
        <f>IF(LEN(VLOOKUP(A10,'RM-TRUNG'!A:V,16,0))=0,"",VLOOKUP(A10,'RM-TRUNG'!A:V,16,0))</f>
        <v>Khu vực Miền Trung</v>
      </c>
    </row>
    <row r="11" spans="1:24" s="22" customFormat="1" x14ac:dyDescent="0.3">
      <c r="A11" s="19" t="s">
        <v>425</v>
      </c>
      <c r="B11" s="20" t="str">
        <f>IF(LEN(VLOOKUP(A11,'RM-TRUNG'!A:V,2,0))=0,"",VLOOKUP(A11,'RM-TRUNG'!A:V,2,0))</f>
        <v>Mai Văn Thơ</v>
      </c>
      <c r="C11" s="19"/>
      <c r="D11" s="19">
        <f>IF(IF(YEAR(IFERROR(VLOOKUP(A11,KH!A:N,4,0),""))&gt;1905,YEAR(IFERROR(VLOOKUP(A11,KH!A:N,4,0),"")),IFERROR(VLOOKUP(A11,KH!A:N,4,0),""))=0,"",IF(YEAR(IFERROR(VLOOKUP(A11,KH!A:N,4,0),""))&gt;1905,YEAR(IFERROR(VLOOKUP(A11,KH!A:N,4,0),"")),IFERROR(VLOOKUP(A11,KH!A:N,4,0),"")))</f>
        <v>1992</v>
      </c>
      <c r="E11" s="5">
        <f>IFERROR(VLOOKUP(A11,'RM-TRUNG'!A:V,6,0),"")</f>
        <v>45082</v>
      </c>
      <c r="F11" s="19" t="str">
        <f>PROPER(IFERROR(VLOOKUP(A11,'RM-TRUNG'!A:V,7,0),""))</f>
        <v>Vay</v>
      </c>
      <c r="G11" s="26">
        <f>IF(IFERROR(VLOOKUP(A11,'RM-TRUNG'!A:V,8,0),"")&lt;1000000,IFERROR(VLOOKUP(A11,'RM-TRUNG'!A:V,8,0),"")*1000000,IFERROR(VLOOKUP(A11,'RM-TRUNG'!A:V,8,0),""))</f>
        <v>12000000</v>
      </c>
      <c r="H11" s="19" t="str">
        <f>PROPER(IFERROR(VLOOKUP(A11,'RM-TRUNG'!A:V,9,0),""))</f>
        <v>Từ Chối</v>
      </c>
      <c r="I11" s="19"/>
      <c r="J11" s="21" t="str">
        <f>IF(LEN(VLOOKUP(A11,'RM-TRUNG'!A:V,10,0))=0,"",VLOOKUP(A11,'RM-TRUNG'!A:V,10,0))</f>
        <v>Đã kết bạn zalo, đang sơ vấn cho KH</v>
      </c>
      <c r="K11" s="21"/>
      <c r="L11" s="21" t="str">
        <f>IF(LEN(VLOOKUP(A11,'RM-TRUNG'!A:V,11,0))=0,"",VLOOKUP(A11,'RM-TRUNG'!A:V,11,0))</f>
        <v>KH từ chối khéo nghe tư vấn</v>
      </c>
      <c r="M11" s="21"/>
      <c r="N11" s="21" t="str">
        <f>IF(LEN(VLOOKUP(A11,'RM-TRUNG'!A:V,12,0))=0,"",VLOOKUP(A11,'RM-TRUNG'!A:V,12,0))</f>
        <v/>
      </c>
      <c r="O11" s="21"/>
      <c r="P11" s="21" t="str">
        <f>IF(LEN(VLOOKUP(A11,'RM-TRUNG'!A:V,13,0))=0,"",VLOOKUP(A11,'RM-TRUNG'!A:V,13,0))</f>
        <v/>
      </c>
      <c r="Q11" s="22">
        <f>IF(LEN(VLOOKUP(A11,'RM-TRUNG'!A:V,19,0))=0,"",VLOOKUP(A11,'RM-TRUNG'!A:V,19,0))</f>
        <v>11092762</v>
      </c>
      <c r="R11" s="22" t="str">
        <f>IF(LEN(VLOOKUP(A11,'RM-TRUNG'!A:V,20,0))=0,"",VLOOKUP(A11,'RM-TRUNG'!A:V,20,0))</f>
        <v>Lê Thị Thu Diệu</v>
      </c>
      <c r="S11" s="22" t="str">
        <f>IF(LEN(VLOOKUP(A11,'RM-TRUNG'!A:V,21,0))=0,"",VLOOKUP(A11,'RM-TRUNG'!A:V,21,0))</f>
        <v>GDV/KSV KHCN</v>
      </c>
      <c r="T11" s="22" t="str">
        <f>IF(LEN(VLOOKUP(A11,'RM-TRUNG'!A:V,18,0))=0,"",VLOOKUP(A11,'RM-TRUNG'!A:V,18,0))</f>
        <v>NGUYỄN THỊ THANH HƯƠNG</v>
      </c>
      <c r="U11" s="22" t="str">
        <f>VLOOKUP(LEFT(A11,5),RM!A:B,2,0)</f>
        <v>Nguyễn Duy Trung</v>
      </c>
      <c r="V11" s="34" t="s">
        <v>180</v>
      </c>
      <c r="W11" s="22" t="str">
        <f>IF(LEN(VLOOKUP(A11,'RM-TRUNG'!A:V,15,0))=0,"",VLOOKUP(A11,'RM-TRUNG'!A:V,15,0))</f>
        <v>CN Đà Nẵng</v>
      </c>
      <c r="X11" s="22" t="str">
        <f>IF(LEN(VLOOKUP(A11,'RM-TRUNG'!A:V,16,0))=0,"",VLOOKUP(A11,'RM-TRUNG'!A:V,16,0))</f>
        <v>Khu vực Miền Trung</v>
      </c>
    </row>
    <row r="12" spans="1:24" s="22" customFormat="1" x14ac:dyDescent="0.3">
      <c r="A12" s="15" t="s">
        <v>426</v>
      </c>
      <c r="B12" s="20" t="str">
        <f>IF(LEN(VLOOKUP(A12,'RM-TRUNG'!A:V,2,0))=0,"",VLOOKUP(A12,'RM-TRUNG'!A:V,2,0))</f>
        <v>HOÀNG THỊ BĂNG CHÂU</v>
      </c>
      <c r="C12" s="19"/>
      <c r="D12" s="19">
        <f>IF(IF(YEAR(IFERROR(VLOOKUP(A12,KH!A:N,4,0),""))&gt;1905,YEAR(IFERROR(VLOOKUP(A12,KH!A:N,4,0),"")),IFERROR(VLOOKUP(A12,KH!A:N,4,0),""))=0,"",IF(YEAR(IFERROR(VLOOKUP(A12,KH!A:N,4,0),""))&gt;1905,YEAR(IFERROR(VLOOKUP(A12,KH!A:N,4,0),"")),IFERROR(VLOOKUP(A12,KH!A:N,4,0),"")))</f>
        <v>1976</v>
      </c>
      <c r="E12" s="5">
        <f>IFERROR(VLOOKUP(A12,'RM-TRUNG'!A:V,6,0),"")</f>
        <v>45082</v>
      </c>
      <c r="F12" s="19" t="str">
        <f>PROPER(IFERROR(VLOOKUP(A12,'RM-TRUNG'!A:V,7,0),""))</f>
        <v>Huy Động</v>
      </c>
      <c r="G12" s="26">
        <f>IF(IFERROR(VLOOKUP(A12,'RM-TRUNG'!A:V,8,0),"")&lt;1000000,IFERROR(VLOOKUP(A12,'RM-TRUNG'!A:V,8,0),"")*1000000,IFERROR(VLOOKUP(A12,'RM-TRUNG'!A:V,8,0),""))</f>
        <v>21000000</v>
      </c>
      <c r="H12" s="19" t="str">
        <f>PROPER(IFERROR(VLOOKUP(A12,'RM-TRUNG'!A:V,9,0),""))</f>
        <v>Từ Chối</v>
      </c>
      <c r="I12" s="19"/>
      <c r="J12" s="21" t="str">
        <f>IF(LEN(VLOOKUP(A12,'RM-TRUNG'!A:V,10,0))=0,"",VLOOKUP(A12,'RM-TRUNG'!A:V,10,0))</f>
        <v>KH đã nghe tư vấn, mang BMH về nhà, hẹn ngày mai lên phản hồi, FA và GDV đang theo sát</v>
      </c>
      <c r="K12" s="21"/>
      <c r="L12" s="21" t="str">
        <f>IF(LEN(VLOOKUP(A12,'RM-TRUNG'!A:V,11,0))=0,"",VLOOKUP(A12,'RM-TRUNG'!A:V,11,0))</f>
        <v>KH từ chối khéo nghe tư vấn</v>
      </c>
      <c r="M12" s="21"/>
      <c r="N12" s="21" t="str">
        <f>IF(LEN(VLOOKUP(A12,'RM-TRUNG'!A:V,12,0))=0,"",VLOOKUP(A12,'RM-TRUNG'!A:V,12,0))</f>
        <v/>
      </c>
      <c r="O12" s="21"/>
      <c r="P12" s="21" t="str">
        <f>IF(LEN(VLOOKUP(A12,'RM-TRUNG'!A:V,13,0))=0,"",VLOOKUP(A12,'RM-TRUNG'!A:V,13,0))</f>
        <v/>
      </c>
      <c r="Q12" s="22">
        <f>IF(LEN(VLOOKUP(A12,'RM-TRUNG'!A:V,19,0))=0,"",VLOOKUP(A12,'RM-TRUNG'!A:V,19,0))</f>
        <v>10109415</v>
      </c>
      <c r="R12" s="22" t="str">
        <f>IF(LEN(VLOOKUP(A12,'RM-TRUNG'!A:V,20,0))=0,"",VLOOKUP(A12,'RM-TRUNG'!A:V,20,0))</f>
        <v>Huỳnh Thị Minh Hiền</v>
      </c>
      <c r="S12" s="22" t="str">
        <f>IF(LEN(VLOOKUP(A12,'RM-TRUNG'!A:V,21,0))=0,"",VLOOKUP(A12,'RM-TRUNG'!A:V,21,0))</f>
        <v>GDV/KSV KHCN</v>
      </c>
      <c r="T12" s="22" t="str">
        <f>IF(LEN(VLOOKUP(A12,'RM-TRUNG'!A:V,18,0))=0,"",VLOOKUP(A12,'RM-TRUNG'!A:V,18,0))</f>
        <v>ĐOÀN THỊ MINH NGUYỆT</v>
      </c>
      <c r="U12" s="22" t="str">
        <f>VLOOKUP(LEFT(A12,5),RM!A:B,2,0)</f>
        <v>Nguyễn Duy Trung</v>
      </c>
      <c r="V12" s="34" t="s">
        <v>100</v>
      </c>
      <c r="W12" s="22" t="str">
        <f>IF(LEN(VLOOKUP(A12,'RM-TRUNG'!A:V,15,0))=0,"",VLOOKUP(A12,'RM-TRUNG'!A:V,15,0))</f>
        <v>CN Tây Lộc</v>
      </c>
      <c r="X12" s="22" t="str">
        <f>IF(LEN(VLOOKUP(A12,'RM-TRUNG'!A:V,16,0))=0,"",VLOOKUP(A12,'RM-TRUNG'!A:V,16,0))</f>
        <v>Khu vực Miền Trung</v>
      </c>
    </row>
    <row r="13" spans="1:24" s="22" customFormat="1" x14ac:dyDescent="0.3">
      <c r="A13" s="19" t="s">
        <v>427</v>
      </c>
      <c r="B13" s="20" t="str">
        <f>IF(LEN(VLOOKUP(A13,'RM-TRUNG'!A:V,2,0))=0,"",VLOOKUP(A13,'RM-TRUNG'!A:V,2,0))</f>
        <v>Nguyễn Thanh Hoa</v>
      </c>
      <c r="C13" s="19"/>
      <c r="D13" s="19">
        <f>IF(IF(YEAR(IFERROR(VLOOKUP(A13,KH!A:N,4,0),""))&gt;1905,YEAR(IFERROR(VLOOKUP(A13,KH!A:N,4,0),"")),IFERROR(VLOOKUP(A13,KH!A:N,4,0),""))=0,"",IF(YEAR(IFERROR(VLOOKUP(A13,KH!A:N,4,0),""))&gt;1905,YEAR(IFERROR(VLOOKUP(A13,KH!A:N,4,0),"")),IFERROR(VLOOKUP(A13,KH!A:N,4,0),"")))</f>
        <v>1996</v>
      </c>
      <c r="E13" s="5">
        <f>IFERROR(VLOOKUP(A13,'RM-TRUNG'!A:V,6,0),"")</f>
        <v>45083</v>
      </c>
      <c r="F13" s="19" t="str">
        <f>PROPER(IFERROR(VLOOKUP(A13,'RM-TRUNG'!A:V,7,0),""))</f>
        <v>Khác</v>
      </c>
      <c r="G13" s="26">
        <f>IF(IFERROR(VLOOKUP(A13,'RM-TRUNG'!A:V,8,0),"")&lt;1000000,IFERROR(VLOOKUP(A13,'RM-TRUNG'!A:V,8,0),"")*1000000,IFERROR(VLOOKUP(A13,'RM-TRUNG'!A:V,8,0),""))</f>
        <v>20000000</v>
      </c>
      <c r="H13" s="19" t="str">
        <f>PROPER(IFERROR(VLOOKUP(A13,'RM-TRUNG'!A:V,9,0),""))</f>
        <v>Từ Chối</v>
      </c>
      <c r="I13" s="19"/>
      <c r="J13" s="21" t="str">
        <f>IF(LEN(VLOOKUP(A13,'RM-TRUNG'!A:V,10,0))=0,"",VLOOKUP(A13,'RM-TRUNG'!A:V,10,0))</f>
        <v>Đã liên hệ KH và đang sơ vấn</v>
      </c>
      <c r="K13" s="21"/>
      <c r="L13" s="21" t="str">
        <f>IF(LEN(VLOOKUP(A13,'RM-TRUNG'!A:V,11,0))=0,"",VLOOKUP(A13,'RM-TRUNG'!A:V,11,0))</f>
        <v>KH chưa chuẩn bị thêm được tài chính</v>
      </c>
      <c r="M13" s="21"/>
      <c r="N13" s="21" t="str">
        <f>IF(LEN(VLOOKUP(A13,'RM-TRUNG'!A:V,12,0))=0,"",VLOOKUP(A13,'RM-TRUNG'!A:V,12,0))</f>
        <v/>
      </c>
      <c r="O13" s="21"/>
      <c r="P13" s="21" t="str">
        <f>IF(LEN(VLOOKUP(A13,'RM-TRUNG'!A:V,13,0))=0,"",VLOOKUP(A13,'RM-TRUNG'!A:V,13,0))</f>
        <v/>
      </c>
      <c r="Q13" s="22">
        <f>IF(LEN(VLOOKUP(A13,'RM-TRUNG'!A:V,19,0))=0,"",VLOOKUP(A13,'RM-TRUNG'!A:V,19,0))</f>
        <v>10694630</v>
      </c>
      <c r="R13" s="22" t="str">
        <f>IF(LEN(VLOOKUP(A13,'RM-TRUNG'!A:V,20,0))=0,"",VLOOKUP(A13,'RM-TRUNG'!A:V,20,0))</f>
        <v>Hồ Thị Thu Hà</v>
      </c>
      <c r="S13" s="22" t="str">
        <f>IF(LEN(VLOOKUP(A13,'RM-TRUNG'!A:V,21,0))=0,"",VLOOKUP(A13,'RM-TRUNG'!A:V,21,0))</f>
        <v>GDV/KSV KHCN</v>
      </c>
      <c r="T13" s="22" t="str">
        <f>IF(LEN(VLOOKUP(A13,'RM-TRUNG'!A:V,18,0))=0,"",VLOOKUP(A13,'RM-TRUNG'!A:V,18,0))</f>
        <v>NGUYỄN THỊ THANH HƯƠNG</v>
      </c>
      <c r="U13" s="22" t="str">
        <f>VLOOKUP(LEFT(A13,5),RM!A:B,2,0)</f>
        <v>Nguyễn Duy Trung</v>
      </c>
      <c r="V13" s="34" t="s">
        <v>180</v>
      </c>
      <c r="W13" s="22" t="str">
        <f>IF(LEN(VLOOKUP(A13,'RM-TRUNG'!A:V,15,0))=0,"",VLOOKUP(A13,'RM-TRUNG'!A:V,15,0))</f>
        <v>CN Đà Nẵng</v>
      </c>
      <c r="X13" s="22" t="str">
        <f>IF(LEN(VLOOKUP(A13,'RM-TRUNG'!A:V,16,0))=0,"",VLOOKUP(A13,'RM-TRUNG'!A:V,16,0))</f>
        <v>Khu vực Miền Trung</v>
      </c>
    </row>
    <row r="14" spans="1:24" s="22" customFormat="1" x14ac:dyDescent="0.3">
      <c r="A14" s="15" t="s">
        <v>428</v>
      </c>
      <c r="B14" s="20" t="str">
        <f>IF(LEN(VLOOKUP(A14,'RM-TRUNG'!A:V,2,0))=0,"",VLOOKUP(A14,'RM-TRUNG'!A:V,2,0))</f>
        <v>Trần Thị Diễm My</v>
      </c>
      <c r="C14" s="19"/>
      <c r="D14" s="19">
        <f>IF(IF(YEAR(IFERROR(VLOOKUP(A14,KH!A:N,4,0),""))&gt;1905,YEAR(IFERROR(VLOOKUP(A14,KH!A:N,4,0),"")),IFERROR(VLOOKUP(A14,KH!A:N,4,0),""))=0,"",IF(YEAR(IFERROR(VLOOKUP(A14,KH!A:N,4,0),""))&gt;1905,YEAR(IFERROR(VLOOKUP(A14,KH!A:N,4,0),"")),IFERROR(VLOOKUP(A14,KH!A:N,4,0),"")))</f>
        <v>1997</v>
      </c>
      <c r="E14" s="5">
        <f>IFERROR(VLOOKUP(A14,'RM-TRUNG'!A:V,6,0),"")</f>
        <v>45083</v>
      </c>
      <c r="F14" s="19" t="str">
        <f>PROPER(IFERROR(VLOOKUP(A14,'RM-TRUNG'!A:V,7,0),""))</f>
        <v>Khác</v>
      </c>
      <c r="G14" s="26">
        <f>IF(IFERROR(VLOOKUP(A14,'RM-TRUNG'!A:V,8,0),"")&lt;1000000,IFERROR(VLOOKUP(A14,'RM-TRUNG'!A:V,8,0),"")*1000000,IFERROR(VLOOKUP(A14,'RM-TRUNG'!A:V,8,0),""))</f>
        <v>20000000</v>
      </c>
      <c r="H14" s="19" t="str">
        <f>PROPER(IFERROR(VLOOKUP(A14,'RM-TRUNG'!A:V,9,0),""))</f>
        <v>Từ Chối</v>
      </c>
      <c r="I14" s="19"/>
      <c r="J14" s="21" t="str">
        <f>IF(LEN(VLOOKUP(A14,'RM-TRUNG'!A:V,10,0))=0,"",VLOOKUP(A14,'RM-TRUNG'!A:V,10,0))</f>
        <v>Đã ib zalo KH, KH làm nhân viên Ngân hàng Viettin</v>
      </c>
      <c r="K14" s="21"/>
      <c r="L14" s="21" t="str">
        <f>IF(LEN(VLOOKUP(A14,'RM-TRUNG'!A:V,11,0))=0,"",VLOOKUP(A14,'RM-TRUNG'!A:V,11,0))</f>
        <v>KH chưa chuẩn bị thêm được tài chính</v>
      </c>
      <c r="M14" s="21"/>
      <c r="N14" s="21" t="str">
        <f>IF(LEN(VLOOKUP(A14,'RM-TRUNG'!A:V,12,0))=0,"",VLOOKUP(A14,'RM-TRUNG'!A:V,12,0))</f>
        <v/>
      </c>
      <c r="O14" s="21"/>
      <c r="P14" s="21" t="str">
        <f>IF(LEN(VLOOKUP(A14,'RM-TRUNG'!A:V,13,0))=0,"",VLOOKUP(A14,'RM-TRUNG'!A:V,13,0))</f>
        <v/>
      </c>
      <c r="Q14" s="22">
        <f>IF(LEN(VLOOKUP(A14,'RM-TRUNG'!A:V,19,0))=0,"",VLOOKUP(A14,'RM-TRUNG'!A:V,19,0))</f>
        <v>11092762</v>
      </c>
      <c r="R14" s="22" t="str">
        <f>IF(LEN(VLOOKUP(A14,'RM-TRUNG'!A:V,20,0))=0,"",VLOOKUP(A14,'RM-TRUNG'!A:V,20,0))</f>
        <v>Lê Thị Thu Diệu</v>
      </c>
      <c r="S14" s="22" t="str">
        <f>IF(LEN(VLOOKUP(A14,'RM-TRUNG'!A:V,21,0))=0,"",VLOOKUP(A14,'RM-TRUNG'!A:V,21,0))</f>
        <v>GDV/KSV KHCN</v>
      </c>
      <c r="T14" s="22" t="str">
        <f>IF(LEN(VLOOKUP(A14,'RM-TRUNG'!A:V,18,0))=0,"",VLOOKUP(A14,'RM-TRUNG'!A:V,18,0))</f>
        <v>NGUYỄN THỊ THANH HƯƠNG</v>
      </c>
      <c r="U14" s="22" t="str">
        <f>VLOOKUP(LEFT(A14,5),RM!A:B,2,0)</f>
        <v>Nguyễn Duy Trung</v>
      </c>
      <c r="V14" s="34" t="s">
        <v>100</v>
      </c>
      <c r="W14" s="22" t="str">
        <f>IF(LEN(VLOOKUP(A14,'RM-TRUNG'!A:V,15,0))=0,"",VLOOKUP(A14,'RM-TRUNG'!A:V,15,0))</f>
        <v>CN Đà Nẵng</v>
      </c>
      <c r="X14" s="22" t="str">
        <f>IF(LEN(VLOOKUP(A14,'RM-TRUNG'!A:V,16,0))=0,"",VLOOKUP(A14,'RM-TRUNG'!A:V,16,0))</f>
        <v>Khu vực Miền Trung</v>
      </c>
    </row>
    <row r="15" spans="1:24" s="22" customFormat="1" x14ac:dyDescent="0.3">
      <c r="A15" s="19" t="s">
        <v>429</v>
      </c>
      <c r="B15" s="20" t="str">
        <f>IF(LEN(VLOOKUP(A15,'RM-TRUNG'!A:V,2,0))=0,"",VLOOKUP(A15,'RM-TRUNG'!A:V,2,0))</f>
        <v>Trương Thị Trang</v>
      </c>
      <c r="C15" s="19"/>
      <c r="D15" s="19">
        <f>IF(IF(YEAR(IFERROR(VLOOKUP(A15,KH!A:N,4,0),""))&gt;1905,YEAR(IFERROR(VLOOKUP(A15,KH!A:N,4,0),"")),IFERROR(VLOOKUP(A15,KH!A:N,4,0),""))=0,"",IF(YEAR(IFERROR(VLOOKUP(A15,KH!A:N,4,0),""))&gt;1905,YEAR(IFERROR(VLOOKUP(A15,KH!A:N,4,0),"")),IFERROR(VLOOKUP(A15,KH!A:N,4,0),"")))</f>
        <v>1994</v>
      </c>
      <c r="E15" s="5">
        <f>IFERROR(VLOOKUP(A15,'RM-TRUNG'!A:V,6,0),"")</f>
        <v>45083</v>
      </c>
      <c r="F15" s="19" t="str">
        <f>PROPER(IFERROR(VLOOKUP(A15,'RM-TRUNG'!A:V,7,0),""))</f>
        <v>Khác</v>
      </c>
      <c r="G15" s="26">
        <f>IF(IFERROR(VLOOKUP(A15,'RM-TRUNG'!A:V,8,0),"")&lt;1000000,IFERROR(VLOOKUP(A15,'RM-TRUNG'!A:V,8,0),"")*1000000,IFERROR(VLOOKUP(A15,'RM-TRUNG'!A:V,8,0),""))</f>
        <v>20000000</v>
      </c>
      <c r="H15" s="19" t="str">
        <f>PROPER(IFERROR(VLOOKUP(A15,'RM-TRUNG'!A:V,9,0),""))</f>
        <v>Cần Follow Thêm</v>
      </c>
      <c r="I15" s="19"/>
      <c r="J15" s="21" t="str">
        <f>IF(LEN(VLOOKUP(A15,'RM-TRUNG'!A:V,10,0))=0,"",VLOOKUP(A15,'RM-TRUNG'!A:V,10,0))</f>
        <v>Đã liên hệ, sơ vấn cho KH, Kh đã tham gia 1 gói BH của Manulife, đang tư vấn để mở rộng thêm quyền lợi cho KH</v>
      </c>
      <c r="K15" s="21"/>
      <c r="L15" s="21" t="str">
        <f>IF(LEN(VLOOKUP(A15,'RM-TRUNG'!A:V,11,0))=0,"",VLOOKUP(A15,'RM-TRUNG'!A:V,11,0))</f>
        <v>KH từ chối khéo nghe tư vấn</v>
      </c>
      <c r="M15" s="21"/>
      <c r="N15" s="21" t="str">
        <f>IF(LEN(VLOOKUP(A15,'RM-TRUNG'!A:V,12,0))=0,"",VLOOKUP(A15,'RM-TRUNG'!A:V,12,0))</f>
        <v/>
      </c>
      <c r="O15" s="21"/>
      <c r="P15" s="21" t="str">
        <f>IF(LEN(VLOOKUP(A15,'RM-TRUNG'!A:V,13,0))=0,"",VLOOKUP(A15,'RM-TRUNG'!A:V,13,0))</f>
        <v/>
      </c>
      <c r="Q15" s="22">
        <f>IF(LEN(VLOOKUP(A15,'RM-TRUNG'!A:V,19,0))=0,"",VLOOKUP(A15,'RM-TRUNG'!A:V,19,0))</f>
        <v>11023108</v>
      </c>
      <c r="R15" s="22" t="str">
        <f>IF(LEN(VLOOKUP(A15,'RM-TRUNG'!A:V,20,0))=0,"",VLOOKUP(A15,'RM-TRUNG'!A:V,20,0))</f>
        <v>Hoàng Thị Xoan</v>
      </c>
      <c r="S15" s="22" t="str">
        <f>IF(LEN(VLOOKUP(A15,'RM-TRUNG'!A:V,21,0))=0,"",VLOOKUP(A15,'RM-TRUNG'!A:V,21,0))</f>
        <v>GDV/KSV KHCN</v>
      </c>
      <c r="T15" s="22" t="str">
        <f>IF(LEN(VLOOKUP(A15,'RM-TRUNG'!A:V,18,0))=0,"",VLOOKUP(A15,'RM-TRUNG'!A:V,18,0))</f>
        <v>NGUYỄN THỊ THANH HƯƠNG</v>
      </c>
      <c r="U15" s="22" t="str">
        <f>VLOOKUP(LEFT(A15,5),RM!A:B,2,0)</f>
        <v>Nguyễn Duy Trung</v>
      </c>
      <c r="V15" s="34" t="s">
        <v>93</v>
      </c>
      <c r="W15" s="22" t="str">
        <f>IF(LEN(VLOOKUP(A15,'RM-TRUNG'!A:V,15,0))=0,"",VLOOKUP(A15,'RM-TRUNG'!A:V,15,0))</f>
        <v>CN Đà Nẵng</v>
      </c>
      <c r="X15" s="22" t="str">
        <f>IF(LEN(VLOOKUP(A15,'RM-TRUNG'!A:V,16,0))=0,"",VLOOKUP(A15,'RM-TRUNG'!A:V,16,0))</f>
        <v>Khu vực Miền Trung</v>
      </c>
    </row>
    <row r="16" spans="1:24" s="22" customFormat="1" x14ac:dyDescent="0.3">
      <c r="A16" s="15" t="s">
        <v>430</v>
      </c>
      <c r="B16" s="20" t="str">
        <f>IF(LEN(VLOOKUP(A16,'RM-TRUNG'!A:V,2,0))=0,"",VLOOKUP(A16,'RM-TRUNG'!A:V,2,0))</f>
        <v>NGUYỄN NGỌC HOÀNG</v>
      </c>
      <c r="C16" s="19"/>
      <c r="D16" s="19">
        <f>IF(IF(YEAR(IFERROR(VLOOKUP(A16,KH!A:N,4,0),""))&gt;1905,YEAR(IFERROR(VLOOKUP(A16,KH!A:N,4,0),"")),IFERROR(VLOOKUP(A16,KH!A:N,4,0),""))=0,"",IF(YEAR(IFERROR(VLOOKUP(A16,KH!A:N,4,0),""))&gt;1905,YEAR(IFERROR(VLOOKUP(A16,KH!A:N,4,0),"")),IFERROR(VLOOKUP(A16,KH!A:N,4,0),"")))</f>
        <v>1994</v>
      </c>
      <c r="E16" s="5">
        <f>IFERROR(VLOOKUP(A16,'RM-TRUNG'!A:V,6,0),"")</f>
        <v>45083</v>
      </c>
      <c r="F16" s="19" t="str">
        <f>PROPER(IFERROR(VLOOKUP(A16,'RM-TRUNG'!A:V,7,0),""))</f>
        <v>Huy Động</v>
      </c>
      <c r="G16" s="26">
        <f>IF(IFERROR(VLOOKUP(A16,'RM-TRUNG'!A:V,8,0),"")&lt;1000000,IFERROR(VLOOKUP(A16,'RM-TRUNG'!A:V,8,0),"")*1000000,IFERROR(VLOOKUP(A16,'RM-TRUNG'!A:V,8,0),""))</f>
        <v>13761000</v>
      </c>
      <c r="H16" s="19" t="str">
        <f>PROPER(IFERROR(VLOOKUP(A16,'RM-TRUNG'!A:V,9,0),""))</f>
        <v>Chốt Deal</v>
      </c>
      <c r="I16" s="19"/>
      <c r="J16" s="21" t="str">
        <f>IF(LEN(VLOOKUP(A16,'RM-TRUNG'!A:V,10,0))=0,"",VLOOKUP(A16,'RM-TRUNG'!A:V,10,0))</f>
        <v>Chốt deal, khách hàng đã nghe tư vấn kĩ về quyền lợi của sản phẩm</v>
      </c>
      <c r="K16" s="21"/>
      <c r="L16" s="21" t="str">
        <f>IF(LEN(VLOOKUP(A16,'RM-TRUNG'!A:V,11,0))=0,"",VLOOKUP(A16,'RM-TRUNG'!A:V,11,0))</f>
        <v>KH từ chối khéo nghe tư vấn</v>
      </c>
      <c r="M16" s="21"/>
      <c r="N16" s="21" t="str">
        <f>IF(LEN(VLOOKUP(A16,'RM-TRUNG'!A:V,12,0))=0,"",VLOOKUP(A16,'RM-TRUNG'!A:V,12,0))</f>
        <v/>
      </c>
      <c r="O16" s="21"/>
      <c r="P16" s="21" t="str">
        <f>IF(LEN(VLOOKUP(A16,'RM-TRUNG'!A:V,13,0))=0,"",VLOOKUP(A16,'RM-TRUNG'!A:V,13,0))</f>
        <v/>
      </c>
      <c r="Q16" s="22" t="str">
        <f>IF(LEN(VLOOKUP(A16,'RM-TRUNG'!A:V,19,0))=0,"",VLOOKUP(A16,'RM-TRUNG'!A:V,19,0))</f>
        <v/>
      </c>
      <c r="R16" s="22" t="str">
        <f>IF(LEN(VLOOKUP(A16,'RM-TRUNG'!A:V,20,0))=0,"",VLOOKUP(A16,'RM-TRUNG'!A:V,20,0))</f>
        <v>LÊ THỊ THU HẰNG</v>
      </c>
      <c r="S16" s="22" t="str">
        <f>IF(LEN(VLOOKUP(A16,'RM-TRUNG'!A:V,21,0))=0,"",VLOOKUP(A16,'RM-TRUNG'!A:V,21,0))</f>
        <v>GDV/KSV KHCN</v>
      </c>
      <c r="T16" s="22" t="str">
        <f>IF(LEN(VLOOKUP(A16,'RM-TRUNG'!A:V,18,0))=0,"",VLOOKUP(A16,'RM-TRUNG'!A:V,18,0))</f>
        <v>NGUYỄN THỊ THUỲ</v>
      </c>
      <c r="U16" s="22" t="str">
        <f>VLOOKUP(LEFT(A16,5),RM!A:B,2,0)</f>
        <v>Nguyễn Duy Trung</v>
      </c>
      <c r="V16" s="34" t="s">
        <v>210</v>
      </c>
      <c r="W16" s="22" t="str">
        <f>IF(LEN(VLOOKUP(A16,'RM-TRUNG'!A:V,15,0))=0,"",VLOOKUP(A16,'RM-TRUNG'!A:V,15,0))</f>
        <v>CN Đông Ba</v>
      </c>
      <c r="X16" s="22" t="str">
        <f>IF(LEN(VLOOKUP(A16,'RM-TRUNG'!A:V,16,0))=0,"",VLOOKUP(A16,'RM-TRUNG'!A:V,16,0))</f>
        <v>Khu vực Miền Trung</v>
      </c>
    </row>
    <row r="17" spans="1:24" s="22" customFormat="1" x14ac:dyDescent="0.3">
      <c r="A17" s="19" t="s">
        <v>431</v>
      </c>
      <c r="B17" s="20" t="str">
        <f>IF(LEN(VLOOKUP(A17,'RM-TRUNG'!A:V,2,0))=0,"",VLOOKUP(A17,'RM-TRUNG'!A:V,2,0))</f>
        <v>NGÔ THỊ BÍCH</v>
      </c>
      <c r="C17" s="19"/>
      <c r="D17" s="19">
        <f>IF(IF(YEAR(IFERROR(VLOOKUP(A17,KH!A:N,4,0),""))&gt;1905,YEAR(IFERROR(VLOOKUP(A17,KH!A:N,4,0),"")),IFERROR(VLOOKUP(A17,KH!A:N,4,0),""))=0,"",IF(YEAR(IFERROR(VLOOKUP(A17,KH!A:N,4,0),""))&gt;1905,YEAR(IFERROR(VLOOKUP(A17,KH!A:N,4,0),"")),IFERROR(VLOOKUP(A17,KH!A:N,4,0),"")))</f>
        <v>1998</v>
      </c>
      <c r="E17" s="5">
        <f>IFERROR(VLOOKUP(A17,'RM-TRUNG'!A:V,6,0),"")</f>
        <v>45083</v>
      </c>
      <c r="F17" s="19" t="str">
        <f>PROPER(IFERROR(VLOOKUP(A17,'RM-TRUNG'!A:V,7,0),""))</f>
        <v>Huy Động</v>
      </c>
      <c r="G17" s="26">
        <f>IF(IFERROR(VLOOKUP(A17,'RM-TRUNG'!A:V,8,0),"")&lt;1000000,IFERROR(VLOOKUP(A17,'RM-TRUNG'!A:V,8,0),"")*1000000,IFERROR(VLOOKUP(A17,'RM-TRUNG'!A:V,8,0),""))</f>
        <v>12765000</v>
      </c>
      <c r="H17" s="19" t="str">
        <f>PROPER(IFERROR(VLOOKUP(A17,'RM-TRUNG'!A:V,9,0),""))</f>
        <v>Chốt Deal</v>
      </c>
      <c r="I17" s="19"/>
      <c r="J17" s="21" t="str">
        <f>IF(LEN(VLOOKUP(A17,'RM-TRUNG'!A:V,10,0))=0,"",VLOOKUP(A17,'RM-TRUNG'!A:V,10,0))</f>
        <v>Chốt deal, khách hàng đã nghe tư vấn kĩ về quyền lợi của sản phẩm</v>
      </c>
      <c r="K17" s="21"/>
      <c r="L17" s="21" t="str">
        <f>IF(LEN(VLOOKUP(A17,'RM-TRUNG'!A:V,11,0))=0,"",VLOOKUP(A17,'RM-TRUNG'!A:V,11,0))</f>
        <v>Chốt deal thành công</v>
      </c>
      <c r="M17" s="21"/>
      <c r="N17" s="21" t="str">
        <f>IF(LEN(VLOOKUP(A17,'RM-TRUNG'!A:V,12,0))=0,"",VLOOKUP(A17,'RM-TRUNG'!A:V,12,0))</f>
        <v/>
      </c>
      <c r="O17" s="21"/>
      <c r="P17" s="21" t="str">
        <f>IF(LEN(VLOOKUP(A17,'RM-TRUNG'!A:V,13,0))=0,"",VLOOKUP(A17,'RM-TRUNG'!A:V,13,0))</f>
        <v/>
      </c>
      <c r="Q17" s="22">
        <f>IF(LEN(VLOOKUP(A17,'RM-TRUNG'!A:V,19,0))=0,"",VLOOKUP(A17,'RM-TRUNG'!A:V,19,0))</f>
        <v>11410698</v>
      </c>
      <c r="R17" s="22" t="str">
        <f>IF(LEN(VLOOKUP(A17,'RM-TRUNG'!A:V,20,0))=0,"",VLOOKUP(A17,'RM-TRUNG'!A:V,20,0))</f>
        <v>VÕ THỊ THANH NHÀN</v>
      </c>
      <c r="S17" s="22" t="str">
        <f>IF(LEN(VLOOKUP(A17,'RM-TRUNG'!A:V,21,0))=0,"",VLOOKUP(A17,'RM-TRUNG'!A:V,21,0))</f>
        <v>GDV/KSV KHCN</v>
      </c>
      <c r="T17" s="22" t="str">
        <f>IF(LEN(VLOOKUP(A17,'RM-TRUNG'!A:V,18,0))=0,"",VLOOKUP(A17,'RM-TRUNG'!A:V,18,0))</f>
        <v>NGUYỄN THỊ THUỲ</v>
      </c>
      <c r="U17" s="22" t="str">
        <f>VLOOKUP(LEFT(A17,5),RM!A:B,2,0)</f>
        <v>Nguyễn Duy Trung</v>
      </c>
      <c r="V17" s="34" t="s">
        <v>96</v>
      </c>
      <c r="W17" s="22" t="str">
        <f>IF(LEN(VLOOKUP(A17,'RM-TRUNG'!A:V,15,0))=0,"",VLOOKUP(A17,'RM-TRUNG'!A:V,15,0))</f>
        <v>CN Đông Ba</v>
      </c>
      <c r="X17" s="22" t="str">
        <f>IF(LEN(VLOOKUP(A17,'RM-TRUNG'!A:V,16,0))=0,"",VLOOKUP(A17,'RM-TRUNG'!A:V,16,0))</f>
        <v>Khu vực Miền Trung</v>
      </c>
    </row>
    <row r="18" spans="1:24" s="22" customFormat="1" x14ac:dyDescent="0.3">
      <c r="A18" s="15" t="s">
        <v>432</v>
      </c>
      <c r="B18" s="20" t="str">
        <f>IF(LEN(VLOOKUP(A18,'RM-TRUNG'!A:V,2,0))=0,"",VLOOKUP(A18,'RM-TRUNG'!A:V,2,0))</f>
        <v>ĐÀO THỊ HƯƠNG</v>
      </c>
      <c r="C18" s="19"/>
      <c r="D18" s="19">
        <f>IF(IF(YEAR(IFERROR(VLOOKUP(A18,KH!A:N,4,0),""))&gt;1905,YEAR(IFERROR(VLOOKUP(A18,KH!A:N,4,0),"")),IFERROR(VLOOKUP(A18,KH!A:N,4,0),""))=0,"",IF(YEAR(IFERROR(VLOOKUP(A18,KH!A:N,4,0),""))&gt;1905,YEAR(IFERROR(VLOOKUP(A18,KH!A:N,4,0),"")),IFERROR(VLOOKUP(A18,KH!A:N,4,0),"")))</f>
        <v>1985</v>
      </c>
      <c r="E18" s="5">
        <f>IFERROR(VLOOKUP(A18,'RM-TRUNG'!A:V,6,0),"")</f>
        <v>45083</v>
      </c>
      <c r="F18" s="19" t="str">
        <f>PROPER(IFERROR(VLOOKUP(A18,'RM-TRUNG'!A:V,7,0),""))</f>
        <v>Khác</v>
      </c>
      <c r="G18" s="26">
        <f>IF(IFERROR(VLOOKUP(A18,'RM-TRUNG'!A:V,8,0),"")&lt;1000000,IFERROR(VLOOKUP(A18,'RM-TRUNG'!A:V,8,0),"")*1000000,IFERROR(VLOOKUP(A18,'RM-TRUNG'!A:V,8,0),""))</f>
        <v>18827000</v>
      </c>
      <c r="H18" s="19" t="str">
        <f>PROPER(IFERROR(VLOOKUP(A18,'RM-TRUNG'!A:V,9,0),""))</f>
        <v>Cần Follow Thêm</v>
      </c>
      <c r="I18" s="19"/>
      <c r="J18" s="21" t="str">
        <f>IF(LEN(VLOOKUP(A18,'RM-TRUNG'!A:V,10,0))=0,"",VLOOKUP(A18,'RM-TRUNG'!A:V,10,0))</f>
        <v>Đã gửi BMH đến CBB để đưa KH tham khảo ( chị dâu CCB)</v>
      </c>
      <c r="K18" s="21"/>
      <c r="L18" s="21" t="str">
        <f>IF(LEN(VLOOKUP(A18,'RM-TRUNG'!A:V,11,0))=0,"",VLOOKUP(A18,'RM-TRUNG'!A:V,11,0))</f>
        <v/>
      </c>
      <c r="M18" s="21"/>
      <c r="N18" s="21" t="str">
        <f>IF(LEN(VLOOKUP(A18,'RM-TRUNG'!A:V,12,0))=0,"",VLOOKUP(A18,'RM-TRUNG'!A:V,12,0))</f>
        <v/>
      </c>
      <c r="O18" s="21"/>
      <c r="P18" s="21" t="str">
        <f>IF(LEN(VLOOKUP(A18,'RM-TRUNG'!A:V,13,0))=0,"",VLOOKUP(A18,'RM-TRUNG'!A:V,13,0))</f>
        <v/>
      </c>
      <c r="Q18" s="22">
        <f>IF(LEN(VLOOKUP(A18,'RM-TRUNG'!A:V,19,0))=0,"",VLOOKUP(A18,'RM-TRUNG'!A:V,19,0))</f>
        <v>10512164</v>
      </c>
      <c r="R18" s="22" t="str">
        <f>IF(LEN(VLOOKUP(A18,'RM-TRUNG'!A:V,20,0))=0,"",VLOOKUP(A18,'RM-TRUNG'!A:V,20,0))</f>
        <v>NGUYỄN THỊ QUỲNH ANH</v>
      </c>
      <c r="S18" s="22" t="str">
        <f>IF(LEN(VLOOKUP(A18,'RM-TRUNG'!A:V,21,0))=0,"",VLOOKUP(A18,'RM-TRUNG'!A:V,21,0))</f>
        <v>GDV/KSV KHCN</v>
      </c>
      <c r="T18" s="22" t="str">
        <f>IF(LEN(VLOOKUP(A18,'RM-TRUNG'!A:V,18,0))=0,"",VLOOKUP(A18,'RM-TRUNG'!A:V,18,0))</f>
        <v>NGUYỄN THỊ NHẬT MI</v>
      </c>
      <c r="U18" s="22" t="str">
        <f>VLOOKUP(LEFT(A18,5),RM!A:B,2,0)</f>
        <v>Nguyễn Duy Trung</v>
      </c>
      <c r="V18" s="34" t="s">
        <v>100</v>
      </c>
      <c r="W18" s="22" t="str">
        <f>IF(LEN(VLOOKUP(A18,'RM-TRUNG'!A:V,15,0))=0,"",VLOOKUP(A18,'RM-TRUNG'!A:V,15,0))</f>
        <v>CN Thừa Thiên Huế</v>
      </c>
      <c r="X18" s="22" t="str">
        <f>IF(LEN(VLOOKUP(A18,'RM-TRUNG'!A:V,16,0))=0,"",VLOOKUP(A18,'RM-TRUNG'!A:V,16,0))</f>
        <v>Khu vực Miền Trung</v>
      </c>
    </row>
    <row r="19" spans="1:24" s="22" customFormat="1" x14ac:dyDescent="0.3">
      <c r="A19" s="19" t="s">
        <v>433</v>
      </c>
      <c r="B19" s="20" t="str">
        <f>IF(LEN(VLOOKUP(A19,'RM-TRUNG'!A:V,2,0))=0,"",VLOOKUP(A19,'RM-TRUNG'!A:V,2,0))</f>
        <v>LÊ VĂN MINH TRIỂN</v>
      </c>
      <c r="C19" s="19"/>
      <c r="D19" s="19">
        <f>IF(IF(YEAR(IFERROR(VLOOKUP(A19,KH!A:N,4,0),""))&gt;1905,YEAR(IFERROR(VLOOKUP(A19,KH!A:N,4,0),"")),IFERROR(VLOOKUP(A19,KH!A:N,4,0),""))=0,"",IF(YEAR(IFERROR(VLOOKUP(A19,KH!A:N,4,0),""))&gt;1905,YEAR(IFERROR(VLOOKUP(A19,KH!A:N,4,0),"")),IFERROR(VLOOKUP(A19,KH!A:N,4,0),"")))</f>
        <v>1991</v>
      </c>
      <c r="E19" s="5">
        <f>IFERROR(VLOOKUP(A19,'RM-TRUNG'!A:V,6,0),"")</f>
        <v>45083</v>
      </c>
      <c r="F19" s="19" t="str">
        <f>PROPER(IFERROR(VLOOKUP(A19,'RM-TRUNG'!A:V,7,0),""))</f>
        <v>Khác</v>
      </c>
      <c r="G19" s="26">
        <f>IF(IFERROR(VLOOKUP(A19,'RM-TRUNG'!A:V,8,0),"")&lt;1000000,IFERROR(VLOOKUP(A19,'RM-TRUNG'!A:V,8,0),"")*1000000,IFERROR(VLOOKUP(A19,'RM-TRUNG'!A:V,8,0),""))</f>
        <v>15500000</v>
      </c>
      <c r="H19" s="19" t="str">
        <f>PROPER(IFERROR(VLOOKUP(A19,'RM-TRUNG'!A:V,9,0),""))</f>
        <v>Cần Follow Thêm</v>
      </c>
      <c r="I19" s="19"/>
      <c r="J19" s="21" t="str">
        <f>IF(LEN(VLOOKUP(A19,'RM-TRUNG'!A:V,10,0))=0,"",VLOOKUP(A19,'RM-TRUNG'!A:V,10,0))</f>
        <v>Đã gửi BMH đến KH, CB của ngân hàng khác, muốn tham khảo sp</v>
      </c>
      <c r="K19" s="21"/>
      <c r="L19" s="21" t="str">
        <f>IF(LEN(VLOOKUP(A19,'RM-TRUNG'!A:V,11,0))=0,"",VLOOKUP(A19,'RM-TRUNG'!A:V,11,0))</f>
        <v/>
      </c>
      <c r="M19" s="21"/>
      <c r="N19" s="21" t="str">
        <f>IF(LEN(VLOOKUP(A19,'RM-TRUNG'!A:V,12,0))=0,"",VLOOKUP(A19,'RM-TRUNG'!A:V,12,0))</f>
        <v/>
      </c>
      <c r="O19" s="21"/>
      <c r="P19" s="21" t="str">
        <f>IF(LEN(VLOOKUP(A19,'RM-TRUNG'!A:V,13,0))=0,"",VLOOKUP(A19,'RM-TRUNG'!A:V,13,0))</f>
        <v/>
      </c>
      <c r="Q19" s="22">
        <f>IF(LEN(VLOOKUP(A19,'RM-TRUNG'!A:V,19,0))=0,"",VLOOKUP(A19,'RM-TRUNG'!A:V,19,0))</f>
        <v>11362598</v>
      </c>
      <c r="R19" s="22" t="str">
        <f>IF(LEN(VLOOKUP(A19,'RM-TRUNG'!A:V,20,0))=0,"",VLOOKUP(A19,'RM-TRUNG'!A:V,20,0))</f>
        <v>ĐẶNG THỊ DIỆU HIỀN</v>
      </c>
      <c r="S19" s="22" t="str">
        <f>IF(LEN(VLOOKUP(A19,'RM-TRUNG'!A:V,21,0))=0,"",VLOOKUP(A19,'RM-TRUNG'!A:V,21,0))</f>
        <v>GDV/KSV KHCN</v>
      </c>
      <c r="T19" s="22" t="str">
        <f>IF(LEN(VLOOKUP(A19,'RM-TRUNG'!A:V,18,0))=0,"",VLOOKUP(A19,'RM-TRUNG'!A:V,18,0))</f>
        <v>NGUYỄN THỊ NHẬT MI</v>
      </c>
      <c r="U19" s="22" t="str">
        <f>VLOOKUP(LEFT(A19,5),RM!A:B,2,0)</f>
        <v>Nguyễn Duy Trung</v>
      </c>
      <c r="V19" s="34" t="s">
        <v>180</v>
      </c>
      <c r="W19" s="22" t="str">
        <f>IF(LEN(VLOOKUP(A19,'RM-TRUNG'!A:V,15,0))=0,"",VLOOKUP(A19,'RM-TRUNG'!A:V,15,0))</f>
        <v>CN Thừa Thiên Huế</v>
      </c>
      <c r="X19" s="22" t="str">
        <f>IF(LEN(VLOOKUP(A19,'RM-TRUNG'!A:V,16,0))=0,"",VLOOKUP(A19,'RM-TRUNG'!A:V,16,0))</f>
        <v>Khu vực Miền Trung</v>
      </c>
    </row>
    <row r="20" spans="1:24" s="22" customFormat="1" x14ac:dyDescent="0.3">
      <c r="A20" s="15" t="s">
        <v>434</v>
      </c>
      <c r="B20" s="20" t="str">
        <f>IF(LEN(VLOOKUP(A20,'RM-TRUNG'!A:V,2,0))=0,"",VLOOKUP(A20,'RM-TRUNG'!A:V,2,0))</f>
        <v>Trương Thị Trang</v>
      </c>
      <c r="C20" s="19"/>
      <c r="D20" s="19">
        <f>IF(IF(YEAR(IFERROR(VLOOKUP(A20,KH!A:N,4,0),""))&gt;1905,YEAR(IFERROR(VLOOKUP(A20,KH!A:N,4,0),"")),IFERROR(VLOOKUP(A20,KH!A:N,4,0),""))=0,"",IF(YEAR(IFERROR(VLOOKUP(A20,KH!A:N,4,0),""))&gt;1905,YEAR(IFERROR(VLOOKUP(A20,KH!A:N,4,0),"")),IFERROR(VLOOKUP(A20,KH!A:N,4,0),"")))</f>
        <v>1994</v>
      </c>
      <c r="E20" s="5">
        <f>IFERROR(VLOOKUP(A20,'RM-TRUNG'!A:V,6,0),"")</f>
        <v>45084</v>
      </c>
      <c r="F20" s="19" t="str">
        <f>PROPER(IFERROR(VLOOKUP(A20,'RM-TRUNG'!A:V,7,0),""))</f>
        <v>Khác</v>
      </c>
      <c r="G20" s="26">
        <f>IF(IFERROR(VLOOKUP(A20,'RM-TRUNG'!A:V,8,0),"")&lt;1000000,IFERROR(VLOOKUP(A20,'RM-TRUNG'!A:V,8,0),"")*1000000,IFERROR(VLOOKUP(A20,'RM-TRUNG'!A:V,8,0),""))</f>
        <v>15000000</v>
      </c>
      <c r="H20" s="19" t="str">
        <f>PROPER(IFERROR(VLOOKUP(A20,'RM-TRUNG'!A:V,9,0),""))</f>
        <v>Cần Follow Thêm</v>
      </c>
      <c r="I20" s="19"/>
      <c r="J20" s="21" t="str">
        <f>IF(LEN(VLOOKUP(A20,'RM-TRUNG'!A:V,10,0))=0,"",VLOOKUP(A20,'RM-TRUNG'!A:V,10,0))</f>
        <v>Đã liên hệ, sơ vấn cho KH, Kh đã tham gia 1 gói BH của Manulife, đang tư vấn để mở rộng thêm quyền lợi cho KH</v>
      </c>
      <c r="K20" s="21"/>
      <c r="L20" s="21" t="str">
        <f>IF(LEN(VLOOKUP(A20,'RM-TRUNG'!A:V,11,0))=0,"",VLOOKUP(A20,'RM-TRUNG'!A:V,11,0))</f>
        <v>KH từ chối khéo nghe tư vấn</v>
      </c>
      <c r="M20" s="21"/>
      <c r="N20" s="21" t="str">
        <f>IF(LEN(VLOOKUP(A20,'RM-TRUNG'!A:V,12,0))=0,"",VLOOKUP(A20,'RM-TRUNG'!A:V,12,0))</f>
        <v/>
      </c>
      <c r="O20" s="21"/>
      <c r="P20" s="21" t="str">
        <f>IF(LEN(VLOOKUP(A20,'RM-TRUNG'!A:V,13,0))=0,"",VLOOKUP(A20,'RM-TRUNG'!A:V,13,0))</f>
        <v/>
      </c>
      <c r="Q20" s="22">
        <f>IF(LEN(VLOOKUP(A20,'RM-TRUNG'!A:V,19,0))=0,"",VLOOKUP(A20,'RM-TRUNG'!A:V,19,0))</f>
        <v>11023108</v>
      </c>
      <c r="R20" s="22" t="str">
        <f>IF(LEN(VLOOKUP(A20,'RM-TRUNG'!A:V,20,0))=0,"",VLOOKUP(A20,'RM-TRUNG'!A:V,20,0))</f>
        <v>Hoàng Thị Xoan</v>
      </c>
      <c r="S20" s="22" t="str">
        <f>IF(LEN(VLOOKUP(A20,'RM-TRUNG'!A:V,21,0))=0,"",VLOOKUP(A20,'RM-TRUNG'!A:V,21,0))</f>
        <v>GDV/KSV KHCN</v>
      </c>
      <c r="T20" s="22" t="str">
        <f>IF(LEN(VLOOKUP(A20,'RM-TRUNG'!A:V,18,0))=0,"",VLOOKUP(A20,'RM-TRUNG'!A:V,18,0))</f>
        <v>NGUYỄN THỊ THANH HƯƠNG</v>
      </c>
      <c r="U20" s="22" t="str">
        <f>VLOOKUP(LEFT(A20,5),RM!A:B,2,0)</f>
        <v>Nguyễn Duy Trung</v>
      </c>
      <c r="V20" s="34" t="s">
        <v>93</v>
      </c>
      <c r="W20" s="22" t="str">
        <f>IF(LEN(VLOOKUP(A20,'RM-TRUNG'!A:V,15,0))=0,"",VLOOKUP(A20,'RM-TRUNG'!A:V,15,0))</f>
        <v>CN Đà Nẵng</v>
      </c>
      <c r="X20" s="22" t="str">
        <f>IF(LEN(VLOOKUP(A20,'RM-TRUNG'!A:V,16,0))=0,"",VLOOKUP(A20,'RM-TRUNG'!A:V,16,0))</f>
        <v>Khu vực Miền Trung</v>
      </c>
    </row>
    <row r="21" spans="1:24" s="22" customFormat="1" x14ac:dyDescent="0.3">
      <c r="A21" s="19" t="s">
        <v>435</v>
      </c>
      <c r="B21" s="20" t="str">
        <f>IF(LEN(VLOOKUP(A21,'RM-TRUNG'!A:V,2,0))=0,"",VLOOKUP(A21,'RM-TRUNG'!A:V,2,0))</f>
        <v>Nguyễn Tiến Dương</v>
      </c>
      <c r="C21" s="19"/>
      <c r="D21" s="19">
        <f>IF(IF(YEAR(IFERROR(VLOOKUP(A21,KH!A:N,4,0),""))&gt;1905,YEAR(IFERROR(VLOOKUP(A21,KH!A:N,4,0),"")),IFERROR(VLOOKUP(A21,KH!A:N,4,0),""))=0,"",IF(YEAR(IFERROR(VLOOKUP(A21,KH!A:N,4,0),""))&gt;1905,YEAR(IFERROR(VLOOKUP(A21,KH!A:N,4,0),"")),IFERROR(VLOOKUP(A21,KH!A:N,4,0),"")))</f>
        <v>1991</v>
      </c>
      <c r="E21" s="5">
        <f>IFERROR(VLOOKUP(A21,'RM-TRUNG'!A:V,6,0),"")</f>
        <v>45084</v>
      </c>
      <c r="F21" s="19" t="str">
        <f>PROPER(IFERROR(VLOOKUP(A21,'RM-TRUNG'!A:V,7,0),""))</f>
        <v>Khác</v>
      </c>
      <c r="G21" s="26">
        <f>IF(IFERROR(VLOOKUP(A21,'RM-TRUNG'!A:V,8,0),"")&lt;1000000,IFERROR(VLOOKUP(A21,'RM-TRUNG'!A:V,8,0),"")*1000000,IFERROR(VLOOKUP(A21,'RM-TRUNG'!A:V,8,0),""))</f>
        <v>12000000</v>
      </c>
      <c r="H21" s="19" t="str">
        <f>PROPER(IFERROR(VLOOKUP(A21,'RM-TRUNG'!A:V,9,0),""))</f>
        <v>Từ Chối</v>
      </c>
      <c r="I21" s="19"/>
      <c r="J21" s="21" t="str">
        <f>IF(LEN(VLOOKUP(A21,'RM-TRUNG'!A:V,10,0))=0,"",VLOOKUP(A21,'RM-TRUNG'!A:V,10,0))</f>
        <v xml:space="preserve">Đã liên hệ, đang sơ vấn cho KH </v>
      </c>
      <c r="K21" s="21"/>
      <c r="L21" s="21" t="str">
        <f>IF(LEN(VLOOKUP(A21,'RM-TRUNG'!A:V,11,0))=0,"",VLOOKUP(A21,'RM-TRUNG'!A:V,11,0))</f>
        <v>KH từ chối khéo nghe tư vấn</v>
      </c>
      <c r="M21" s="21"/>
      <c r="N21" s="21" t="str">
        <f>IF(LEN(VLOOKUP(A21,'RM-TRUNG'!A:V,12,0))=0,"",VLOOKUP(A21,'RM-TRUNG'!A:V,12,0))</f>
        <v/>
      </c>
      <c r="O21" s="21"/>
      <c r="P21" s="21" t="str">
        <f>IF(LEN(VLOOKUP(A21,'RM-TRUNG'!A:V,13,0))=0,"",VLOOKUP(A21,'RM-TRUNG'!A:V,13,0))</f>
        <v/>
      </c>
      <c r="Q21" s="22">
        <f>IF(LEN(VLOOKUP(A21,'RM-TRUNG'!A:V,19,0))=0,"",VLOOKUP(A21,'RM-TRUNG'!A:V,19,0))</f>
        <v>11023108</v>
      </c>
      <c r="R21" s="22" t="str">
        <f>IF(LEN(VLOOKUP(A21,'RM-TRUNG'!A:V,20,0))=0,"",VLOOKUP(A21,'RM-TRUNG'!A:V,20,0))</f>
        <v>Hoàng Thị Xoan</v>
      </c>
      <c r="S21" s="22" t="str">
        <f>IF(LEN(VLOOKUP(A21,'RM-TRUNG'!A:V,21,0))=0,"",VLOOKUP(A21,'RM-TRUNG'!A:V,21,0))</f>
        <v>GDV/KSV KHCN</v>
      </c>
      <c r="T21" s="22" t="str">
        <f>IF(LEN(VLOOKUP(A21,'RM-TRUNG'!A:V,18,0))=0,"",VLOOKUP(A21,'RM-TRUNG'!A:V,18,0))</f>
        <v>NGUYỄN THỊ THANH HƯƠNG</v>
      </c>
      <c r="U21" s="22" t="str">
        <f>VLOOKUP(LEFT(A21,5),RM!A:B,2,0)</f>
        <v>Nguyễn Duy Trung</v>
      </c>
      <c r="V21" s="34" t="s">
        <v>210</v>
      </c>
      <c r="W21" s="22" t="str">
        <f>IF(LEN(VLOOKUP(A21,'RM-TRUNG'!A:V,15,0))=0,"",VLOOKUP(A21,'RM-TRUNG'!A:V,15,0))</f>
        <v>CN Đà Nẵng</v>
      </c>
      <c r="X21" s="22" t="str">
        <f>IF(LEN(VLOOKUP(A21,'RM-TRUNG'!A:V,16,0))=0,"",VLOOKUP(A21,'RM-TRUNG'!A:V,16,0))</f>
        <v>Khu vực Miền Trung</v>
      </c>
    </row>
    <row r="22" spans="1:24" s="22" customFormat="1" x14ac:dyDescent="0.3">
      <c r="A22" s="15" t="s">
        <v>436</v>
      </c>
      <c r="B22" s="20" t="str">
        <f>IF(LEN(VLOOKUP(A22,'RM-TRUNG'!A:V,2,0))=0,"",VLOOKUP(A22,'RM-TRUNG'!A:V,2,0))</f>
        <v>Lê Văn Minh Hiếu</v>
      </c>
      <c r="C22" s="19"/>
      <c r="D22" s="19">
        <f>IF(IF(YEAR(IFERROR(VLOOKUP(A22,KH!A:N,4,0),""))&gt;1905,YEAR(IFERROR(VLOOKUP(A22,KH!A:N,4,0),"")),IFERROR(VLOOKUP(A22,KH!A:N,4,0),""))=0,"",IF(YEAR(IFERROR(VLOOKUP(A22,KH!A:N,4,0),""))&gt;1905,YEAR(IFERROR(VLOOKUP(A22,KH!A:N,4,0),"")),IFERROR(VLOOKUP(A22,KH!A:N,4,0),"")))</f>
        <v>1994</v>
      </c>
      <c r="E22" s="5">
        <f>IFERROR(VLOOKUP(A22,'RM-TRUNG'!A:V,6,0),"")</f>
        <v>45084</v>
      </c>
      <c r="F22" s="19" t="str">
        <f>PROPER(IFERROR(VLOOKUP(A22,'RM-TRUNG'!A:V,7,0),""))</f>
        <v>Khác</v>
      </c>
      <c r="G22" s="26">
        <f>IF(IFERROR(VLOOKUP(A22,'RM-TRUNG'!A:V,8,0),"")&lt;1000000,IFERROR(VLOOKUP(A22,'RM-TRUNG'!A:V,8,0),"")*1000000,IFERROR(VLOOKUP(A22,'RM-TRUNG'!A:V,8,0),""))</f>
        <v>12000000</v>
      </c>
      <c r="H22" s="19" t="str">
        <f>PROPER(IFERROR(VLOOKUP(A22,'RM-TRUNG'!A:V,9,0),""))</f>
        <v>Từ Chối</v>
      </c>
      <c r="I22" s="19"/>
      <c r="J22" s="21" t="str">
        <f>IF(LEN(VLOOKUP(A22,'RM-TRUNG'!A:V,10,0))=0,"",VLOOKUP(A22,'RM-TRUNG'!A:V,10,0))</f>
        <v xml:space="preserve">Đã liên hệ, đang sơ vấn cho KH </v>
      </c>
      <c r="K22" s="21"/>
      <c r="L22" s="21" t="str">
        <f>IF(LEN(VLOOKUP(A22,'RM-TRUNG'!A:V,11,0))=0,"",VLOOKUP(A22,'RM-TRUNG'!A:V,11,0))</f>
        <v>KH từ chối khéo nghe tư vấn</v>
      </c>
      <c r="M22" s="21"/>
      <c r="N22" s="21" t="str">
        <f>IF(LEN(VLOOKUP(A22,'RM-TRUNG'!A:V,12,0))=0,"",VLOOKUP(A22,'RM-TRUNG'!A:V,12,0))</f>
        <v/>
      </c>
      <c r="O22" s="21"/>
      <c r="P22" s="21" t="str">
        <f>IF(LEN(VLOOKUP(A22,'RM-TRUNG'!A:V,13,0))=0,"",VLOOKUP(A22,'RM-TRUNG'!A:V,13,0))</f>
        <v/>
      </c>
      <c r="Q22" s="22">
        <f>IF(LEN(VLOOKUP(A22,'RM-TRUNG'!A:V,19,0))=0,"",VLOOKUP(A22,'RM-TRUNG'!A:V,19,0))</f>
        <v>11092762</v>
      </c>
      <c r="R22" s="22" t="str">
        <f>IF(LEN(VLOOKUP(A22,'RM-TRUNG'!A:V,20,0))=0,"",VLOOKUP(A22,'RM-TRUNG'!A:V,20,0))</f>
        <v>Lê Thị Thu Diệu</v>
      </c>
      <c r="S22" s="22" t="str">
        <f>IF(LEN(VLOOKUP(A22,'RM-TRUNG'!A:V,21,0))=0,"",VLOOKUP(A22,'RM-TRUNG'!A:V,21,0))</f>
        <v>GDV/KSV KHCN</v>
      </c>
      <c r="T22" s="22" t="str">
        <f>IF(LEN(VLOOKUP(A22,'RM-TRUNG'!A:V,18,0))=0,"",VLOOKUP(A22,'RM-TRUNG'!A:V,18,0))</f>
        <v>NGUYỄN THỊ THANH HƯƠNG</v>
      </c>
      <c r="U22" s="22" t="str">
        <f>VLOOKUP(LEFT(A22,5),RM!A:B,2,0)</f>
        <v>Nguyễn Duy Trung</v>
      </c>
      <c r="V22" s="34" t="s">
        <v>210</v>
      </c>
      <c r="W22" s="22" t="str">
        <f>IF(LEN(VLOOKUP(A22,'RM-TRUNG'!A:V,15,0))=0,"",VLOOKUP(A22,'RM-TRUNG'!A:V,15,0))</f>
        <v>CN Đà Nẵng</v>
      </c>
      <c r="X22" s="22" t="str">
        <f>IF(LEN(VLOOKUP(A22,'RM-TRUNG'!A:V,16,0))=0,"",VLOOKUP(A22,'RM-TRUNG'!A:V,16,0))</f>
        <v>Khu vực Miền Trung</v>
      </c>
    </row>
    <row r="23" spans="1:24" s="22" customFormat="1" x14ac:dyDescent="0.3">
      <c r="A23" s="19" t="s">
        <v>437</v>
      </c>
      <c r="B23" s="20" t="str">
        <f>IF(LEN(VLOOKUP(A23,'RM-TRUNG'!A:V,2,0))=0,"",VLOOKUP(A23,'RM-TRUNG'!A:V,2,0))</f>
        <v>Võ Thị Mỹ Thuận</v>
      </c>
      <c r="C23" s="19"/>
      <c r="D23" s="19">
        <f>IF(IF(YEAR(IFERROR(VLOOKUP(A23,KH!A:N,4,0),""))&gt;1905,YEAR(IFERROR(VLOOKUP(A23,KH!A:N,4,0),"")),IFERROR(VLOOKUP(A23,KH!A:N,4,0),""))=0,"",IF(YEAR(IFERROR(VLOOKUP(A23,KH!A:N,4,0),""))&gt;1905,YEAR(IFERROR(VLOOKUP(A23,KH!A:N,4,0),"")),IFERROR(VLOOKUP(A23,KH!A:N,4,0),"")))</f>
        <v>2000</v>
      </c>
      <c r="E23" s="5">
        <f>IFERROR(VLOOKUP(A23,'RM-TRUNG'!A:V,6,0),"")</f>
        <v>45084</v>
      </c>
      <c r="F23" s="19" t="str">
        <f>PROPER(IFERROR(VLOOKUP(A23,'RM-TRUNG'!A:V,7,0),""))</f>
        <v>Vay</v>
      </c>
      <c r="G23" s="26">
        <f>IF(IFERROR(VLOOKUP(A23,'RM-TRUNG'!A:V,8,0),"")&lt;1000000,IFERROR(VLOOKUP(A23,'RM-TRUNG'!A:V,8,0),"")*1000000,IFERROR(VLOOKUP(A23,'RM-TRUNG'!A:V,8,0),""))</f>
        <v>15000000</v>
      </c>
      <c r="H23" s="19" t="str">
        <f>PROPER(IFERROR(VLOOKUP(A23,'RM-TRUNG'!A:V,9,0),""))</f>
        <v>Từ Chối</v>
      </c>
      <c r="I23" s="19"/>
      <c r="J23" s="21" t="str">
        <f>IF(LEN(VLOOKUP(A23,'RM-TRUNG'!A:V,10,0))=0,"",VLOOKUP(A23,'RM-TRUNG'!A:V,10,0))</f>
        <v>KH đồng ý nghe tư vấn qua BMH, cần tương tác thêm</v>
      </c>
      <c r="K23" s="21"/>
      <c r="L23" s="21" t="str">
        <f>IF(LEN(VLOOKUP(A23,'RM-TRUNG'!A:V,11,0))=0,"",VLOOKUP(A23,'RM-TRUNG'!A:V,11,0))</f>
        <v>KH từ chối khéo nghe tư vấn</v>
      </c>
      <c r="M23" s="21"/>
      <c r="N23" s="21" t="str">
        <f>IF(LEN(VLOOKUP(A23,'RM-TRUNG'!A:V,12,0))=0,"",VLOOKUP(A23,'RM-TRUNG'!A:V,12,0))</f>
        <v/>
      </c>
      <c r="O23" s="21"/>
      <c r="P23" s="21" t="str">
        <f>IF(LEN(VLOOKUP(A23,'RM-TRUNG'!A:V,13,0))=0,"",VLOOKUP(A23,'RM-TRUNG'!A:V,13,0))</f>
        <v/>
      </c>
      <c r="Q23" s="22">
        <f>IF(LEN(VLOOKUP(A23,'RM-TRUNG'!A:V,19,0))=0,"",VLOOKUP(A23,'RM-TRUNG'!A:V,19,0))</f>
        <v>11402041</v>
      </c>
      <c r="R23" s="22" t="str">
        <f>IF(LEN(VLOOKUP(A23,'RM-TRUNG'!A:V,20,0))=0,"",VLOOKUP(A23,'RM-TRUNG'!A:V,20,0))</f>
        <v xml:space="preserve">Nguyễn Ngọc Phúc </v>
      </c>
      <c r="S23" s="22" t="str">
        <f>IF(LEN(VLOOKUP(A23,'RM-TRUNG'!A:V,21,0))=0,"",VLOOKUP(A23,'RM-TRUNG'!A:V,21,0))</f>
        <v>RM/TL KHCN</v>
      </c>
      <c r="T23" s="22" t="str">
        <f>IF(LEN(VLOOKUP(A23,'RM-TRUNG'!A:V,18,0))=0,"",VLOOKUP(A23,'RM-TRUNG'!A:V,18,0))</f>
        <v>NGÔ THỊ THU</v>
      </c>
      <c r="U23" s="22" t="str">
        <f>VLOOKUP(LEFT(A23,5),RM!A:B,2,0)</f>
        <v>Nguyễn Duy Trung</v>
      </c>
      <c r="V23" s="34" t="s">
        <v>210</v>
      </c>
      <c r="W23" s="22" t="str">
        <f>IF(LEN(VLOOKUP(A23,'RM-TRUNG'!A:V,15,0))=0,"",VLOOKUP(A23,'RM-TRUNG'!A:V,15,0))</f>
        <v>CN Hòa Xuân</v>
      </c>
      <c r="X23" s="22" t="str">
        <f>IF(LEN(VLOOKUP(A23,'RM-TRUNG'!A:V,16,0))=0,"",VLOOKUP(A23,'RM-TRUNG'!A:V,16,0))</f>
        <v>Khu vực Miền Trung</v>
      </c>
    </row>
    <row r="24" spans="1:24" s="22" customFormat="1" x14ac:dyDescent="0.3">
      <c r="A24" s="15" t="s">
        <v>438</v>
      </c>
      <c r="B24" s="20" t="str">
        <f>IF(LEN(VLOOKUP(A24,'RM-TRUNG'!A:V,2,0))=0,"",VLOOKUP(A24,'RM-TRUNG'!A:V,2,0))</f>
        <v>Tôn Nữ Hải Châu</v>
      </c>
      <c r="C24" s="19"/>
      <c r="D24" s="19">
        <f>IF(IF(YEAR(IFERROR(VLOOKUP(A24,KH!A:N,4,0),""))&gt;1905,YEAR(IFERROR(VLOOKUP(A24,KH!A:N,4,0),"")),IFERROR(VLOOKUP(A24,KH!A:N,4,0),""))=0,"",IF(YEAR(IFERROR(VLOOKUP(A24,KH!A:N,4,0),""))&gt;1905,YEAR(IFERROR(VLOOKUP(A24,KH!A:N,4,0),"")),IFERROR(VLOOKUP(A24,KH!A:N,4,0),"")))</f>
        <v>1973</v>
      </c>
      <c r="E24" s="5">
        <f>IFERROR(VLOOKUP(A24,'RM-TRUNG'!A:V,6,0),"")</f>
        <v>45084</v>
      </c>
      <c r="F24" s="19" t="str">
        <f>PROPER(IFERROR(VLOOKUP(A24,'RM-TRUNG'!A:V,7,0),""))</f>
        <v>Khác</v>
      </c>
      <c r="G24" s="26">
        <f>IF(IFERROR(VLOOKUP(A24,'RM-TRUNG'!A:V,8,0),"")&lt;1000000,IFERROR(VLOOKUP(A24,'RM-TRUNG'!A:V,8,0),"")*1000000,IFERROR(VLOOKUP(A24,'RM-TRUNG'!A:V,8,0),""))</f>
        <v>20000000</v>
      </c>
      <c r="H24" s="19" t="str">
        <f>PROPER(IFERROR(VLOOKUP(A24,'RM-TRUNG'!A:V,9,0),""))</f>
        <v>Cần Follow Thêm</v>
      </c>
      <c r="I24" s="19"/>
      <c r="J24" s="21" t="str">
        <f>IF(LEN(VLOOKUP(A24,'RM-TRUNG'!A:V,10,0))=0,"",VLOOKUP(A24,'RM-TRUNG'!A:V,10,0))</f>
        <v xml:space="preserve">Đã liên hệ, đang sơ vấn cho KH </v>
      </c>
      <c r="K24" s="21"/>
      <c r="L24" s="21" t="str">
        <f>IF(LEN(VLOOKUP(A24,'RM-TRUNG'!A:V,11,0))=0,"",VLOOKUP(A24,'RM-TRUNG'!A:V,11,0))</f>
        <v/>
      </c>
      <c r="M24" s="21"/>
      <c r="N24" s="21" t="str">
        <f>IF(LEN(VLOOKUP(A24,'RM-TRUNG'!A:V,12,0))=0,"",VLOOKUP(A24,'RM-TRUNG'!A:V,12,0))</f>
        <v/>
      </c>
      <c r="O24" s="21"/>
      <c r="P24" s="21" t="str">
        <f>IF(LEN(VLOOKUP(A24,'RM-TRUNG'!A:V,13,0))=0,"",VLOOKUP(A24,'RM-TRUNG'!A:V,13,0))</f>
        <v/>
      </c>
      <c r="Q24" s="22" t="str">
        <f>IF(LEN(VLOOKUP(A24,'RM-TRUNG'!A:V,19,0))=0,"",VLOOKUP(A24,'RM-TRUNG'!A:V,19,0))</f>
        <v/>
      </c>
      <c r="R24" s="22" t="str">
        <f>IF(LEN(VLOOKUP(A24,'RM-TRUNG'!A:V,20,0))=0,"",VLOOKUP(A24,'RM-TRUNG'!A:V,20,0))</f>
        <v xml:space="preserve">Ngô Lê Nhật Minh </v>
      </c>
      <c r="S24" s="22" t="str">
        <f>IF(LEN(VLOOKUP(A24,'RM-TRUNG'!A:V,21,0))=0,"",VLOOKUP(A24,'RM-TRUNG'!A:V,21,0))</f>
        <v>RM/TL KHCN</v>
      </c>
      <c r="T24" s="22" t="str">
        <f>IF(LEN(VLOOKUP(A24,'RM-TRUNG'!A:V,18,0))=0,"",VLOOKUP(A24,'RM-TRUNG'!A:V,18,0))</f>
        <v>ĐOÀN THỊ MINH NGUYỆT</v>
      </c>
      <c r="U24" s="22" t="str">
        <f>VLOOKUP(LEFT(A24,5),RM!A:B,2,0)</f>
        <v>Nguyễn Duy Trung</v>
      </c>
      <c r="V24" s="34" t="s">
        <v>210</v>
      </c>
      <c r="W24" s="22" t="str">
        <f>IF(LEN(VLOOKUP(A24,'RM-TRUNG'!A:V,15,0))=0,"",VLOOKUP(A24,'RM-TRUNG'!A:V,15,0))</f>
        <v>CN Tây Lộc</v>
      </c>
      <c r="X24" s="22" t="str">
        <f>IF(LEN(VLOOKUP(A24,'RM-TRUNG'!A:V,16,0))=0,"",VLOOKUP(A24,'RM-TRUNG'!A:V,16,0))</f>
        <v>Khu vực Miền Trung</v>
      </c>
    </row>
    <row r="25" spans="1:24" s="22" customFormat="1" x14ac:dyDescent="0.3">
      <c r="A25" s="19" t="s">
        <v>439</v>
      </c>
      <c r="B25" s="20" t="str">
        <f>IF(LEN(VLOOKUP(A25,'RM-TRUNG'!A:V,2,0))=0,"",VLOOKUP(A25,'RM-TRUNG'!A:V,2,0))</f>
        <v>Trần Thị Nga</v>
      </c>
      <c r="C25" s="19"/>
      <c r="D25" s="19">
        <f>IF(IF(YEAR(IFERROR(VLOOKUP(A25,KH!A:N,4,0),""))&gt;1905,YEAR(IFERROR(VLOOKUP(A25,KH!A:N,4,0),"")),IFERROR(VLOOKUP(A25,KH!A:N,4,0),""))=0,"",IF(YEAR(IFERROR(VLOOKUP(A25,KH!A:N,4,0),""))&gt;1905,YEAR(IFERROR(VLOOKUP(A25,KH!A:N,4,0),"")),IFERROR(VLOOKUP(A25,KH!A:N,4,0),"")))</f>
        <v>1990</v>
      </c>
      <c r="E25" s="5">
        <f>IFERROR(VLOOKUP(A25,'RM-TRUNG'!A:V,6,0),"")</f>
        <v>45085</v>
      </c>
      <c r="F25" s="19" t="str">
        <f>PROPER(IFERROR(VLOOKUP(A25,'RM-TRUNG'!A:V,7,0),""))</f>
        <v>Khác</v>
      </c>
      <c r="G25" s="26">
        <f>IF(IFERROR(VLOOKUP(A25,'RM-TRUNG'!A:V,8,0),"")&lt;1000000,IFERROR(VLOOKUP(A25,'RM-TRUNG'!A:V,8,0),"")*1000000,IFERROR(VLOOKUP(A25,'RM-TRUNG'!A:V,8,0),""))</f>
        <v>20000000</v>
      </c>
      <c r="H25" s="19" t="str">
        <f>PROPER(IFERROR(VLOOKUP(A25,'RM-TRUNG'!A:V,9,0),""))</f>
        <v xml:space="preserve"> Tiềm Năng </v>
      </c>
      <c r="I25" s="19"/>
      <c r="J25" s="21" t="str">
        <f>IF(LEN(VLOOKUP(A25,'RM-TRUNG'!A:V,10,0))=0,"",VLOOKUP(A25,'RM-TRUNG'!A:V,10,0))</f>
        <v>Đã liên hệ, đang sơ vấn cho KH, KH đã có 1 gói BH cho con. Đang tư vấn cho KH để tham gia cho 2 vợ chồng là người trụ cột.</v>
      </c>
      <c r="K25" s="21"/>
      <c r="L25" s="21" t="str">
        <f>IF(LEN(VLOOKUP(A25,'RM-TRUNG'!A:V,11,0))=0,"",VLOOKUP(A25,'RM-TRUNG'!A:V,11,0))</f>
        <v/>
      </c>
      <c r="M25" s="21"/>
      <c r="N25" s="21" t="str">
        <f>IF(LEN(VLOOKUP(A25,'RM-TRUNG'!A:V,12,0))=0,"",VLOOKUP(A25,'RM-TRUNG'!A:V,12,0))</f>
        <v/>
      </c>
      <c r="O25" s="21"/>
      <c r="P25" s="21" t="str">
        <f>IF(LEN(VLOOKUP(A25,'RM-TRUNG'!A:V,13,0))=0,"",VLOOKUP(A25,'RM-TRUNG'!A:V,13,0))</f>
        <v/>
      </c>
      <c r="Q25" s="22">
        <f>IF(LEN(VLOOKUP(A25,'RM-TRUNG'!A:V,19,0))=0,"",VLOOKUP(A25,'RM-TRUNG'!A:V,19,0))</f>
        <v>11023701</v>
      </c>
      <c r="R25" s="22" t="str">
        <f>IF(LEN(VLOOKUP(A25,'RM-TRUNG'!A:V,20,0))=0,"",VLOOKUP(A25,'RM-TRUNG'!A:V,20,0))</f>
        <v>Trần Thị Ngân</v>
      </c>
      <c r="S25" s="22" t="str">
        <f>IF(LEN(VLOOKUP(A25,'RM-TRUNG'!A:V,21,0))=0,"",VLOOKUP(A25,'RM-TRUNG'!A:V,21,0))</f>
        <v>RM/TL KHDN</v>
      </c>
      <c r="T25" s="22" t="str">
        <f>IF(LEN(VLOOKUP(A25,'RM-TRUNG'!A:V,18,0))=0,"",VLOOKUP(A25,'RM-TRUNG'!A:V,18,0))</f>
        <v>NGUYỄN THỊ THANH HƯƠNG</v>
      </c>
      <c r="U25" s="22" t="str">
        <f>VLOOKUP(LEFT(A25,5),RM!A:B,2,0)</f>
        <v>Nguyễn Duy Trung</v>
      </c>
      <c r="V25" s="34" t="s">
        <v>180</v>
      </c>
      <c r="W25" s="22" t="str">
        <f>IF(LEN(VLOOKUP(A25,'RM-TRUNG'!A:V,15,0))=0,"",VLOOKUP(A25,'RM-TRUNG'!A:V,15,0))</f>
        <v>CN Đà Nẵng</v>
      </c>
      <c r="X25" s="22" t="str">
        <f>IF(LEN(VLOOKUP(A25,'RM-TRUNG'!A:V,16,0))=0,"",VLOOKUP(A25,'RM-TRUNG'!A:V,16,0))</f>
        <v>Khu vực Miền Trung</v>
      </c>
    </row>
    <row r="26" spans="1:24" s="22" customFormat="1" x14ac:dyDescent="0.3">
      <c r="A26" s="15" t="s">
        <v>440</v>
      </c>
      <c r="B26" s="20" t="str">
        <f>IF(LEN(VLOOKUP(A26,'RM-TRUNG'!A:V,2,0))=0,"",VLOOKUP(A26,'RM-TRUNG'!A:V,2,0))</f>
        <v>Lê Thảo Uyên</v>
      </c>
      <c r="C26" s="19"/>
      <c r="D26" s="19">
        <f>IF(IF(YEAR(IFERROR(VLOOKUP(A26,KH!A:N,4,0),""))&gt;1905,YEAR(IFERROR(VLOOKUP(A26,KH!A:N,4,0),"")),IFERROR(VLOOKUP(A26,KH!A:N,4,0),""))=0,"",IF(YEAR(IFERROR(VLOOKUP(A26,KH!A:N,4,0),""))&gt;1905,YEAR(IFERROR(VLOOKUP(A26,KH!A:N,4,0),"")),IFERROR(VLOOKUP(A26,KH!A:N,4,0),"")))</f>
        <v>1992</v>
      </c>
      <c r="E26" s="5">
        <f>IFERROR(VLOOKUP(A26,'RM-TRUNG'!A:V,6,0),"")</f>
        <v>45085</v>
      </c>
      <c r="F26" s="19" t="str">
        <f>PROPER(IFERROR(VLOOKUP(A26,'RM-TRUNG'!A:V,7,0),""))</f>
        <v>Khác</v>
      </c>
      <c r="G26" s="26">
        <f>IF(IFERROR(VLOOKUP(A26,'RM-TRUNG'!A:V,8,0),"")&lt;1000000,IFERROR(VLOOKUP(A26,'RM-TRUNG'!A:V,8,0),"")*1000000,IFERROR(VLOOKUP(A26,'RM-TRUNG'!A:V,8,0),""))</f>
        <v>10000000</v>
      </c>
      <c r="H26" s="19" t="str">
        <f>PROPER(IFERROR(VLOOKUP(A26,'RM-TRUNG'!A:V,9,0),""))</f>
        <v>Cần Follow Thêm</v>
      </c>
      <c r="I26" s="19"/>
      <c r="J26" s="21" t="str">
        <f>IF(LEN(VLOOKUP(A26,'RM-TRUNG'!A:V,10,0))=0,"",VLOOKUP(A26,'RM-TRUNG'!A:V,10,0))</f>
        <v>KH đã có 2 gói BH tại Map và Gen, đang cân nhắc.</v>
      </c>
      <c r="K26" s="21"/>
      <c r="L26" s="21" t="str">
        <f>IF(LEN(VLOOKUP(A26,'RM-TRUNG'!A:V,11,0))=0,"",VLOOKUP(A26,'RM-TRUNG'!A:V,11,0))</f>
        <v/>
      </c>
      <c r="M26" s="21"/>
      <c r="N26" s="21" t="str">
        <f>IF(LEN(VLOOKUP(A26,'RM-TRUNG'!A:V,12,0))=0,"",VLOOKUP(A26,'RM-TRUNG'!A:V,12,0))</f>
        <v/>
      </c>
      <c r="O26" s="21"/>
      <c r="P26" s="21" t="str">
        <f>IF(LEN(VLOOKUP(A26,'RM-TRUNG'!A:V,13,0))=0,"",VLOOKUP(A26,'RM-TRUNG'!A:V,13,0))</f>
        <v/>
      </c>
      <c r="Q26" s="22">
        <f>IF(LEN(VLOOKUP(A26,'RM-TRUNG'!A:V,19,0))=0,"",VLOOKUP(A26,'RM-TRUNG'!A:V,19,0))</f>
        <v>10761472</v>
      </c>
      <c r="R26" s="22" t="str">
        <f>IF(LEN(VLOOKUP(A26,'RM-TRUNG'!A:V,20,0))=0,"",VLOOKUP(A26,'RM-TRUNG'!A:V,20,0))</f>
        <v>Nguyễn Hữu Quốc Thịnh</v>
      </c>
      <c r="S26" s="22" t="str">
        <f>IF(LEN(VLOOKUP(A26,'RM-TRUNG'!A:V,21,0))=0,"",VLOOKUP(A26,'RM-TRUNG'!A:V,21,0))</f>
        <v>RM/TL KHCN</v>
      </c>
      <c r="T26" s="22" t="str">
        <f>IF(LEN(VLOOKUP(A26,'RM-TRUNG'!A:V,18,0))=0,"",VLOOKUP(A26,'RM-TRUNG'!A:V,18,0))</f>
        <v>NGUYỄN THỊ THANH HƯƠNG</v>
      </c>
      <c r="U26" s="22" t="str">
        <f>VLOOKUP(LEFT(A26,5),RM!A:B,2,0)</f>
        <v>Nguyễn Duy Trung</v>
      </c>
      <c r="V26" s="34" t="s">
        <v>180</v>
      </c>
      <c r="W26" s="22" t="str">
        <f>IF(LEN(VLOOKUP(A26,'RM-TRUNG'!A:V,15,0))=0,"",VLOOKUP(A26,'RM-TRUNG'!A:V,15,0))</f>
        <v>CN Đà Nẵng</v>
      </c>
      <c r="X26" s="22" t="str">
        <f>IF(LEN(VLOOKUP(A26,'RM-TRUNG'!A:V,16,0))=0,"",VLOOKUP(A26,'RM-TRUNG'!A:V,16,0))</f>
        <v>Khu vực Miền Trung</v>
      </c>
    </row>
    <row r="27" spans="1:24" s="22" customFormat="1" x14ac:dyDescent="0.3">
      <c r="A27" s="19" t="s">
        <v>441</v>
      </c>
      <c r="B27" s="20" t="str">
        <f>IF(LEN(VLOOKUP(A27,'RM-TRUNG'!A:V,2,0))=0,"",VLOOKUP(A27,'RM-TRUNG'!A:V,2,0))</f>
        <v>Trần Ly Na</v>
      </c>
      <c r="C27" s="19"/>
      <c r="D27" s="19">
        <f>IF(IF(YEAR(IFERROR(VLOOKUP(A27,KH!A:N,4,0),""))&gt;1905,YEAR(IFERROR(VLOOKUP(A27,KH!A:N,4,0),"")),IFERROR(VLOOKUP(A27,KH!A:N,4,0),""))=0,"",IF(YEAR(IFERROR(VLOOKUP(A27,KH!A:N,4,0),""))&gt;1905,YEAR(IFERROR(VLOOKUP(A27,KH!A:N,4,0),"")),IFERROR(VLOOKUP(A27,KH!A:N,4,0),"")))</f>
        <v>2000</v>
      </c>
      <c r="E27" s="5">
        <f>IFERROR(VLOOKUP(A27,'RM-TRUNG'!A:V,6,0),"")</f>
        <v>45085</v>
      </c>
      <c r="F27" s="19" t="str">
        <f>PROPER(IFERROR(VLOOKUP(A27,'RM-TRUNG'!A:V,7,0),""))</f>
        <v>Khác</v>
      </c>
      <c r="G27" s="26">
        <f>IF(IFERROR(VLOOKUP(A27,'RM-TRUNG'!A:V,8,0),"")&lt;1000000,IFERROR(VLOOKUP(A27,'RM-TRUNG'!A:V,8,0),"")*1000000,IFERROR(VLOOKUP(A27,'RM-TRUNG'!A:V,8,0),""))</f>
        <v>10000000</v>
      </c>
      <c r="H27" s="19" t="str">
        <f>PROPER(IFERROR(VLOOKUP(A27,'RM-TRUNG'!A:V,9,0),""))</f>
        <v>Từ Chối</v>
      </c>
      <c r="I27" s="19"/>
      <c r="J27" s="21" t="str">
        <f>IF(LEN(VLOOKUP(A27,'RM-TRUNG'!A:V,10,0))=0,"",VLOOKUP(A27,'RM-TRUNG'!A:V,10,0))</f>
        <v xml:space="preserve">Đã liên hệ, đang sơ vấn cho KH </v>
      </c>
      <c r="K27" s="21"/>
      <c r="L27" s="21" t="str">
        <f>IF(LEN(VLOOKUP(A27,'RM-TRUNG'!A:V,11,0))=0,"",VLOOKUP(A27,'RM-TRUNG'!A:V,11,0))</f>
        <v/>
      </c>
      <c r="M27" s="21"/>
      <c r="N27" s="21" t="str">
        <f>IF(LEN(VLOOKUP(A27,'RM-TRUNG'!A:V,12,0))=0,"",VLOOKUP(A27,'RM-TRUNG'!A:V,12,0))</f>
        <v/>
      </c>
      <c r="O27" s="21"/>
      <c r="P27" s="21" t="str">
        <f>IF(LEN(VLOOKUP(A27,'RM-TRUNG'!A:V,13,0))=0,"",VLOOKUP(A27,'RM-TRUNG'!A:V,13,0))</f>
        <v/>
      </c>
      <c r="Q27" s="22">
        <f>IF(LEN(VLOOKUP(A27,'RM-TRUNG'!A:V,19,0))=0,"",VLOOKUP(A27,'RM-TRUNG'!A:V,19,0))</f>
        <v>11092762</v>
      </c>
      <c r="R27" s="22" t="str">
        <f>IF(LEN(VLOOKUP(A27,'RM-TRUNG'!A:V,20,0))=0,"",VLOOKUP(A27,'RM-TRUNG'!A:V,20,0))</f>
        <v>Lê Thị Thu Diệu</v>
      </c>
      <c r="S27" s="22" t="str">
        <f>IF(LEN(VLOOKUP(A27,'RM-TRUNG'!A:V,21,0))=0,"",VLOOKUP(A27,'RM-TRUNG'!A:V,21,0))</f>
        <v>GDV/KSV KHCN</v>
      </c>
      <c r="T27" s="22" t="str">
        <f>IF(LEN(VLOOKUP(A27,'RM-TRUNG'!A:V,18,0))=0,"",VLOOKUP(A27,'RM-TRUNG'!A:V,18,0))</f>
        <v>NGUYỄN THỊ THANH HƯƠNG</v>
      </c>
      <c r="U27" s="22" t="str">
        <f>VLOOKUP(LEFT(A27,5),RM!A:B,2,0)</f>
        <v>Nguyễn Duy Trung</v>
      </c>
      <c r="V27" s="34" t="s">
        <v>96</v>
      </c>
      <c r="W27" s="22" t="str">
        <f>IF(LEN(VLOOKUP(A27,'RM-TRUNG'!A:V,15,0))=0,"",VLOOKUP(A27,'RM-TRUNG'!A:V,15,0))</f>
        <v>CN Đà Nẵng</v>
      </c>
      <c r="X27" s="22" t="str">
        <f>IF(LEN(VLOOKUP(A27,'RM-TRUNG'!A:V,16,0))=0,"",VLOOKUP(A27,'RM-TRUNG'!A:V,16,0))</f>
        <v>Khu vực Miền Trung</v>
      </c>
    </row>
    <row r="28" spans="1:24" s="22" customFormat="1" x14ac:dyDescent="0.3">
      <c r="A28" s="15" t="s">
        <v>442</v>
      </c>
      <c r="B28" s="20" t="str">
        <f>IF(LEN(VLOOKUP(A28,'RM-TRUNG'!A:V,2,0))=0,"",VLOOKUP(A28,'RM-TRUNG'!A:V,2,0))</f>
        <v>Trần Quang Hiếu</v>
      </c>
      <c r="C28" s="19"/>
      <c r="D28" s="19">
        <f>IF(IF(YEAR(IFERROR(VLOOKUP(A28,KH!A:N,4,0),""))&gt;1905,YEAR(IFERROR(VLOOKUP(A28,KH!A:N,4,0),"")),IFERROR(VLOOKUP(A28,KH!A:N,4,0),""))=0,"",IF(YEAR(IFERROR(VLOOKUP(A28,KH!A:N,4,0),""))&gt;1905,YEAR(IFERROR(VLOOKUP(A28,KH!A:N,4,0),"")),IFERROR(VLOOKUP(A28,KH!A:N,4,0),"")))</f>
        <v>1994</v>
      </c>
      <c r="E28" s="5">
        <f>IFERROR(VLOOKUP(A28,'RM-TRUNG'!A:V,6,0),"")</f>
        <v>45085</v>
      </c>
      <c r="F28" s="19" t="str">
        <f>PROPER(IFERROR(VLOOKUP(A28,'RM-TRUNG'!A:V,7,0),""))</f>
        <v>Khác</v>
      </c>
      <c r="G28" s="26">
        <f>IF(IFERROR(VLOOKUP(A28,'RM-TRUNG'!A:V,8,0),"")&lt;1000000,IFERROR(VLOOKUP(A28,'RM-TRUNG'!A:V,8,0),"")*1000000,IFERROR(VLOOKUP(A28,'RM-TRUNG'!A:V,8,0),""))</f>
        <v>10000000</v>
      </c>
      <c r="H28" s="19" t="str">
        <f>PROPER(IFERROR(VLOOKUP(A28,'RM-TRUNG'!A:V,9,0),""))</f>
        <v>Từ Chối</v>
      </c>
      <c r="I28" s="19"/>
      <c r="J28" s="21" t="str">
        <f>IF(LEN(VLOOKUP(A28,'RM-TRUNG'!A:V,10,0))=0,"",VLOOKUP(A28,'RM-TRUNG'!A:V,10,0))</f>
        <v xml:space="preserve">Đã liên hệ, đang sơ vấn cho KH </v>
      </c>
      <c r="K28" s="21"/>
      <c r="L28" s="21" t="str">
        <f>IF(LEN(VLOOKUP(A28,'RM-TRUNG'!A:V,11,0))=0,"",VLOOKUP(A28,'RM-TRUNG'!A:V,11,0))</f>
        <v/>
      </c>
      <c r="M28" s="21"/>
      <c r="N28" s="21" t="str">
        <f>IF(LEN(VLOOKUP(A28,'RM-TRUNG'!A:V,12,0))=0,"",VLOOKUP(A28,'RM-TRUNG'!A:V,12,0))</f>
        <v/>
      </c>
      <c r="O28" s="21"/>
      <c r="P28" s="21" t="str">
        <f>IF(LEN(VLOOKUP(A28,'RM-TRUNG'!A:V,13,0))=0,"",VLOOKUP(A28,'RM-TRUNG'!A:V,13,0))</f>
        <v/>
      </c>
      <c r="Q28" s="22">
        <f>IF(LEN(VLOOKUP(A28,'RM-TRUNG'!A:V,19,0))=0,"",VLOOKUP(A28,'RM-TRUNG'!A:V,19,0))</f>
        <v>11405404</v>
      </c>
      <c r="R28" s="22" t="str">
        <f>IF(LEN(VLOOKUP(A28,'RM-TRUNG'!A:V,20,0))=0,"",VLOOKUP(A28,'RM-TRUNG'!A:V,20,0))</f>
        <v>Hoàng Thị Dương Yến</v>
      </c>
      <c r="S28" s="22" t="str">
        <f>IF(LEN(VLOOKUP(A28,'RM-TRUNG'!A:V,21,0))=0,"",VLOOKUP(A28,'RM-TRUNG'!A:V,21,0))</f>
        <v>GDV/KSV KHCN</v>
      </c>
      <c r="T28" s="22" t="str">
        <f>IF(LEN(VLOOKUP(A28,'RM-TRUNG'!A:V,18,0))=0,"",VLOOKUP(A28,'RM-TRUNG'!A:V,18,0))</f>
        <v>NGUYỄN THỊ THANH HƯƠNG</v>
      </c>
      <c r="U28" s="22" t="str">
        <f>VLOOKUP(LEFT(A28,5),RM!A:B,2,0)</f>
        <v>Nguyễn Duy Trung</v>
      </c>
      <c r="V28" s="34" t="s">
        <v>93</v>
      </c>
      <c r="W28" s="22" t="str">
        <f>IF(LEN(VLOOKUP(A28,'RM-TRUNG'!A:V,15,0))=0,"",VLOOKUP(A28,'RM-TRUNG'!A:V,15,0))</f>
        <v>CN Đà Nẵng</v>
      </c>
      <c r="X28" s="22" t="str">
        <f>IF(LEN(VLOOKUP(A28,'RM-TRUNG'!A:V,16,0))=0,"",VLOOKUP(A28,'RM-TRUNG'!A:V,16,0))</f>
        <v>Khu vực Miền Trung</v>
      </c>
    </row>
    <row r="29" spans="1:24" s="22" customFormat="1" x14ac:dyDescent="0.3">
      <c r="A29" s="19" t="s">
        <v>443</v>
      </c>
      <c r="B29" s="20" t="str">
        <f>IF(LEN(VLOOKUP(A29,'RM-TRUNG'!A:V,2,0))=0,"",VLOOKUP(A29,'RM-TRUNG'!A:V,2,0))</f>
        <v>HUỲNH KIM HƯNG</v>
      </c>
      <c r="C29" s="19"/>
      <c r="D29" s="19">
        <f>IF(IF(YEAR(IFERROR(VLOOKUP(A29,KH!A:N,4,0),""))&gt;1905,YEAR(IFERROR(VLOOKUP(A29,KH!A:N,4,0),"")),IFERROR(VLOOKUP(A29,KH!A:N,4,0),""))=0,"",IF(YEAR(IFERROR(VLOOKUP(A29,KH!A:N,4,0),""))&gt;1905,YEAR(IFERROR(VLOOKUP(A29,KH!A:N,4,0),"")),IFERROR(VLOOKUP(A29,KH!A:N,4,0),"")))</f>
        <v>1993</v>
      </c>
      <c r="E29" s="5">
        <f>IFERROR(VLOOKUP(A29,'RM-TRUNG'!A:V,6,0),"")</f>
        <v>45085</v>
      </c>
      <c r="F29" s="19" t="str">
        <f>PROPER(IFERROR(VLOOKUP(A29,'RM-TRUNG'!A:V,7,0),""))</f>
        <v>Vay</v>
      </c>
      <c r="G29" s="26">
        <f>IF(IFERROR(VLOOKUP(A29,'RM-TRUNG'!A:V,8,0),"")&lt;1000000,IFERROR(VLOOKUP(A29,'RM-TRUNG'!A:V,8,0),"")*1000000,IFERROR(VLOOKUP(A29,'RM-TRUNG'!A:V,8,0),""))</f>
        <v>10086000</v>
      </c>
      <c r="H29" s="19" t="str">
        <f>PROPER(IFERROR(VLOOKUP(A29,'RM-TRUNG'!A:V,9,0),""))</f>
        <v>Chốt Deal</v>
      </c>
      <c r="I29" s="19"/>
      <c r="J29" s="21" t="str">
        <f>IF(LEN(VLOOKUP(A29,'RM-TRUNG'!A:V,10,0))=0,"",VLOOKUP(A29,'RM-TRUNG'!A:V,10,0))</f>
        <v>Đã liên hệ KH qua điện thoại.</v>
      </c>
      <c r="K29" s="21"/>
      <c r="L29" s="21" t="str">
        <f>IF(LEN(VLOOKUP(A29,'RM-TRUNG'!A:V,11,0))=0,"",VLOOKUP(A29,'RM-TRUNG'!A:V,11,0))</f>
        <v>KH CHỐT DEAL</v>
      </c>
      <c r="M29" s="21"/>
      <c r="N29" s="21" t="str">
        <f>IF(LEN(VLOOKUP(A29,'RM-TRUNG'!A:V,12,0))=0,"",VLOOKUP(A29,'RM-TRUNG'!A:V,12,0))</f>
        <v/>
      </c>
      <c r="O29" s="21"/>
      <c r="P29" s="21" t="str">
        <f>IF(LEN(VLOOKUP(A29,'RM-TRUNG'!A:V,13,0))=0,"",VLOOKUP(A29,'RM-TRUNG'!A:V,13,0))</f>
        <v/>
      </c>
      <c r="Q29" s="22">
        <f>IF(LEN(VLOOKUP(A29,'RM-TRUNG'!A:V,19,0))=0,"",VLOOKUP(A29,'RM-TRUNG'!A:V,19,0))</f>
        <v>11405010</v>
      </c>
      <c r="R29" s="22" t="str">
        <f>IF(LEN(VLOOKUP(A29,'RM-TRUNG'!A:V,20,0))=0,"",VLOOKUP(A29,'RM-TRUNG'!A:V,20,0))</f>
        <v>LÊ TẤN BIÊN</v>
      </c>
      <c r="S29" s="22" t="str">
        <f>IF(LEN(VLOOKUP(A29,'RM-TRUNG'!A:V,21,0))=0,"",VLOOKUP(A29,'RM-TRUNG'!A:V,21,0))</f>
        <v>RM/TL KHCN</v>
      </c>
      <c r="T29" s="22" t="str">
        <f>IF(LEN(VLOOKUP(A29,'RM-TRUNG'!A:V,18,0))=0,"",VLOOKUP(A29,'RM-TRUNG'!A:V,18,0))</f>
        <v>NGÔ THỊ THU</v>
      </c>
      <c r="U29" s="22" t="str">
        <f>VLOOKUP(LEFT(A29,5),RM!A:B,2,0)</f>
        <v>Nguyễn Duy Trung</v>
      </c>
      <c r="V29" s="34" t="s">
        <v>93</v>
      </c>
      <c r="W29" s="22" t="str">
        <f>IF(LEN(VLOOKUP(A29,'RM-TRUNG'!A:V,15,0))=0,"",VLOOKUP(A29,'RM-TRUNG'!A:V,15,0))</f>
        <v>CN Hòa Xuân</v>
      </c>
      <c r="X29" s="22" t="str">
        <f>IF(LEN(VLOOKUP(A29,'RM-TRUNG'!A:V,16,0))=0,"",VLOOKUP(A29,'RM-TRUNG'!A:V,16,0))</f>
        <v>Khu vực Miền Trung</v>
      </c>
    </row>
    <row r="30" spans="1:24" s="22" customFormat="1" x14ac:dyDescent="0.3">
      <c r="A30" s="15" t="s">
        <v>444</v>
      </c>
      <c r="B30" s="20" t="str">
        <f>IF(LEN(VLOOKUP(A30,'RM-TRUNG'!A:V,2,0))=0,"",VLOOKUP(A30,'RM-TRUNG'!A:V,2,0))</f>
        <v>LÊ THỊ PHƯƠNG ANH</v>
      </c>
      <c r="C30" s="19"/>
      <c r="D30" s="19">
        <f>IF(IF(YEAR(IFERROR(VLOOKUP(A30,KH!A:N,4,0),""))&gt;1905,YEAR(IFERROR(VLOOKUP(A30,KH!A:N,4,0),"")),IFERROR(VLOOKUP(A30,KH!A:N,4,0),""))=0,"",IF(YEAR(IFERROR(VLOOKUP(A30,KH!A:N,4,0),""))&gt;1905,YEAR(IFERROR(VLOOKUP(A30,KH!A:N,4,0),"")),IFERROR(VLOOKUP(A30,KH!A:N,4,0),"")))</f>
        <v>1998</v>
      </c>
      <c r="E30" s="5">
        <f>IFERROR(VLOOKUP(A30,'RM-TRUNG'!A:V,6,0),"")</f>
        <v>45085</v>
      </c>
      <c r="F30" s="19" t="str">
        <f>PROPER(IFERROR(VLOOKUP(A30,'RM-TRUNG'!A:V,7,0),""))</f>
        <v>Huy Động</v>
      </c>
      <c r="G30" s="26">
        <f>IF(IFERROR(VLOOKUP(A30,'RM-TRUNG'!A:V,8,0),"")&lt;1000000,IFERROR(VLOOKUP(A30,'RM-TRUNG'!A:V,8,0),"")*1000000,IFERROR(VLOOKUP(A30,'RM-TRUNG'!A:V,8,0),""))</f>
        <v>14200000</v>
      </c>
      <c r="H30" s="19" t="str">
        <f>PROPER(IFERROR(VLOOKUP(A30,'RM-TRUNG'!A:V,9,0),""))</f>
        <v>Cần Follow Thêm</v>
      </c>
      <c r="I30" s="19"/>
      <c r="J30" s="21" t="str">
        <f>IF(LEN(VLOOKUP(A30,'RM-TRUNG'!A:V,10,0))=0,"",VLOOKUP(A30,'RM-TRUNG'!A:V,10,0))</f>
        <v>Đã gửi BMH và tv cho khách, muốn thẻ bảo lãnh viện phí về suy nghĩ thêm, nv spa</v>
      </c>
      <c r="K30" s="21"/>
      <c r="L30" s="21" t="str">
        <f>IF(LEN(VLOOKUP(A30,'RM-TRUNG'!A:V,11,0))=0,"",VLOOKUP(A30,'RM-TRUNG'!A:V,11,0))</f>
        <v/>
      </c>
      <c r="M30" s="21"/>
      <c r="N30" s="21" t="str">
        <f>IF(LEN(VLOOKUP(A30,'RM-TRUNG'!A:V,12,0))=0,"",VLOOKUP(A30,'RM-TRUNG'!A:V,12,0))</f>
        <v/>
      </c>
      <c r="O30" s="21"/>
      <c r="P30" s="21" t="str">
        <f>IF(LEN(VLOOKUP(A30,'RM-TRUNG'!A:V,13,0))=0,"",VLOOKUP(A30,'RM-TRUNG'!A:V,13,0))</f>
        <v/>
      </c>
      <c r="Q30" s="22">
        <f>IF(LEN(VLOOKUP(A30,'RM-TRUNG'!A:V,19,0))=0,"",VLOOKUP(A30,'RM-TRUNG'!A:V,19,0))</f>
        <v>10973196</v>
      </c>
      <c r="R30" s="22" t="str">
        <f>IF(LEN(VLOOKUP(A30,'RM-TRUNG'!A:V,20,0))=0,"",VLOOKUP(A30,'RM-TRUNG'!A:V,20,0))</f>
        <v>LÊ THỊ DIỆP KHANH</v>
      </c>
      <c r="S30" s="22" t="str">
        <f>IF(LEN(VLOOKUP(A30,'RM-TRUNG'!A:V,21,0))=0,"",VLOOKUP(A30,'RM-TRUNG'!A:V,21,0))</f>
        <v>GDV/KSV KHCN</v>
      </c>
      <c r="T30" s="22" t="str">
        <f>IF(LEN(VLOOKUP(A30,'RM-TRUNG'!A:V,18,0))=0,"",VLOOKUP(A30,'RM-TRUNG'!A:V,18,0))</f>
        <v>NGUYỄN THỊ NHẬT MI</v>
      </c>
      <c r="U30" s="22" t="str">
        <f>VLOOKUP(LEFT(A30,5),RM!A:B,2,0)</f>
        <v>Nguyễn Duy Trung</v>
      </c>
      <c r="V30" s="34" t="s">
        <v>93</v>
      </c>
      <c r="W30" s="22" t="str">
        <f>IF(LEN(VLOOKUP(A30,'RM-TRUNG'!A:V,15,0))=0,"",VLOOKUP(A30,'RM-TRUNG'!A:V,15,0))</f>
        <v>CN Thừa Thiên Huế</v>
      </c>
      <c r="X30" s="22" t="str">
        <f>IF(LEN(VLOOKUP(A30,'RM-TRUNG'!A:V,16,0))=0,"",VLOOKUP(A30,'RM-TRUNG'!A:V,16,0))</f>
        <v>Khu vực Miền Trung</v>
      </c>
    </row>
    <row r="31" spans="1:24" s="22" customFormat="1" x14ac:dyDescent="0.3">
      <c r="A31" s="19" t="s">
        <v>445</v>
      </c>
      <c r="B31" s="20" t="str">
        <f>IF(LEN(VLOOKUP(A31,'RM-TRUNG'!A:V,2,0))=0,"",VLOOKUP(A31,'RM-TRUNG'!A:V,2,0))</f>
        <v>TRƯƠNG QUỐC ANH</v>
      </c>
      <c r="C31" s="19"/>
      <c r="D31" s="19">
        <f>IF(IF(YEAR(IFERROR(VLOOKUP(A31,KH!A:N,4,0),""))&gt;1905,YEAR(IFERROR(VLOOKUP(A31,KH!A:N,4,0),"")),IFERROR(VLOOKUP(A31,KH!A:N,4,0),""))=0,"",IF(YEAR(IFERROR(VLOOKUP(A31,KH!A:N,4,0),""))&gt;1905,YEAR(IFERROR(VLOOKUP(A31,KH!A:N,4,0),"")),IFERROR(VLOOKUP(A31,KH!A:N,4,0),"")))</f>
        <v>1991</v>
      </c>
      <c r="E31" s="5">
        <f>IFERROR(VLOOKUP(A31,'RM-TRUNG'!A:V,6,0),"")</f>
        <v>45085</v>
      </c>
      <c r="F31" s="19" t="str">
        <f>PROPER(IFERROR(VLOOKUP(A31,'RM-TRUNG'!A:V,7,0),""))</f>
        <v>Khác</v>
      </c>
      <c r="G31" s="26">
        <f>IF(IFERROR(VLOOKUP(A31,'RM-TRUNG'!A:V,8,0),"")&lt;1000000,IFERROR(VLOOKUP(A31,'RM-TRUNG'!A:V,8,0),"")*1000000,IFERROR(VLOOKUP(A31,'RM-TRUNG'!A:V,8,0),""))</f>
        <v>12000000</v>
      </c>
      <c r="H31" s="19" t="str">
        <f>PROPER(IFERROR(VLOOKUP(A31,'RM-TRUNG'!A:V,9,0),""))</f>
        <v xml:space="preserve"> Tiềm Năng </v>
      </c>
      <c r="I31" s="19"/>
      <c r="J31" s="21" t="str">
        <f>IF(LEN(VLOOKUP(A31,'RM-TRUNG'!A:V,10,0))=0,"",VLOOKUP(A31,'RM-TRUNG'!A:V,10,0))</f>
        <v>Đã gửi BMH đến KH, anh trai của CBB</v>
      </c>
      <c r="K31" s="21"/>
      <c r="L31" s="21" t="str">
        <f>IF(LEN(VLOOKUP(A31,'RM-TRUNG'!A:V,11,0))=0,"",VLOOKUP(A31,'RM-TRUNG'!A:V,11,0))</f>
        <v>KH nghe tư vấn và chốt đồng ý</v>
      </c>
      <c r="M31" s="21"/>
      <c r="N31" s="21" t="str">
        <f>IF(LEN(VLOOKUP(A31,'RM-TRUNG'!A:V,12,0))=0,"",VLOOKUP(A31,'RM-TRUNG'!A:V,12,0))</f>
        <v/>
      </c>
      <c r="O31" s="21"/>
      <c r="P31" s="21" t="str">
        <f>IF(LEN(VLOOKUP(A31,'RM-TRUNG'!A:V,13,0))=0,"",VLOOKUP(A31,'RM-TRUNG'!A:V,13,0))</f>
        <v/>
      </c>
      <c r="Q31" s="22">
        <f>IF(LEN(VLOOKUP(A31,'RM-TRUNG'!A:V,19,0))=0,"",VLOOKUP(A31,'RM-TRUNG'!A:V,19,0))</f>
        <v>10970349</v>
      </c>
      <c r="R31" s="22" t="str">
        <f>IF(LEN(VLOOKUP(A31,'RM-TRUNG'!A:V,20,0))=0,"",VLOOKUP(A31,'RM-TRUNG'!A:V,20,0))</f>
        <v>TRƯƠNG THỊ TỊNH ANH</v>
      </c>
      <c r="S31" s="22" t="str">
        <f>IF(LEN(VLOOKUP(A31,'RM-TRUNG'!A:V,21,0))=0,"",VLOOKUP(A31,'RM-TRUNG'!A:V,21,0))</f>
        <v>GDV/KSV KHCN</v>
      </c>
      <c r="T31" s="22" t="str">
        <f>IF(LEN(VLOOKUP(A31,'RM-TRUNG'!A:V,18,0))=0,"",VLOOKUP(A31,'RM-TRUNG'!A:V,18,0))</f>
        <v>NGUYỄN THỊ NHẬT MI</v>
      </c>
      <c r="U31" s="22" t="str">
        <f>VLOOKUP(LEFT(A31,5),RM!A:B,2,0)</f>
        <v>Nguyễn Duy Trung</v>
      </c>
      <c r="V31" s="34" t="s">
        <v>95</v>
      </c>
      <c r="W31" s="22" t="str">
        <f>IF(LEN(VLOOKUP(A31,'RM-TRUNG'!A:V,15,0))=0,"",VLOOKUP(A31,'RM-TRUNG'!A:V,15,0))</f>
        <v>CN Thừa Thiên Huế</v>
      </c>
      <c r="X31" s="22" t="str">
        <f>IF(LEN(VLOOKUP(A31,'RM-TRUNG'!A:V,16,0))=0,"",VLOOKUP(A31,'RM-TRUNG'!A:V,16,0))</f>
        <v>Khu vực Miền Trung</v>
      </c>
    </row>
    <row r="32" spans="1:24" s="22" customFormat="1" x14ac:dyDescent="0.3">
      <c r="A32" s="15" t="s">
        <v>446</v>
      </c>
      <c r="B32" s="20" t="str">
        <f>IF(LEN(VLOOKUP(A32,'RM-TRUNG'!A:V,2,0))=0,"",VLOOKUP(A32,'RM-TRUNG'!A:V,2,0))</f>
        <v>anh Trực</v>
      </c>
      <c r="C32" s="19"/>
      <c r="D32" s="19">
        <f>IF(IF(YEAR(IFERROR(VLOOKUP(A32,KH!A:N,4,0),""))&gt;1905,YEAR(IFERROR(VLOOKUP(A32,KH!A:N,4,0),"")),IFERROR(VLOOKUP(A32,KH!A:N,4,0),""))=0,"",IF(YEAR(IFERROR(VLOOKUP(A32,KH!A:N,4,0),""))&gt;1905,YEAR(IFERROR(VLOOKUP(A32,KH!A:N,4,0),"")),IFERROR(VLOOKUP(A32,KH!A:N,4,0),"")))</f>
        <v>1980</v>
      </c>
      <c r="E32" s="5">
        <f>IFERROR(VLOOKUP(A32,'RM-TRUNG'!A:V,6,0),"")</f>
        <v>45086</v>
      </c>
      <c r="F32" s="19" t="str">
        <f>PROPER(IFERROR(VLOOKUP(A32,'RM-TRUNG'!A:V,7,0),""))</f>
        <v>Khác</v>
      </c>
      <c r="G32" s="26">
        <f>IF(IFERROR(VLOOKUP(A32,'RM-TRUNG'!A:V,8,0),"")&lt;1000000,IFERROR(VLOOKUP(A32,'RM-TRUNG'!A:V,8,0),"")*1000000,IFERROR(VLOOKUP(A32,'RM-TRUNG'!A:V,8,0),""))</f>
        <v>8019000</v>
      </c>
      <c r="H32" s="19" t="str">
        <f>PROPER(IFERROR(VLOOKUP(A32,'RM-TRUNG'!A:V,9,0),""))</f>
        <v>Chốt Deal</v>
      </c>
      <c r="I32" s="19"/>
      <c r="J32" s="21" t="str">
        <f>IF(LEN(VLOOKUP(A32,'RM-TRUNG'!A:V,10,0))=0,"",VLOOKUP(A32,'RM-TRUNG'!A:V,10,0))</f>
        <v>Đã kết bạn zalo, sơ vấn</v>
      </c>
      <c r="K32" s="21"/>
      <c r="L32" s="21" t="str">
        <f>IF(LEN(VLOOKUP(A32,'RM-TRUNG'!A:V,11,0))=0,"",VLOOKUP(A32,'RM-TRUNG'!A:V,11,0))</f>
        <v>KH CHỐT DEAL</v>
      </c>
      <c r="M32" s="21"/>
      <c r="N32" s="21" t="str">
        <f>IF(LEN(VLOOKUP(A32,'RM-TRUNG'!A:V,12,0))=0,"",VLOOKUP(A32,'RM-TRUNG'!A:V,12,0))</f>
        <v/>
      </c>
      <c r="O32" s="21"/>
      <c r="P32" s="21" t="str">
        <f>IF(LEN(VLOOKUP(A32,'RM-TRUNG'!A:V,13,0))=0,"",VLOOKUP(A32,'RM-TRUNG'!A:V,13,0))</f>
        <v/>
      </c>
      <c r="Q32" s="22">
        <f>IF(LEN(VLOOKUP(A32,'RM-TRUNG'!A:V,19,0))=0,"",VLOOKUP(A32,'RM-TRUNG'!A:V,19,0))</f>
        <v>11137691</v>
      </c>
      <c r="R32" s="22" t="str">
        <f>IF(LEN(VLOOKUP(A32,'RM-TRUNG'!A:V,20,0))=0,"",VLOOKUP(A32,'RM-TRUNG'!A:V,20,0))</f>
        <v>Ngô Văn Vũ</v>
      </c>
      <c r="S32" s="22" t="str">
        <f>IF(LEN(VLOOKUP(A32,'RM-TRUNG'!A:V,21,0))=0,"",VLOOKUP(A32,'RM-TRUNG'!A:V,21,0))</f>
        <v>RM/TL KHDN</v>
      </c>
      <c r="T32" s="22" t="str">
        <f>IF(LEN(VLOOKUP(A32,'RM-TRUNG'!A:V,18,0))=0,"",VLOOKUP(A32,'RM-TRUNG'!A:V,18,0))</f>
        <v>NGUYỄN THỊ THANH HƯƠNG</v>
      </c>
      <c r="U32" s="22" t="str">
        <f>VLOOKUP(LEFT(A32,5),RM!A:B,2,0)</f>
        <v>Nguyễn Duy Trung</v>
      </c>
      <c r="V32" s="34" t="s">
        <v>107</v>
      </c>
      <c r="W32" s="22" t="str">
        <f>IF(LEN(VLOOKUP(A32,'RM-TRUNG'!A:V,15,0))=0,"",VLOOKUP(A32,'RM-TRUNG'!A:V,15,0))</f>
        <v>CN Đà Nẵng</v>
      </c>
      <c r="X32" s="22" t="str">
        <f>IF(LEN(VLOOKUP(A32,'RM-TRUNG'!A:V,16,0))=0,"",VLOOKUP(A32,'RM-TRUNG'!A:V,16,0))</f>
        <v>Khu vực Miền Trung</v>
      </c>
    </row>
    <row r="33" spans="1:24" s="22" customFormat="1" x14ac:dyDescent="0.3">
      <c r="A33" s="19" t="s">
        <v>447</v>
      </c>
      <c r="B33" s="20" t="str">
        <f>IF(LEN(VLOOKUP(A33,'RM-TRUNG'!A:V,2,0))=0,"",VLOOKUP(A33,'RM-TRUNG'!A:V,2,0))</f>
        <v>NGUYỄN NHƯ LỰC</v>
      </c>
      <c r="C33" s="19"/>
      <c r="D33" s="19">
        <f>IF(IF(YEAR(IFERROR(VLOOKUP(A33,KH!A:N,4,0),""))&gt;1905,YEAR(IFERROR(VLOOKUP(A33,KH!A:N,4,0),"")),IFERROR(VLOOKUP(A33,KH!A:N,4,0),""))=0,"",IF(YEAR(IFERROR(VLOOKUP(A33,KH!A:N,4,0),""))&gt;1905,YEAR(IFERROR(VLOOKUP(A33,KH!A:N,4,0),"")),IFERROR(VLOOKUP(A33,KH!A:N,4,0),"")))</f>
        <v>1968</v>
      </c>
      <c r="E33" s="5">
        <f>IFERROR(VLOOKUP(A33,'RM-TRUNG'!A:V,6,0),"")</f>
        <v>45086</v>
      </c>
      <c r="F33" s="19" t="str">
        <f>PROPER(IFERROR(VLOOKUP(A33,'RM-TRUNG'!A:V,7,0),""))</f>
        <v>Khác</v>
      </c>
      <c r="G33" s="26">
        <f>IF(IFERROR(VLOOKUP(A33,'RM-TRUNG'!A:V,8,0),"")&lt;1000000,IFERROR(VLOOKUP(A33,'RM-TRUNG'!A:V,8,0),"")*1000000,IFERROR(VLOOKUP(A33,'RM-TRUNG'!A:V,8,0),""))</f>
        <v>50400000</v>
      </c>
      <c r="H33" s="19" t="str">
        <f>PROPER(IFERROR(VLOOKUP(A33,'RM-TRUNG'!A:V,9,0),""))</f>
        <v>Từ Chối</v>
      </c>
      <c r="I33" s="19"/>
      <c r="J33" s="21" t="str">
        <f>IF(LEN(VLOOKUP(A33,'RM-TRUNG'!A:V,10,0))=0,"",VLOOKUP(A33,'RM-TRUNG'!A:V,10,0))</f>
        <v>Đã gửi BMH và tv cho KH, Kh cần tham khảo thêm</v>
      </c>
      <c r="K33" s="21"/>
      <c r="L33" s="21" t="str">
        <f>IF(LEN(VLOOKUP(A33,'RM-TRUNG'!A:V,11,0))=0,"",VLOOKUP(A33,'RM-TRUNG'!A:V,11,0))</f>
        <v/>
      </c>
      <c r="M33" s="21"/>
      <c r="N33" s="21" t="str">
        <f>IF(LEN(VLOOKUP(A33,'RM-TRUNG'!A:V,12,0))=0,"",VLOOKUP(A33,'RM-TRUNG'!A:V,12,0))</f>
        <v/>
      </c>
      <c r="O33" s="21"/>
      <c r="P33" s="21" t="str">
        <f>IF(LEN(VLOOKUP(A33,'RM-TRUNG'!A:V,13,0))=0,"",VLOOKUP(A33,'RM-TRUNG'!A:V,13,0))</f>
        <v/>
      </c>
      <c r="Q33" s="22">
        <f>IF(LEN(VLOOKUP(A33,'RM-TRUNG'!A:V,19,0))=0,"",VLOOKUP(A33,'RM-TRUNG'!A:V,19,0))</f>
        <v>11136157</v>
      </c>
      <c r="R33" s="22" t="str">
        <f>IF(LEN(VLOOKUP(A33,'RM-TRUNG'!A:V,20,0))=0,"",VLOOKUP(A33,'RM-TRUNG'!A:V,20,0))</f>
        <v>NGUYỄN THỊ HẢI TRIỀU</v>
      </c>
      <c r="S33" s="22" t="str">
        <f>IF(LEN(VLOOKUP(A33,'RM-TRUNG'!A:V,21,0))=0,"",VLOOKUP(A33,'RM-TRUNG'!A:V,21,0))</f>
        <v>RM/TL KHCN</v>
      </c>
      <c r="T33" s="22" t="str">
        <f>IF(LEN(VLOOKUP(A33,'RM-TRUNG'!A:V,18,0))=0,"",VLOOKUP(A33,'RM-TRUNG'!A:V,18,0))</f>
        <v>NGUYỄN THỊ NHẬT MI</v>
      </c>
      <c r="U33" s="22" t="str">
        <f>VLOOKUP(LEFT(A33,5),RM!A:B,2,0)</f>
        <v>Nguyễn Duy Trung</v>
      </c>
      <c r="V33" s="34" t="s">
        <v>94</v>
      </c>
      <c r="W33" s="22" t="str">
        <f>IF(LEN(VLOOKUP(A33,'RM-TRUNG'!A:V,15,0))=0,"",VLOOKUP(A33,'RM-TRUNG'!A:V,15,0))</f>
        <v>CN Thừa Thiên Huế</v>
      </c>
      <c r="X33" s="22" t="str">
        <f>IF(LEN(VLOOKUP(A33,'RM-TRUNG'!A:V,16,0))=0,"",VLOOKUP(A33,'RM-TRUNG'!A:V,16,0))</f>
        <v>Khu vực Miền Trung</v>
      </c>
    </row>
    <row r="34" spans="1:24" s="22" customFormat="1" x14ac:dyDescent="0.3">
      <c r="A34" s="15" t="s">
        <v>448</v>
      </c>
      <c r="B34" s="20" t="str">
        <f>IF(LEN(VLOOKUP(A34,'RM-TRUNG'!A:V,2,0))=0,"",VLOOKUP(A34,'RM-TRUNG'!A:V,2,0))</f>
        <v>Trương Thi Phương Nhã</v>
      </c>
      <c r="C34" s="19"/>
      <c r="D34" s="19">
        <f>IF(IF(YEAR(IFERROR(VLOOKUP(A34,KH!A:N,4,0),""))&gt;1905,YEAR(IFERROR(VLOOKUP(A34,KH!A:N,4,0),"")),IFERROR(VLOOKUP(A34,KH!A:N,4,0),""))=0,"",IF(YEAR(IFERROR(VLOOKUP(A34,KH!A:N,4,0),""))&gt;1905,YEAR(IFERROR(VLOOKUP(A34,KH!A:N,4,0),"")),IFERROR(VLOOKUP(A34,KH!A:N,4,0),"")))</f>
        <v>1986</v>
      </c>
      <c r="E34" s="5">
        <f>IFERROR(VLOOKUP(A34,'RM-TRUNG'!A:V,6,0),"")</f>
        <v>45087</v>
      </c>
      <c r="F34" s="19" t="str">
        <f>PROPER(IFERROR(VLOOKUP(A34,'RM-TRUNG'!A:V,7,0),""))</f>
        <v>Khác</v>
      </c>
      <c r="G34" s="26">
        <f>IF(IFERROR(VLOOKUP(A34,'RM-TRUNG'!A:V,8,0),"")&lt;1000000,IFERROR(VLOOKUP(A34,'RM-TRUNG'!A:V,8,0),"")*1000000,IFERROR(VLOOKUP(A34,'RM-TRUNG'!A:V,8,0),""))</f>
        <v>15430000</v>
      </c>
      <c r="H34" s="19" t="str">
        <f>PROPER(IFERROR(VLOOKUP(A34,'RM-TRUNG'!A:V,9,0),""))</f>
        <v>Cần Follow Thêm</v>
      </c>
      <c r="I34" s="19"/>
      <c r="J34" s="21" t="str">
        <f>IF(LEN(VLOOKUP(A34,'RM-TRUNG'!A:V,10,0))=0,"",VLOOKUP(A34,'RM-TRUNG'!A:V,10,0))</f>
        <v>Đã gửi BMH và tv cho KH, Kh cần tham khảo thêm</v>
      </c>
      <c r="K34" s="21"/>
      <c r="L34" s="21" t="str">
        <f>IF(LEN(VLOOKUP(A34,'RM-TRUNG'!A:V,11,0))=0,"",VLOOKUP(A34,'RM-TRUNG'!A:V,11,0))</f>
        <v/>
      </c>
      <c r="M34" s="21"/>
      <c r="N34" s="21" t="str">
        <f>IF(LEN(VLOOKUP(A34,'RM-TRUNG'!A:V,12,0))=0,"",VLOOKUP(A34,'RM-TRUNG'!A:V,12,0))</f>
        <v/>
      </c>
      <c r="O34" s="21"/>
      <c r="P34" s="21" t="str">
        <f>IF(LEN(VLOOKUP(A34,'RM-TRUNG'!A:V,13,0))=0,"",VLOOKUP(A34,'RM-TRUNG'!A:V,13,0))</f>
        <v/>
      </c>
      <c r="Q34" s="22" t="str">
        <f>IF(LEN(VLOOKUP(A34,'RM-TRUNG'!A:V,19,0))=0,"",VLOOKUP(A34,'RM-TRUNG'!A:V,19,0))</f>
        <v/>
      </c>
      <c r="R34" s="22" t="str">
        <f>IF(LEN(VLOOKUP(A34,'RM-TRUNG'!A:V,20,0))=0,"",VLOOKUP(A34,'RM-TRUNG'!A:V,20,0))</f>
        <v>Trương Thi Phương Nhã</v>
      </c>
      <c r="S34" s="22" t="str">
        <f>IF(LEN(VLOOKUP(A34,'RM-TRUNG'!A:V,21,0))=0,"",VLOOKUP(A34,'RM-TRUNG'!A:V,21,0))</f>
        <v>RM/TL KHCN</v>
      </c>
      <c r="T34" s="22" t="str">
        <f>IF(LEN(VLOOKUP(A34,'RM-TRUNG'!A:V,18,0))=0,"",VLOOKUP(A34,'RM-TRUNG'!A:V,18,0))</f>
        <v>NGUYỄN THỊ HOÀNG PHƯƠNG</v>
      </c>
      <c r="U34" s="22" t="str">
        <f>VLOOKUP(LEFT(A34,5),RM!A:B,2,0)</f>
        <v>Nguyễn Duy Trung</v>
      </c>
      <c r="V34" s="34" t="s">
        <v>103</v>
      </c>
      <c r="W34" s="22" t="str">
        <f>IF(LEN(VLOOKUP(A34,'RM-TRUNG'!A:V,15,0))=0,"",VLOOKUP(A34,'RM-TRUNG'!A:V,15,0))</f>
        <v>CN Trưng Nữ Vương</v>
      </c>
      <c r="X34" s="22" t="str">
        <f>IF(LEN(VLOOKUP(A34,'RM-TRUNG'!A:V,16,0))=0,"",VLOOKUP(A34,'RM-TRUNG'!A:V,16,0))</f>
        <v>Khu vực Miền Trung</v>
      </c>
    </row>
    <row r="35" spans="1:24" s="22" customFormat="1" x14ac:dyDescent="0.3">
      <c r="A35" s="19" t="s">
        <v>449</v>
      </c>
      <c r="B35" s="20" t="str">
        <f>IF(LEN(VLOOKUP(A35,'RM-TRUNG'!A:V,2,0))=0,"",VLOOKUP(A35,'RM-TRUNG'!A:V,2,0))</f>
        <v>Trương Phước Quang</v>
      </c>
      <c r="C35" s="19"/>
      <c r="D35" s="19">
        <f>IF(IF(YEAR(IFERROR(VLOOKUP(A35,KH!A:N,4,0),""))&gt;1905,YEAR(IFERROR(VLOOKUP(A35,KH!A:N,4,0),"")),IFERROR(VLOOKUP(A35,KH!A:N,4,0),""))=0,"",IF(YEAR(IFERROR(VLOOKUP(A35,KH!A:N,4,0),""))&gt;1905,YEAR(IFERROR(VLOOKUP(A35,KH!A:N,4,0),"")),IFERROR(VLOOKUP(A35,KH!A:N,4,0),"")))</f>
        <v>1991</v>
      </c>
      <c r="E35" s="5">
        <f>IFERROR(VLOOKUP(A35,'RM-TRUNG'!A:V,6,0),"")</f>
        <v>45087</v>
      </c>
      <c r="F35" s="19" t="str">
        <f>PROPER(IFERROR(VLOOKUP(A35,'RM-TRUNG'!A:V,7,0),""))</f>
        <v>Khác</v>
      </c>
      <c r="G35" s="26">
        <f>IF(IFERROR(VLOOKUP(A35,'RM-TRUNG'!A:V,8,0),"")&lt;1000000,IFERROR(VLOOKUP(A35,'RM-TRUNG'!A:V,8,0),"")*1000000,IFERROR(VLOOKUP(A35,'RM-TRUNG'!A:V,8,0),""))</f>
        <v>12350000</v>
      </c>
      <c r="H35" s="19" t="str">
        <f>PROPER(IFERROR(VLOOKUP(A35,'RM-TRUNG'!A:V,9,0),""))</f>
        <v>Cần Follow Thêm</v>
      </c>
      <c r="I35" s="19"/>
      <c r="J35" s="21" t="str">
        <f>IF(LEN(VLOOKUP(A35,'RM-TRUNG'!A:V,10,0))=0,"",VLOOKUP(A35,'RM-TRUNG'!A:V,10,0))</f>
        <v>Đã gửi BMH và tv cho KH, Kh cần tham khảo thêm</v>
      </c>
      <c r="K35" s="21"/>
      <c r="L35" s="21" t="str">
        <f>IF(LEN(VLOOKUP(A35,'RM-TRUNG'!A:V,11,0))=0,"",VLOOKUP(A35,'RM-TRUNG'!A:V,11,0))</f>
        <v/>
      </c>
      <c r="M35" s="21"/>
      <c r="N35" s="21" t="str">
        <f>IF(LEN(VLOOKUP(A35,'RM-TRUNG'!A:V,12,0))=0,"",VLOOKUP(A35,'RM-TRUNG'!A:V,12,0))</f>
        <v/>
      </c>
      <c r="O35" s="21"/>
      <c r="P35" s="21" t="str">
        <f>IF(LEN(VLOOKUP(A35,'RM-TRUNG'!A:V,13,0))=0,"",VLOOKUP(A35,'RM-TRUNG'!A:V,13,0))</f>
        <v/>
      </c>
      <c r="Q35" s="22" t="str">
        <f>IF(LEN(VLOOKUP(A35,'RM-TRUNG'!A:V,19,0))=0,"",VLOOKUP(A35,'RM-TRUNG'!A:V,19,0))</f>
        <v/>
      </c>
      <c r="R35" s="22" t="str">
        <f>IF(LEN(VLOOKUP(A35,'RM-TRUNG'!A:V,20,0))=0,"",VLOOKUP(A35,'RM-TRUNG'!A:V,20,0))</f>
        <v>Trương Phước Quang</v>
      </c>
      <c r="S35" s="22" t="str">
        <f>IF(LEN(VLOOKUP(A35,'RM-TRUNG'!A:V,21,0))=0,"",VLOOKUP(A35,'RM-TRUNG'!A:V,21,0))</f>
        <v>RM/TL KHCN</v>
      </c>
      <c r="T35" s="22" t="str">
        <f>IF(LEN(VLOOKUP(A35,'RM-TRUNG'!A:V,18,0))=0,"",VLOOKUP(A35,'RM-TRUNG'!A:V,18,0))</f>
        <v>NGUYỄN THỊ HOÀNG PHƯƠNG</v>
      </c>
      <c r="U35" s="22" t="str">
        <f>VLOOKUP(LEFT(A35,5),RM!A:B,2,0)</f>
        <v>Nguyễn Duy Trung</v>
      </c>
      <c r="V35" s="34" t="s">
        <v>96</v>
      </c>
      <c r="W35" s="22" t="str">
        <f>IF(LEN(VLOOKUP(A35,'RM-TRUNG'!A:V,15,0))=0,"",VLOOKUP(A35,'RM-TRUNG'!A:V,15,0))</f>
        <v>CN Trưng Nữ Vương</v>
      </c>
      <c r="X35" s="22" t="str">
        <f>IF(LEN(VLOOKUP(A35,'RM-TRUNG'!A:V,16,0))=0,"",VLOOKUP(A35,'RM-TRUNG'!A:V,16,0))</f>
        <v>Khu vực Miền Trung</v>
      </c>
    </row>
    <row r="36" spans="1:24" s="22" customFormat="1" x14ac:dyDescent="0.3">
      <c r="A36" s="15" t="s">
        <v>450</v>
      </c>
      <c r="B36" s="20" t="str">
        <f>IF(LEN(VLOOKUP(A36,'RM-TRUNG'!A:V,2,0))=0,"",VLOOKUP(A36,'RM-TRUNG'!A:V,2,0))</f>
        <v>LÊ THỊ PHƯƠNG HẢI</v>
      </c>
      <c r="C36" s="19"/>
      <c r="D36" s="19">
        <f>IF(IF(YEAR(IFERROR(VLOOKUP(A36,KH!A:N,4,0),""))&gt;1905,YEAR(IFERROR(VLOOKUP(A36,KH!A:N,4,0),"")),IFERROR(VLOOKUP(A36,KH!A:N,4,0),""))=0,"",IF(YEAR(IFERROR(VLOOKUP(A36,KH!A:N,4,0),""))&gt;1905,YEAR(IFERROR(VLOOKUP(A36,KH!A:N,4,0),"")),IFERROR(VLOOKUP(A36,KH!A:N,4,0),"")))</f>
        <v>1990</v>
      </c>
      <c r="E36" s="5">
        <f>IFERROR(VLOOKUP(A36,'RM-TRUNG'!A:V,6,0),"")</f>
        <v>45088</v>
      </c>
      <c r="F36" s="19" t="str">
        <f>PROPER(IFERROR(VLOOKUP(A36,'RM-TRUNG'!A:V,7,0),""))</f>
        <v>Khác</v>
      </c>
      <c r="G36" s="26">
        <f>IF(IFERROR(VLOOKUP(A36,'RM-TRUNG'!A:V,8,0),"")&lt;1000000,IFERROR(VLOOKUP(A36,'RM-TRUNG'!A:V,8,0),"")*1000000,IFERROR(VLOOKUP(A36,'RM-TRUNG'!A:V,8,0),""))</f>
        <v>11361000</v>
      </c>
      <c r="H36" s="19" t="str">
        <f>PROPER(IFERROR(VLOOKUP(A36,'RM-TRUNG'!A:V,9,0),""))</f>
        <v>Chốt Deal</v>
      </c>
      <c r="I36" s="19"/>
      <c r="J36" s="21" t="str">
        <f>IF(LEN(VLOOKUP(A36,'RM-TRUNG'!A:V,10,0))=0,"",VLOOKUP(A36,'RM-TRUNG'!A:V,10,0))</f>
        <v>ngày 12/6 kh chốt deal</v>
      </c>
      <c r="K36" s="21"/>
      <c r="L36" s="21" t="str">
        <f>IF(LEN(VLOOKUP(A36,'RM-TRUNG'!A:V,11,0))=0,"",VLOOKUP(A36,'RM-TRUNG'!A:V,11,0))</f>
        <v/>
      </c>
      <c r="M36" s="21"/>
      <c r="N36" s="21" t="str">
        <f>IF(LEN(VLOOKUP(A36,'RM-TRUNG'!A:V,12,0))=0,"",VLOOKUP(A36,'RM-TRUNG'!A:V,12,0))</f>
        <v/>
      </c>
      <c r="O36" s="21"/>
      <c r="P36" s="21" t="str">
        <f>IF(LEN(VLOOKUP(A36,'RM-TRUNG'!A:V,13,0))=0,"",VLOOKUP(A36,'RM-TRUNG'!A:V,13,0))</f>
        <v/>
      </c>
      <c r="Q36" s="22" t="str">
        <f>IF(LEN(VLOOKUP(A36,'RM-TRUNG'!A:V,19,0))=0,"",VLOOKUP(A36,'RM-TRUNG'!A:V,19,0))</f>
        <v/>
      </c>
      <c r="R36" s="22" t="str">
        <f>IF(LEN(VLOOKUP(A36,'RM-TRUNG'!A:V,20,0))=0,"",VLOOKUP(A36,'RM-TRUNG'!A:V,20,0))</f>
        <v>Nguyễn Thị Mỹ Huyền</v>
      </c>
      <c r="S36" s="22" t="str">
        <f>IF(LEN(VLOOKUP(A36,'RM-TRUNG'!A:V,21,0))=0,"",VLOOKUP(A36,'RM-TRUNG'!A:V,21,0))</f>
        <v>GDV/KSV KHCN</v>
      </c>
      <c r="T36" s="22" t="str">
        <f>IF(LEN(VLOOKUP(A36,'RM-TRUNG'!A:V,18,0))=0,"",VLOOKUP(A36,'RM-TRUNG'!A:V,18,0))</f>
        <v>ĐOÀN THỊ MINH NGUYỆT</v>
      </c>
      <c r="U36" s="22" t="str">
        <f>VLOOKUP(LEFT(A36,5),RM!A:B,2,0)</f>
        <v>Nguyễn Duy Trung</v>
      </c>
      <c r="V36" s="34" t="s">
        <v>101</v>
      </c>
      <c r="W36" s="22" t="str">
        <f>IF(LEN(VLOOKUP(A36,'RM-TRUNG'!A:V,15,0))=0,"",VLOOKUP(A36,'RM-TRUNG'!A:V,15,0))</f>
        <v>CN Tây Lộc</v>
      </c>
      <c r="X36" s="22" t="str">
        <f>IF(LEN(VLOOKUP(A36,'RM-TRUNG'!A:V,16,0))=0,"",VLOOKUP(A36,'RM-TRUNG'!A:V,16,0))</f>
        <v>Khu vực Miền Trung</v>
      </c>
    </row>
    <row r="37" spans="1:24" s="22" customFormat="1" x14ac:dyDescent="0.3">
      <c r="A37" s="19" t="s">
        <v>451</v>
      </c>
      <c r="B37" s="20" t="str">
        <f>IF(LEN(VLOOKUP(A37,'RM-TRUNG'!A:V,2,0))=0,"",VLOOKUP(A37,'RM-TRUNG'!A:V,2,0))</f>
        <v>Anh Lộc</v>
      </c>
      <c r="C37" s="19"/>
      <c r="D37" s="19" t="str">
        <f>IF(IF(YEAR(IFERROR(VLOOKUP(A37,KH!A:N,4,0),""))&gt;1905,YEAR(IFERROR(VLOOKUP(A37,KH!A:N,4,0),"")),IFERROR(VLOOKUP(A37,KH!A:N,4,0),""))=0,"",IF(YEAR(IFERROR(VLOOKUP(A37,KH!A:N,4,0),""))&gt;1905,YEAR(IFERROR(VLOOKUP(A37,KH!A:N,4,0),"")),IFERROR(VLOOKUP(A37,KH!A:N,4,0),"")))</f>
        <v/>
      </c>
      <c r="E37" s="5">
        <f>IFERROR(VLOOKUP(A37,'RM-TRUNG'!A:V,6,0),"")</f>
        <v>45089</v>
      </c>
      <c r="F37" s="19" t="str">
        <f>PROPER(IFERROR(VLOOKUP(A37,'RM-TRUNG'!A:V,7,0),""))</f>
        <v>Khác</v>
      </c>
      <c r="G37" s="26">
        <f>IF(IFERROR(VLOOKUP(A37,'RM-TRUNG'!A:V,8,0),"")&lt;1000000,IFERROR(VLOOKUP(A37,'RM-TRUNG'!A:V,8,0),"")*1000000,IFERROR(VLOOKUP(A37,'RM-TRUNG'!A:V,8,0),""))</f>
        <v>11000000</v>
      </c>
      <c r="H37" s="19" t="str">
        <f>PROPER(IFERROR(VLOOKUP(A37,'RM-TRUNG'!A:V,9,0),""))</f>
        <v>Cần Follow Thêm</v>
      </c>
      <c r="I37" s="19"/>
      <c r="J37" s="21" t="str">
        <f>IF(LEN(VLOOKUP(A37,'RM-TRUNG'!A:V,10,0))=0,"",VLOOKUP(A37,'RM-TRUNG'!A:V,10,0))</f>
        <v>Đã kết bạn zalo, sơ vấn. KH từng làm nhân viên BH tại AIA hiện tại đang làm Mbbank</v>
      </c>
      <c r="K37" s="21"/>
      <c r="L37" s="21" t="str">
        <f>IF(LEN(VLOOKUP(A37,'RM-TRUNG'!A:V,11,0))=0,"",VLOOKUP(A37,'RM-TRUNG'!A:V,11,0))</f>
        <v/>
      </c>
      <c r="M37" s="21"/>
      <c r="N37" s="21" t="str">
        <f>IF(LEN(VLOOKUP(A37,'RM-TRUNG'!A:V,12,0))=0,"",VLOOKUP(A37,'RM-TRUNG'!A:V,12,0))</f>
        <v/>
      </c>
      <c r="O37" s="21"/>
      <c r="P37" s="21" t="str">
        <f>IF(LEN(VLOOKUP(A37,'RM-TRUNG'!A:V,13,0))=0,"",VLOOKUP(A37,'RM-TRUNG'!A:V,13,0))</f>
        <v/>
      </c>
      <c r="Q37" s="22">
        <f>IF(LEN(VLOOKUP(A37,'RM-TRUNG'!A:V,19,0))=0,"",VLOOKUP(A37,'RM-TRUNG'!A:V,19,0))</f>
        <v>11478705</v>
      </c>
      <c r="R37" s="22" t="str">
        <f>IF(LEN(VLOOKUP(A37,'RM-TRUNG'!A:V,20,0))=0,"",VLOOKUP(A37,'RM-TRUNG'!A:V,20,0))</f>
        <v>Phạm Trường Bính</v>
      </c>
      <c r="S37" s="22" t="str">
        <f>IF(LEN(VLOOKUP(A37,'RM-TRUNG'!A:V,21,0))=0,"",VLOOKUP(A37,'RM-TRUNG'!A:V,21,0))</f>
        <v>RM/TL KHCN</v>
      </c>
      <c r="T37" s="22" t="str">
        <f>IF(LEN(VLOOKUP(A37,'RM-TRUNG'!A:V,18,0))=0,"",VLOOKUP(A37,'RM-TRUNG'!A:V,18,0))</f>
        <v>NGUYỄN THỊ THANH HƯƠNG</v>
      </c>
      <c r="U37" s="22" t="str">
        <f>VLOOKUP(LEFT(A37,5),RM!A:B,2,0)</f>
        <v>Nguyễn Duy Trung</v>
      </c>
      <c r="V37" s="34" t="s">
        <v>102</v>
      </c>
      <c r="W37" s="22" t="str">
        <f>IF(LEN(VLOOKUP(A37,'RM-TRUNG'!A:V,15,0))=0,"",VLOOKUP(A37,'RM-TRUNG'!A:V,15,0))</f>
        <v>CN Đà Nẵng</v>
      </c>
      <c r="X37" s="22" t="str">
        <f>IF(LEN(VLOOKUP(A37,'RM-TRUNG'!A:V,16,0))=0,"",VLOOKUP(A37,'RM-TRUNG'!A:V,16,0))</f>
        <v>Khu vực Miền Trung</v>
      </c>
    </row>
    <row r="38" spans="1:24" s="22" customFormat="1" x14ac:dyDescent="0.3">
      <c r="A38" s="15" t="s">
        <v>452</v>
      </c>
      <c r="B38" s="20" t="str">
        <f>IF(LEN(VLOOKUP(A38,'RM-TRUNG'!A:V,2,0))=0,"",VLOOKUP(A38,'RM-TRUNG'!A:V,2,0))</f>
        <v>Nguyễn Thị Bích Phượng</v>
      </c>
      <c r="C38" s="19"/>
      <c r="D38" s="19" t="str">
        <f>IF(IF(YEAR(IFERROR(VLOOKUP(A38,KH!A:N,4,0),""))&gt;1905,YEAR(IFERROR(VLOOKUP(A38,KH!A:N,4,0),"")),IFERROR(VLOOKUP(A38,KH!A:N,4,0),""))=0,"",IF(YEAR(IFERROR(VLOOKUP(A38,KH!A:N,4,0),""))&gt;1905,YEAR(IFERROR(VLOOKUP(A38,KH!A:N,4,0),"")),IFERROR(VLOOKUP(A38,KH!A:N,4,0),"")))</f>
        <v/>
      </c>
      <c r="E38" s="5">
        <f>IFERROR(VLOOKUP(A38,'RM-TRUNG'!A:V,6,0),"")</f>
        <v>45089</v>
      </c>
      <c r="F38" s="19" t="str">
        <f>PROPER(IFERROR(VLOOKUP(A38,'RM-TRUNG'!A:V,7,0),""))</f>
        <v>Khác</v>
      </c>
      <c r="G38" s="26">
        <f>IF(IFERROR(VLOOKUP(A38,'RM-TRUNG'!A:V,8,0),"")&lt;1000000,IFERROR(VLOOKUP(A38,'RM-TRUNG'!A:V,8,0),"")*1000000,IFERROR(VLOOKUP(A38,'RM-TRUNG'!A:V,8,0),""))</f>
        <v>12000000</v>
      </c>
      <c r="H38" s="19" t="str">
        <f>PROPER(IFERROR(VLOOKUP(A38,'RM-TRUNG'!A:V,9,0),""))</f>
        <v>Từ Chối</v>
      </c>
      <c r="I38" s="19"/>
      <c r="J38" s="21" t="str">
        <f>IF(LEN(VLOOKUP(A38,'RM-TRUNG'!A:V,10,0))=0,"",VLOOKUP(A38,'RM-TRUNG'!A:V,10,0))</f>
        <v>Đã kết bạn zalo, sơ vấn.</v>
      </c>
      <c r="K38" s="21"/>
      <c r="L38" s="21" t="str">
        <f>IF(LEN(VLOOKUP(A38,'RM-TRUNG'!A:V,11,0))=0,"",VLOOKUP(A38,'RM-TRUNG'!A:V,11,0))</f>
        <v/>
      </c>
      <c r="M38" s="21"/>
      <c r="N38" s="21" t="str">
        <f>IF(LEN(VLOOKUP(A38,'RM-TRUNG'!A:V,12,0))=0,"",VLOOKUP(A38,'RM-TRUNG'!A:V,12,0))</f>
        <v/>
      </c>
      <c r="O38" s="21"/>
      <c r="P38" s="21" t="str">
        <f>IF(LEN(VLOOKUP(A38,'RM-TRUNG'!A:V,13,0))=0,"",VLOOKUP(A38,'RM-TRUNG'!A:V,13,0))</f>
        <v/>
      </c>
      <c r="Q38" s="22">
        <f>IF(LEN(VLOOKUP(A38,'RM-TRUNG'!A:V,19,0))=0,"",VLOOKUP(A38,'RM-TRUNG'!A:V,19,0))</f>
        <v>10041965</v>
      </c>
      <c r="R38" s="22" t="str">
        <f>IF(LEN(VLOOKUP(A38,'RM-TRUNG'!A:V,20,0))=0,"",VLOOKUP(A38,'RM-TRUNG'!A:V,20,0))</f>
        <v>Lý Tú Bình</v>
      </c>
      <c r="S38" s="22" t="str">
        <f>IF(LEN(VLOOKUP(A38,'RM-TRUNG'!A:V,21,0))=0,"",VLOOKUP(A38,'RM-TRUNG'!A:V,21,0))</f>
        <v>RM/TL KHCN</v>
      </c>
      <c r="T38" s="22" t="str">
        <f>IF(LEN(VLOOKUP(A38,'RM-TRUNG'!A:V,18,0))=0,"",VLOOKUP(A38,'RM-TRUNG'!A:V,18,0))</f>
        <v>NGUYỄN THỊ THANH HƯƠNG</v>
      </c>
      <c r="U38" s="22" t="str">
        <f>VLOOKUP(LEFT(A38,5),RM!A:B,2,0)</f>
        <v>Nguyễn Duy Trung</v>
      </c>
      <c r="V38" s="34" t="s">
        <v>104</v>
      </c>
      <c r="W38" s="22" t="str">
        <f>IF(LEN(VLOOKUP(A38,'RM-TRUNG'!A:V,15,0))=0,"",VLOOKUP(A38,'RM-TRUNG'!A:V,15,0))</f>
        <v>CN Đà Nẵng</v>
      </c>
      <c r="X38" s="22" t="str">
        <f>IF(LEN(VLOOKUP(A38,'RM-TRUNG'!A:V,16,0))=0,"",VLOOKUP(A38,'RM-TRUNG'!A:V,16,0))</f>
        <v>Khu vực Miền Trung</v>
      </c>
    </row>
    <row r="39" spans="1:24" s="22" customFormat="1" x14ac:dyDescent="0.3">
      <c r="A39" s="19" t="s">
        <v>453</v>
      </c>
      <c r="B39" s="20" t="str">
        <f>IF(LEN(VLOOKUP(A39,'RM-TRUNG'!A:V,2,0))=0,"",VLOOKUP(A39,'RM-TRUNG'!A:V,2,0))</f>
        <v>Phan Anh Quốc</v>
      </c>
      <c r="C39" s="19"/>
      <c r="D39" s="19" t="str">
        <f>IF(IF(YEAR(IFERROR(VLOOKUP(A39,KH!A:N,4,0),""))&gt;1905,YEAR(IFERROR(VLOOKUP(A39,KH!A:N,4,0),"")),IFERROR(VLOOKUP(A39,KH!A:N,4,0),""))=0,"",IF(YEAR(IFERROR(VLOOKUP(A39,KH!A:N,4,0),""))&gt;1905,YEAR(IFERROR(VLOOKUP(A39,KH!A:N,4,0),"")),IFERROR(VLOOKUP(A39,KH!A:N,4,0),"")))</f>
        <v/>
      </c>
      <c r="E39" s="5">
        <f>IFERROR(VLOOKUP(A39,'RM-TRUNG'!A:V,6,0),"")</f>
        <v>45089</v>
      </c>
      <c r="F39" s="19" t="str">
        <f>PROPER(IFERROR(VLOOKUP(A39,'RM-TRUNG'!A:V,7,0),""))</f>
        <v>Vay</v>
      </c>
      <c r="G39" s="26">
        <f>IF(IFERROR(VLOOKUP(A39,'RM-TRUNG'!A:V,8,0),"")&lt;1000000,IFERROR(VLOOKUP(A39,'RM-TRUNG'!A:V,8,0),"")*1000000,IFERROR(VLOOKUP(A39,'RM-TRUNG'!A:V,8,0),""))</f>
        <v>12000000</v>
      </c>
      <c r="H39" s="19" t="str">
        <f>PROPER(IFERROR(VLOOKUP(A39,'RM-TRUNG'!A:V,9,0),""))</f>
        <v>Từ Chối</v>
      </c>
      <c r="I39" s="19"/>
      <c r="J39" s="21" t="str">
        <f>IF(LEN(VLOOKUP(A39,'RM-TRUNG'!A:V,10,0))=0,"",VLOOKUP(A39,'RM-TRUNG'!A:V,10,0))</f>
        <v>Đã liên hệ, gửi BMH</v>
      </c>
      <c r="K39" s="21"/>
      <c r="L39" s="21" t="str">
        <f>IF(LEN(VLOOKUP(A39,'RM-TRUNG'!A:V,11,0))=0,"",VLOOKUP(A39,'RM-TRUNG'!A:V,11,0))</f>
        <v/>
      </c>
      <c r="M39" s="21"/>
      <c r="N39" s="21" t="str">
        <f>IF(LEN(VLOOKUP(A39,'RM-TRUNG'!A:V,12,0))=0,"",VLOOKUP(A39,'RM-TRUNG'!A:V,12,0))</f>
        <v/>
      </c>
      <c r="O39" s="21"/>
      <c r="P39" s="21" t="str">
        <f>IF(LEN(VLOOKUP(A39,'RM-TRUNG'!A:V,13,0))=0,"",VLOOKUP(A39,'RM-TRUNG'!A:V,13,0))</f>
        <v/>
      </c>
      <c r="Q39" s="22">
        <f>IF(LEN(VLOOKUP(A39,'RM-TRUNG'!A:V,19,0))=0,"",VLOOKUP(A39,'RM-TRUNG'!A:V,19,0))</f>
        <v>10011451</v>
      </c>
      <c r="R39" s="22" t="str">
        <f>IF(LEN(VLOOKUP(A39,'RM-TRUNG'!A:V,20,0))=0,"",VLOOKUP(A39,'RM-TRUNG'!A:V,20,0))</f>
        <v>Nguyễn Ái Thành</v>
      </c>
      <c r="S39" s="22" t="str">
        <f>IF(LEN(VLOOKUP(A39,'RM-TRUNG'!A:V,21,0))=0,"",VLOOKUP(A39,'RM-TRUNG'!A:V,21,0))</f>
        <v>RM/TL KHCN</v>
      </c>
      <c r="T39" s="22" t="str">
        <f>IF(LEN(VLOOKUP(A39,'RM-TRUNG'!A:V,18,0))=0,"",VLOOKUP(A39,'RM-TRUNG'!A:V,18,0))</f>
        <v>NGUYỄN THỊ THANH HƯƠNG</v>
      </c>
      <c r="U39" s="22" t="str">
        <f>VLOOKUP(LEFT(A39,5),RM!A:B,2,0)</f>
        <v>Nguyễn Duy Trung</v>
      </c>
      <c r="V39" s="34" t="s">
        <v>105</v>
      </c>
      <c r="W39" s="22" t="str">
        <f>IF(LEN(VLOOKUP(A39,'RM-TRUNG'!A:V,15,0))=0,"",VLOOKUP(A39,'RM-TRUNG'!A:V,15,0))</f>
        <v>CN Đà Nẵng</v>
      </c>
      <c r="X39" s="22" t="str">
        <f>IF(LEN(VLOOKUP(A39,'RM-TRUNG'!A:V,16,0))=0,"",VLOOKUP(A39,'RM-TRUNG'!A:V,16,0))</f>
        <v>Khu vực Miền Trung</v>
      </c>
    </row>
    <row r="40" spans="1:24" s="22" customFormat="1" x14ac:dyDescent="0.3">
      <c r="A40" s="15" t="s">
        <v>454</v>
      </c>
      <c r="B40" s="20" t="str">
        <f>IF(LEN(VLOOKUP(A40,'RM-TRUNG'!A:V,2,0))=0,"",VLOOKUP(A40,'RM-TRUNG'!A:V,2,0))</f>
        <v>anh Huy</v>
      </c>
      <c r="C40" s="19"/>
      <c r="D40" s="19" t="str">
        <f>IF(IF(YEAR(IFERROR(VLOOKUP(A40,KH!A:N,4,0),""))&gt;1905,YEAR(IFERROR(VLOOKUP(A40,KH!A:N,4,0),"")),IFERROR(VLOOKUP(A40,KH!A:N,4,0),""))=0,"",IF(YEAR(IFERROR(VLOOKUP(A40,KH!A:N,4,0),""))&gt;1905,YEAR(IFERROR(VLOOKUP(A40,KH!A:N,4,0),"")),IFERROR(VLOOKUP(A40,KH!A:N,4,0),"")))</f>
        <v/>
      </c>
      <c r="E40" s="5">
        <f>IFERROR(VLOOKUP(A40,'RM-TRUNG'!A:V,6,0),"")</f>
        <v>45089</v>
      </c>
      <c r="F40" s="19" t="str">
        <f>PROPER(IFERROR(VLOOKUP(A40,'RM-TRUNG'!A:V,7,0),""))</f>
        <v>Khác</v>
      </c>
      <c r="G40" s="26">
        <f>IF(IFERROR(VLOOKUP(A40,'RM-TRUNG'!A:V,8,0),"")&lt;1000000,IFERROR(VLOOKUP(A40,'RM-TRUNG'!A:V,8,0),"")*1000000,IFERROR(VLOOKUP(A40,'RM-TRUNG'!A:V,8,0),""))</f>
        <v>11000000</v>
      </c>
      <c r="H40" s="19" t="str">
        <f>PROPER(IFERROR(VLOOKUP(A40,'RM-TRUNG'!A:V,9,0),""))</f>
        <v>Từ Chối</v>
      </c>
      <c r="I40" s="19"/>
      <c r="J40" s="21" t="str">
        <f>IF(LEN(VLOOKUP(A40,'RM-TRUNG'!A:V,10,0))=0,"",VLOOKUP(A40,'RM-TRUNG'!A:V,10,0))</f>
        <v>Đã liên hệ, sơ vấn cho KH.</v>
      </c>
      <c r="K40" s="21"/>
      <c r="L40" s="21" t="str">
        <f>IF(LEN(VLOOKUP(A40,'RM-TRUNG'!A:V,11,0))=0,"",VLOOKUP(A40,'RM-TRUNG'!A:V,11,0))</f>
        <v/>
      </c>
      <c r="M40" s="21"/>
      <c r="N40" s="21" t="str">
        <f>IF(LEN(VLOOKUP(A40,'RM-TRUNG'!A:V,12,0))=0,"",VLOOKUP(A40,'RM-TRUNG'!A:V,12,0))</f>
        <v/>
      </c>
      <c r="O40" s="21"/>
      <c r="P40" s="21" t="str">
        <f>IF(LEN(VLOOKUP(A40,'RM-TRUNG'!A:V,13,0))=0,"",VLOOKUP(A40,'RM-TRUNG'!A:V,13,0))</f>
        <v/>
      </c>
      <c r="Q40" s="22">
        <f>IF(LEN(VLOOKUP(A40,'RM-TRUNG'!A:V,19,0))=0,"",VLOOKUP(A40,'RM-TRUNG'!A:V,19,0))</f>
        <v>10958130</v>
      </c>
      <c r="R40" s="22" t="str">
        <f>IF(LEN(VLOOKUP(A40,'RM-TRUNG'!A:V,20,0))=0,"",VLOOKUP(A40,'RM-TRUNG'!A:V,20,0))</f>
        <v>Lê Thục Ngân</v>
      </c>
      <c r="S40" s="22" t="str">
        <f>IF(LEN(VLOOKUP(A40,'RM-TRUNG'!A:V,21,0))=0,"",VLOOKUP(A40,'RM-TRUNG'!A:V,21,0))</f>
        <v>RM/TL KHDN</v>
      </c>
      <c r="T40" s="22" t="str">
        <f>IF(LEN(VLOOKUP(A40,'RM-TRUNG'!A:V,18,0))=0,"",VLOOKUP(A40,'RM-TRUNG'!A:V,18,0))</f>
        <v>NGUYỄN THỊ THANH HƯƠNG</v>
      </c>
      <c r="U40" s="22" t="str">
        <f>VLOOKUP(LEFT(A40,5),RM!A:B,2,0)</f>
        <v>Nguyễn Duy Trung</v>
      </c>
      <c r="V40" s="34" t="s">
        <v>106</v>
      </c>
      <c r="W40" s="22" t="str">
        <f>IF(LEN(VLOOKUP(A40,'RM-TRUNG'!A:V,15,0))=0,"",VLOOKUP(A40,'RM-TRUNG'!A:V,15,0))</f>
        <v>CN Đà Nẵng</v>
      </c>
      <c r="X40" s="22" t="str">
        <f>IF(LEN(VLOOKUP(A40,'RM-TRUNG'!A:V,16,0))=0,"",VLOOKUP(A40,'RM-TRUNG'!A:V,16,0))</f>
        <v>Khu vực Miền Trung</v>
      </c>
    </row>
    <row r="41" spans="1:24" s="22" customFormat="1" x14ac:dyDescent="0.3">
      <c r="A41" s="19" t="s">
        <v>455</v>
      </c>
      <c r="B41" s="20" t="str">
        <f>IF(LEN(VLOOKUP(A41,'RM-TRUNG'!A:V,2,0))=0,"",VLOOKUP(A41,'RM-TRUNG'!A:V,2,0))</f>
        <v>LÊ THỊ DẦN</v>
      </c>
      <c r="C41" s="19"/>
      <c r="D41" s="19">
        <f>IF(IF(YEAR(IFERROR(VLOOKUP(A41,KH!A:N,4,0),""))&gt;1905,YEAR(IFERROR(VLOOKUP(A41,KH!A:N,4,0),"")),IFERROR(VLOOKUP(A41,KH!A:N,4,0),""))=0,"",IF(YEAR(IFERROR(VLOOKUP(A41,KH!A:N,4,0),""))&gt;1905,YEAR(IFERROR(VLOOKUP(A41,KH!A:N,4,0),"")),IFERROR(VLOOKUP(A41,KH!A:N,4,0),"")))</f>
        <v>1975</v>
      </c>
      <c r="E41" s="5">
        <f>IFERROR(VLOOKUP(A41,'RM-TRUNG'!A:V,6,0),"")</f>
        <v>45089</v>
      </c>
      <c r="F41" s="19" t="str">
        <f>PROPER(IFERROR(VLOOKUP(A41,'RM-TRUNG'!A:V,7,0),""))</f>
        <v>Huy Động</v>
      </c>
      <c r="G41" s="26">
        <f>IF(IFERROR(VLOOKUP(A41,'RM-TRUNG'!A:V,8,0),"")&lt;1000000,IFERROR(VLOOKUP(A41,'RM-TRUNG'!A:V,8,0),"")*1000000,IFERROR(VLOOKUP(A41,'RM-TRUNG'!A:V,8,0),""))</f>
        <v>20000000</v>
      </c>
      <c r="H41" s="19" t="str">
        <f>PROPER(IFERROR(VLOOKUP(A41,'RM-TRUNG'!A:V,9,0),""))</f>
        <v>Cần Follow Thêm</v>
      </c>
      <c r="I41" s="19"/>
      <c r="J41" s="21" t="str">
        <f>IF(LEN(VLOOKUP(A41,'RM-TRUNG'!A:V,10,0))=0,"",VLOOKUP(A41,'RM-TRUNG'!A:V,10,0))</f>
        <v>Tư vấn BMH, khách tích cực. Cần chăm sóc thêm</v>
      </c>
      <c r="K41" s="21"/>
      <c r="L41" s="21" t="str">
        <f>IF(LEN(VLOOKUP(A41,'RM-TRUNG'!A:V,11,0))=0,"",VLOOKUP(A41,'RM-TRUNG'!A:V,11,0))</f>
        <v/>
      </c>
      <c r="M41" s="21"/>
      <c r="N41" s="21" t="str">
        <f>IF(LEN(VLOOKUP(A41,'RM-TRUNG'!A:V,12,0))=0,"",VLOOKUP(A41,'RM-TRUNG'!A:V,12,0))</f>
        <v/>
      </c>
      <c r="O41" s="21"/>
      <c r="P41" s="21" t="str">
        <f>IF(LEN(VLOOKUP(A41,'RM-TRUNG'!A:V,13,0))=0,"",VLOOKUP(A41,'RM-TRUNG'!A:V,13,0))</f>
        <v/>
      </c>
      <c r="Q41" s="22">
        <f>IF(LEN(VLOOKUP(A41,'RM-TRUNG'!A:V,19,0))=0,"",VLOOKUP(A41,'RM-TRUNG'!A:V,19,0))</f>
        <v>10838924</v>
      </c>
      <c r="R41" s="22" t="str">
        <f>IF(LEN(VLOOKUP(A41,'RM-TRUNG'!A:V,20,0))=0,"",VLOOKUP(A41,'RM-TRUNG'!A:V,20,0))</f>
        <v>HOÀNG THỊ MINH THƯ</v>
      </c>
      <c r="S41" s="22" t="str">
        <f>IF(LEN(VLOOKUP(A41,'RM-TRUNG'!A:V,21,0))=0,"",VLOOKUP(A41,'RM-TRUNG'!A:V,21,0))</f>
        <v>GDV/KSV KHCN</v>
      </c>
      <c r="T41" s="22" t="str">
        <f>IF(LEN(VLOOKUP(A41,'RM-TRUNG'!A:V,18,0))=0,"",VLOOKUP(A41,'RM-TRUNG'!A:V,18,0))</f>
        <v>NGUYỄN THỊ THUỲ</v>
      </c>
      <c r="U41" s="22" t="str">
        <f>VLOOKUP(LEFT(A41,5),RM!A:B,2,0)</f>
        <v>Nguyễn Duy Trung</v>
      </c>
      <c r="V41" s="34" t="s">
        <v>100</v>
      </c>
      <c r="W41" s="22" t="str">
        <f>IF(LEN(VLOOKUP(A41,'RM-TRUNG'!A:V,15,0))=0,"",VLOOKUP(A41,'RM-TRUNG'!A:V,15,0))</f>
        <v>CN Đông Ba</v>
      </c>
      <c r="X41" s="22" t="str">
        <f>IF(LEN(VLOOKUP(A41,'RM-TRUNG'!A:V,16,0))=0,"",VLOOKUP(A41,'RM-TRUNG'!A:V,16,0))</f>
        <v>Khu vực Miền Trung</v>
      </c>
    </row>
    <row r="42" spans="1:24" s="22" customFormat="1" x14ac:dyDescent="0.3">
      <c r="A42" s="15" t="s">
        <v>456</v>
      </c>
      <c r="B42" s="20" t="str">
        <f>IF(LEN(VLOOKUP(A42,'RM-TRUNG'!A:V,2,0))=0,"",VLOOKUP(A42,'RM-TRUNG'!A:V,2,0))</f>
        <v>Huỳnh Thị Minh Hiền</v>
      </c>
      <c r="C42" s="19"/>
      <c r="D42" s="19" t="str">
        <f>IF(IF(YEAR(IFERROR(VLOOKUP(A42,KH!A:N,4,0),""))&gt;1905,YEAR(IFERROR(VLOOKUP(A42,KH!A:N,4,0),"")),IFERROR(VLOOKUP(A42,KH!A:N,4,0),""))=0,"",IF(YEAR(IFERROR(VLOOKUP(A42,KH!A:N,4,0),""))&gt;1905,YEAR(IFERROR(VLOOKUP(A42,KH!A:N,4,0),"")),IFERROR(VLOOKUP(A42,KH!A:N,4,0),"")))</f>
        <v/>
      </c>
      <c r="E42" s="5">
        <f>IFERROR(VLOOKUP(A42,'RM-TRUNG'!A:V,6,0),"")</f>
        <v>45089</v>
      </c>
      <c r="F42" s="19" t="str">
        <f>PROPER(IFERROR(VLOOKUP(A42,'RM-TRUNG'!A:V,7,0),""))</f>
        <v>Khác</v>
      </c>
      <c r="G42" s="26">
        <f>IF(IFERROR(VLOOKUP(A42,'RM-TRUNG'!A:V,8,0),"")&lt;1000000,IFERROR(VLOOKUP(A42,'RM-TRUNG'!A:V,8,0),"")*1000000,IFERROR(VLOOKUP(A42,'RM-TRUNG'!A:V,8,0),""))</f>
        <v>12465000</v>
      </c>
      <c r="H42" s="19" t="str">
        <f>PROPER(IFERROR(VLOOKUP(A42,'RM-TRUNG'!A:V,9,0),""))</f>
        <v>Chốt Deal</v>
      </c>
      <c r="I42" s="19"/>
      <c r="J42" s="21" t="str">
        <f>IF(LEN(VLOOKUP(A42,'RM-TRUNG'!A:V,10,0))=0,"",VLOOKUP(A42,'RM-TRUNG'!A:V,10,0))</f>
        <v>ngày 12/6 kh hốt deal</v>
      </c>
      <c r="K42" s="21"/>
      <c r="L42" s="21" t="str">
        <f>IF(LEN(VLOOKUP(A42,'RM-TRUNG'!A:V,11,0))=0,"",VLOOKUP(A42,'RM-TRUNG'!A:V,11,0))</f>
        <v/>
      </c>
      <c r="M42" s="21"/>
      <c r="N42" s="21" t="str">
        <f>IF(LEN(VLOOKUP(A42,'RM-TRUNG'!A:V,12,0))=0,"",VLOOKUP(A42,'RM-TRUNG'!A:V,12,0))</f>
        <v/>
      </c>
      <c r="O42" s="21"/>
      <c r="P42" s="21" t="str">
        <f>IF(LEN(VLOOKUP(A42,'RM-TRUNG'!A:V,13,0))=0,"",VLOOKUP(A42,'RM-TRUNG'!A:V,13,0))</f>
        <v/>
      </c>
      <c r="Q42" s="22">
        <f>IF(LEN(VLOOKUP(A42,'RM-TRUNG'!A:V,19,0))=0,"",VLOOKUP(A42,'RM-TRUNG'!A:V,19,0))</f>
        <v>10109416</v>
      </c>
      <c r="R42" s="22" t="str">
        <f>IF(LEN(VLOOKUP(A42,'RM-TRUNG'!A:V,20,0))=0,"",VLOOKUP(A42,'RM-TRUNG'!A:V,20,0))</f>
        <v>Huỳnh Thị Minh Hiền</v>
      </c>
      <c r="S42" s="22" t="str">
        <f>IF(LEN(VLOOKUP(A42,'RM-TRUNG'!A:V,21,0))=0,"",VLOOKUP(A42,'RM-TRUNG'!A:V,21,0))</f>
        <v>GDV/KSV KHCN</v>
      </c>
      <c r="T42" s="22" t="str">
        <f>IF(LEN(VLOOKUP(A42,'RM-TRUNG'!A:V,18,0))=0,"",VLOOKUP(A42,'RM-TRUNG'!A:V,18,0))</f>
        <v>ĐOÀN THỊ MINH NGUYỆT</v>
      </c>
      <c r="U42" s="22" t="str">
        <f>VLOOKUP(LEFT(A42,5),RM!A:B,2,0)</f>
        <v>Nguyễn Duy Trung</v>
      </c>
      <c r="V42" s="34" t="s">
        <v>97</v>
      </c>
      <c r="W42" s="22" t="str">
        <f>IF(LEN(VLOOKUP(A42,'RM-TRUNG'!A:V,15,0))=0,"",VLOOKUP(A42,'RM-TRUNG'!A:V,15,0))</f>
        <v>CN Tây Lộc</v>
      </c>
      <c r="X42" s="22" t="str">
        <f>IF(LEN(VLOOKUP(A42,'RM-TRUNG'!A:V,16,0))=0,"",VLOOKUP(A42,'RM-TRUNG'!A:V,16,0))</f>
        <v>Khu vực Miền Trung</v>
      </c>
    </row>
    <row r="43" spans="1:24" s="22" customFormat="1" x14ac:dyDescent="0.3">
      <c r="A43" s="19" t="s">
        <v>457</v>
      </c>
      <c r="B43" s="20" t="str">
        <f>IF(LEN(VLOOKUP(A43,'RM-TRUNG'!A:V,2,0))=0,"",VLOOKUP(A43,'RM-TRUNG'!A:V,2,0))</f>
        <v>LÊ THỊ THÚY</v>
      </c>
      <c r="C43" s="19"/>
      <c r="D43" s="19">
        <f>IF(IF(YEAR(IFERROR(VLOOKUP(A43,KH!A:N,4,0),""))&gt;1905,YEAR(IFERROR(VLOOKUP(A43,KH!A:N,4,0),"")),IFERROR(VLOOKUP(A43,KH!A:N,4,0),""))=0,"",IF(YEAR(IFERROR(VLOOKUP(A43,KH!A:N,4,0),""))&gt;1905,YEAR(IFERROR(VLOOKUP(A43,KH!A:N,4,0),"")),IFERROR(VLOOKUP(A43,KH!A:N,4,0),"")))</f>
        <v>1994</v>
      </c>
      <c r="E43" s="5">
        <f>IFERROR(VLOOKUP(A43,'RM-TRUNG'!A:V,6,0),"")</f>
        <v>45089</v>
      </c>
      <c r="F43" s="19" t="str">
        <f>PROPER(IFERROR(VLOOKUP(A43,'RM-TRUNG'!A:V,7,0),""))</f>
        <v>Khác</v>
      </c>
      <c r="G43" s="26">
        <f>IF(IFERROR(VLOOKUP(A43,'RM-TRUNG'!A:V,8,0),"")&lt;1000000,IFERROR(VLOOKUP(A43,'RM-TRUNG'!A:V,8,0),"")*1000000,IFERROR(VLOOKUP(A43,'RM-TRUNG'!A:V,8,0),""))</f>
        <v>10955000</v>
      </c>
      <c r="H43" s="19" t="str">
        <f>PROPER(IFERROR(VLOOKUP(A43,'RM-TRUNG'!A:V,9,0),""))</f>
        <v>Cần Follow Thêm</v>
      </c>
      <c r="I43" s="19"/>
      <c r="J43" s="21" t="str">
        <f>IF(LEN(VLOOKUP(A43,'RM-TRUNG'!A:V,10,0))=0,"",VLOOKUP(A43,'RM-TRUNG'!A:V,10,0))</f>
        <v>Đã gửi BMH đến KH, mẹ mua cho con, bạn của CBB</v>
      </c>
      <c r="K43" s="21"/>
      <c r="L43" s="21" t="str">
        <f>IF(LEN(VLOOKUP(A43,'RM-TRUNG'!A:V,11,0))=0,"",VLOOKUP(A43,'RM-TRUNG'!A:V,11,0))</f>
        <v/>
      </c>
      <c r="M43" s="21"/>
      <c r="N43" s="21" t="str">
        <f>IF(LEN(VLOOKUP(A43,'RM-TRUNG'!A:V,12,0))=0,"",VLOOKUP(A43,'RM-TRUNG'!A:V,12,0))</f>
        <v/>
      </c>
      <c r="O43" s="21"/>
      <c r="P43" s="21" t="str">
        <f>IF(LEN(VLOOKUP(A43,'RM-TRUNG'!A:V,13,0))=0,"",VLOOKUP(A43,'RM-TRUNG'!A:V,13,0))</f>
        <v/>
      </c>
      <c r="Q43" s="22">
        <f>IF(LEN(VLOOKUP(A43,'RM-TRUNG'!A:V,19,0))=0,"",VLOOKUP(A43,'RM-TRUNG'!A:V,19,0))</f>
        <v>10970349</v>
      </c>
      <c r="R43" s="22" t="str">
        <f>IF(LEN(VLOOKUP(A43,'RM-TRUNG'!A:V,20,0))=0,"",VLOOKUP(A43,'RM-TRUNG'!A:V,20,0))</f>
        <v>TRƯƠNG THỊ TỊNH ANH</v>
      </c>
      <c r="S43" s="22" t="str">
        <f>IF(LEN(VLOOKUP(A43,'RM-TRUNG'!A:V,21,0))=0,"",VLOOKUP(A43,'RM-TRUNG'!A:V,21,0))</f>
        <v>GDV/KSV KHCN</v>
      </c>
      <c r="T43" s="22" t="str">
        <f>IF(LEN(VLOOKUP(A43,'RM-TRUNG'!A:V,18,0))=0,"",VLOOKUP(A43,'RM-TRUNG'!A:V,18,0))</f>
        <v>NGUYỄN THỊ NHẬT MI</v>
      </c>
      <c r="U43" s="22" t="str">
        <f>VLOOKUP(LEFT(A43,5),RM!A:B,2,0)</f>
        <v>Nguyễn Duy Trung</v>
      </c>
      <c r="V43" s="34" t="s">
        <v>99</v>
      </c>
      <c r="W43" s="22" t="str">
        <f>IF(LEN(VLOOKUP(A43,'RM-TRUNG'!A:V,15,0))=0,"",VLOOKUP(A43,'RM-TRUNG'!A:V,15,0))</f>
        <v>CN Thừa Thiên Huế</v>
      </c>
      <c r="X43" s="22" t="str">
        <f>IF(LEN(VLOOKUP(A43,'RM-TRUNG'!A:V,16,0))=0,"",VLOOKUP(A43,'RM-TRUNG'!A:V,16,0))</f>
        <v>Khu vực Miền Trung</v>
      </c>
    </row>
    <row r="44" spans="1:24" s="22" customFormat="1" x14ac:dyDescent="0.3">
      <c r="A44" s="15" t="s">
        <v>458</v>
      </c>
      <c r="B44" s="20" t="str">
        <f>IF(LEN(VLOOKUP(A44,'RM-TRUNG'!A:V,2,0))=0,"",VLOOKUP(A44,'RM-TRUNG'!A:V,2,0))</f>
        <v>NGUYỄN VĂN CHÍNH</v>
      </c>
      <c r="C44" s="19"/>
      <c r="D44" s="19">
        <f>IF(IF(YEAR(IFERROR(VLOOKUP(A44,KH!A:N,4,0),""))&gt;1905,YEAR(IFERROR(VLOOKUP(A44,KH!A:N,4,0),"")),IFERROR(VLOOKUP(A44,KH!A:N,4,0),""))=0,"",IF(YEAR(IFERROR(VLOOKUP(A44,KH!A:N,4,0),""))&gt;1905,YEAR(IFERROR(VLOOKUP(A44,KH!A:N,4,0),"")),IFERROR(VLOOKUP(A44,KH!A:N,4,0),"")))</f>
        <v>1987</v>
      </c>
      <c r="E44" s="5">
        <f>IFERROR(VLOOKUP(A44,'RM-TRUNG'!A:V,6,0),"")</f>
        <v>45089</v>
      </c>
      <c r="F44" s="19" t="str">
        <f>PROPER(IFERROR(VLOOKUP(A44,'RM-TRUNG'!A:V,7,0),""))</f>
        <v>Khác</v>
      </c>
      <c r="G44" s="26">
        <f>IF(IFERROR(VLOOKUP(A44,'RM-TRUNG'!A:V,8,0),"")&lt;1000000,IFERROR(VLOOKUP(A44,'RM-TRUNG'!A:V,8,0),"")*1000000,IFERROR(VLOOKUP(A44,'RM-TRUNG'!A:V,8,0),""))</f>
        <v>16500000</v>
      </c>
      <c r="H44" s="19" t="str">
        <f>PROPER(IFERROR(VLOOKUP(A44,'RM-TRUNG'!A:V,9,0),""))</f>
        <v>Cần Follow Thêm</v>
      </c>
      <c r="I44" s="19"/>
      <c r="J44" s="21" t="str">
        <f>IF(LEN(VLOOKUP(A44,'RM-TRUNG'!A:V,10,0))=0,"",VLOOKUP(A44,'RM-TRUNG'!A:V,10,0))</f>
        <v>Đã gửi BMH đến KH, ng thân của CBB</v>
      </c>
      <c r="K44" s="21"/>
      <c r="L44" s="21" t="str">
        <f>IF(LEN(VLOOKUP(A44,'RM-TRUNG'!A:V,11,0))=0,"",VLOOKUP(A44,'RM-TRUNG'!A:V,11,0))</f>
        <v/>
      </c>
      <c r="M44" s="21"/>
      <c r="N44" s="21" t="str">
        <f>IF(LEN(VLOOKUP(A44,'RM-TRUNG'!A:V,12,0))=0,"",VLOOKUP(A44,'RM-TRUNG'!A:V,12,0))</f>
        <v/>
      </c>
      <c r="O44" s="21"/>
      <c r="P44" s="21" t="str">
        <f>IF(LEN(VLOOKUP(A44,'RM-TRUNG'!A:V,13,0))=0,"",VLOOKUP(A44,'RM-TRUNG'!A:V,13,0))</f>
        <v/>
      </c>
      <c r="Q44" s="22">
        <f>IF(LEN(VLOOKUP(A44,'RM-TRUNG'!A:V,19,0))=0,"",VLOOKUP(A44,'RM-TRUNG'!A:V,19,0))</f>
        <v>10970349</v>
      </c>
      <c r="R44" s="22" t="str">
        <f>IF(LEN(VLOOKUP(A44,'RM-TRUNG'!A:V,20,0))=0,"",VLOOKUP(A44,'RM-TRUNG'!A:V,20,0))</f>
        <v>TRƯƠNG THỊ TỊNH ANH</v>
      </c>
      <c r="S44" s="22" t="str">
        <f>IF(LEN(VLOOKUP(A44,'RM-TRUNG'!A:V,21,0))=0,"",VLOOKUP(A44,'RM-TRUNG'!A:V,21,0))</f>
        <v>GDV/KSV KHCN</v>
      </c>
      <c r="T44" s="22" t="str">
        <f>IF(LEN(VLOOKUP(A44,'RM-TRUNG'!A:V,18,0))=0,"",VLOOKUP(A44,'RM-TRUNG'!A:V,18,0))</f>
        <v>NGUYỄN THỊ NHẬT MI</v>
      </c>
      <c r="U44" s="22" t="str">
        <f>VLOOKUP(LEFT(A44,5),RM!A:B,2,0)</f>
        <v>Nguyễn Duy Trung</v>
      </c>
      <c r="V44" s="34" t="s">
        <v>98</v>
      </c>
      <c r="W44" s="22" t="str">
        <f>IF(LEN(VLOOKUP(A44,'RM-TRUNG'!A:V,15,0))=0,"",VLOOKUP(A44,'RM-TRUNG'!A:V,15,0))</f>
        <v>CN Thừa Thiên Huế</v>
      </c>
      <c r="X44" s="22" t="str">
        <f>IF(LEN(VLOOKUP(A44,'RM-TRUNG'!A:V,16,0))=0,"",VLOOKUP(A44,'RM-TRUNG'!A:V,16,0))</f>
        <v>Khu vực Miền Trung</v>
      </c>
    </row>
    <row r="45" spans="1:24" s="22" customFormat="1" x14ac:dyDescent="0.3">
      <c r="A45" s="19" t="s">
        <v>459</v>
      </c>
      <c r="B45" s="20" t="str">
        <f>IF(LEN(VLOOKUP(A45,'RM-TRUNG'!A:V,2,0))=0,"",VLOOKUP(A45,'RM-TRUNG'!A:V,2,0))</f>
        <v>Lê Thị Duyên</v>
      </c>
      <c r="C45" s="19"/>
      <c r="D45" s="19">
        <f>IF(IF(YEAR(IFERROR(VLOOKUP(A45,KH!A:N,4,0),""))&gt;1905,YEAR(IFERROR(VLOOKUP(A45,KH!A:N,4,0),"")),IFERROR(VLOOKUP(A45,KH!A:N,4,0),""))=0,"",IF(YEAR(IFERROR(VLOOKUP(A45,KH!A:N,4,0),""))&gt;1905,YEAR(IFERROR(VLOOKUP(A45,KH!A:N,4,0),"")),IFERROR(VLOOKUP(A45,KH!A:N,4,0),"")))</f>
        <v>1984</v>
      </c>
      <c r="E45" s="5">
        <f>IFERROR(VLOOKUP(A45,'RM-TRUNG'!A:V,6,0),"")</f>
        <v>45090</v>
      </c>
      <c r="F45" s="19" t="str">
        <f>PROPER(IFERROR(VLOOKUP(A45,'RM-TRUNG'!A:V,7,0),""))</f>
        <v>Khác</v>
      </c>
      <c r="G45" s="26">
        <f>IF(IFERROR(VLOOKUP(A45,'RM-TRUNG'!A:V,8,0),"")&lt;1000000,IFERROR(VLOOKUP(A45,'RM-TRUNG'!A:V,8,0),"")*1000000,IFERROR(VLOOKUP(A45,'RM-TRUNG'!A:V,8,0),""))</f>
        <v>12000000</v>
      </c>
      <c r="H45" s="19" t="str">
        <f>PROPER(IFERROR(VLOOKUP(A45,'RM-TRUNG'!A:V,9,0),""))</f>
        <v>Từ Chối</v>
      </c>
      <c r="I45" s="19"/>
      <c r="J45" s="21" t="str">
        <f>IF(LEN(VLOOKUP(A45,'RM-TRUNG'!A:V,10,0))=0,"",VLOOKUP(A45,'RM-TRUNG'!A:V,10,0))</f>
        <v xml:space="preserve">Đã liên hệ, đang sơ vấn cho KH </v>
      </c>
      <c r="K45" s="21"/>
      <c r="L45" s="21" t="str">
        <f>IF(LEN(VLOOKUP(A45,'RM-TRUNG'!A:V,11,0))=0,"",VLOOKUP(A45,'RM-TRUNG'!A:V,11,0))</f>
        <v/>
      </c>
      <c r="M45" s="21"/>
      <c r="N45" s="21" t="str">
        <f>IF(LEN(VLOOKUP(A45,'RM-TRUNG'!A:V,12,0))=0,"",VLOOKUP(A45,'RM-TRUNG'!A:V,12,0))</f>
        <v/>
      </c>
      <c r="O45" s="21"/>
      <c r="P45" s="21" t="str">
        <f>IF(LEN(VLOOKUP(A45,'RM-TRUNG'!A:V,13,0))=0,"",VLOOKUP(A45,'RM-TRUNG'!A:V,13,0))</f>
        <v/>
      </c>
      <c r="Q45" s="22">
        <f>IF(LEN(VLOOKUP(A45,'RM-TRUNG'!A:V,19,0))=0,"",VLOOKUP(A45,'RM-TRUNG'!A:V,19,0))</f>
        <v>11092762</v>
      </c>
      <c r="R45" s="22" t="str">
        <f>IF(LEN(VLOOKUP(A45,'RM-TRUNG'!A:V,20,0))=0,"",VLOOKUP(A45,'RM-TRUNG'!A:V,20,0))</f>
        <v>Lê Thị Thu Diệu</v>
      </c>
      <c r="S45" s="22" t="str">
        <f>IF(LEN(VLOOKUP(A45,'RM-TRUNG'!A:V,21,0))=0,"",VLOOKUP(A45,'RM-TRUNG'!A:V,21,0))</f>
        <v>TP/PP DVKH</v>
      </c>
      <c r="T45" s="22" t="str">
        <f>IF(LEN(VLOOKUP(A45,'RM-TRUNG'!A:V,18,0))=0,"",VLOOKUP(A45,'RM-TRUNG'!A:V,18,0))</f>
        <v>NGUYỄN THỊ THANH HƯƠNG</v>
      </c>
      <c r="U45" s="22" t="str">
        <f>VLOOKUP(LEFT(A45,5),RM!A:B,2,0)</f>
        <v>Nguyễn Duy Trung</v>
      </c>
      <c r="V45" s="34" t="s">
        <v>168</v>
      </c>
      <c r="W45" s="22" t="str">
        <f>IF(LEN(VLOOKUP(A45,'RM-TRUNG'!A:V,15,0))=0,"",VLOOKUP(A45,'RM-TRUNG'!A:V,15,0))</f>
        <v>CN Đà Nẵng</v>
      </c>
      <c r="X45" s="22" t="str">
        <f>IF(LEN(VLOOKUP(A45,'RM-TRUNG'!A:V,16,0))=0,"",VLOOKUP(A45,'RM-TRUNG'!A:V,16,0))</f>
        <v>Khu vực Miền Trung</v>
      </c>
    </row>
    <row r="46" spans="1:24" s="22" customFormat="1" x14ac:dyDescent="0.3">
      <c r="A46" s="15" t="s">
        <v>460</v>
      </c>
      <c r="B46" s="20" t="str">
        <f>IF(LEN(VLOOKUP(A46,'RM-TRUNG'!A:V,2,0))=0,"",VLOOKUP(A46,'RM-TRUNG'!A:V,2,0))</f>
        <v>Đặng Thị Ánh</v>
      </c>
      <c r="C46" s="19"/>
      <c r="D46" s="19">
        <f>IF(IF(YEAR(IFERROR(VLOOKUP(A46,KH!A:N,4,0),""))&gt;1905,YEAR(IFERROR(VLOOKUP(A46,KH!A:N,4,0),"")),IFERROR(VLOOKUP(A46,KH!A:N,4,0),""))=0,"",IF(YEAR(IFERROR(VLOOKUP(A46,KH!A:N,4,0),""))&gt;1905,YEAR(IFERROR(VLOOKUP(A46,KH!A:N,4,0),"")),IFERROR(VLOOKUP(A46,KH!A:N,4,0),"")))</f>
        <v>1993</v>
      </c>
      <c r="E46" s="5">
        <f>IFERROR(VLOOKUP(A46,'RM-TRUNG'!A:V,6,0),"")</f>
        <v>45090</v>
      </c>
      <c r="F46" s="19" t="str">
        <f>PROPER(IFERROR(VLOOKUP(A46,'RM-TRUNG'!A:V,7,0),""))</f>
        <v>Khác</v>
      </c>
      <c r="G46" s="26">
        <f>IF(IFERROR(VLOOKUP(A46,'RM-TRUNG'!A:V,8,0),"")&lt;1000000,IFERROR(VLOOKUP(A46,'RM-TRUNG'!A:V,8,0),"")*1000000,IFERROR(VLOOKUP(A46,'RM-TRUNG'!A:V,8,0),""))</f>
        <v>12000000</v>
      </c>
      <c r="H46" s="19" t="str">
        <f>PROPER(IFERROR(VLOOKUP(A46,'RM-TRUNG'!A:V,9,0),""))</f>
        <v>Từ Chối</v>
      </c>
      <c r="I46" s="19"/>
      <c r="J46" s="21" t="str">
        <f>IF(LEN(VLOOKUP(A46,'RM-TRUNG'!A:V,10,0))=0,"",VLOOKUP(A46,'RM-TRUNG'!A:V,10,0))</f>
        <v xml:space="preserve">Đã kết bạn zalo, đang sơ vấn cho KH </v>
      </c>
      <c r="K46" s="21"/>
      <c r="L46" s="21" t="str">
        <f>IF(LEN(VLOOKUP(A46,'RM-TRUNG'!A:V,11,0))=0,"",VLOOKUP(A46,'RM-TRUNG'!A:V,11,0))</f>
        <v/>
      </c>
      <c r="M46" s="21"/>
      <c r="N46" s="21" t="str">
        <f>IF(LEN(VLOOKUP(A46,'RM-TRUNG'!A:V,12,0))=0,"",VLOOKUP(A46,'RM-TRUNG'!A:V,12,0))</f>
        <v/>
      </c>
      <c r="O46" s="21"/>
      <c r="P46" s="21" t="str">
        <f>IF(LEN(VLOOKUP(A46,'RM-TRUNG'!A:V,13,0))=0,"",VLOOKUP(A46,'RM-TRUNG'!A:V,13,0))</f>
        <v/>
      </c>
      <c r="Q46" s="22">
        <f>IF(LEN(VLOOKUP(A46,'RM-TRUNG'!A:V,19,0))=0,"",VLOOKUP(A46,'RM-TRUNG'!A:V,19,0))</f>
        <v>11023108</v>
      </c>
      <c r="R46" s="22" t="str">
        <f>IF(LEN(VLOOKUP(A46,'RM-TRUNG'!A:V,20,0))=0,"",VLOOKUP(A46,'RM-TRUNG'!A:V,20,0))</f>
        <v>Hoàng Thị Xoan</v>
      </c>
      <c r="S46" s="22" t="str">
        <f>IF(LEN(VLOOKUP(A46,'RM-TRUNG'!A:V,21,0))=0,"",VLOOKUP(A46,'RM-TRUNG'!A:V,21,0))</f>
        <v>TP/PP DVKH</v>
      </c>
      <c r="T46" s="22" t="str">
        <f>IF(LEN(VLOOKUP(A46,'RM-TRUNG'!A:V,18,0))=0,"",VLOOKUP(A46,'RM-TRUNG'!A:V,18,0))</f>
        <v>NGUYỄN THỊ THANH HƯƠNG</v>
      </c>
      <c r="U46" s="22" t="str">
        <f>VLOOKUP(LEFT(A46,5),RM!A:B,2,0)</f>
        <v>Nguyễn Duy Trung</v>
      </c>
      <c r="V46" s="34" t="s">
        <v>169</v>
      </c>
      <c r="W46" s="22" t="str">
        <f>IF(LEN(VLOOKUP(A46,'RM-TRUNG'!A:V,15,0))=0,"",VLOOKUP(A46,'RM-TRUNG'!A:V,15,0))</f>
        <v>CN Đà Nẵng</v>
      </c>
      <c r="X46" s="22" t="str">
        <f>IF(LEN(VLOOKUP(A46,'RM-TRUNG'!A:V,16,0))=0,"",VLOOKUP(A46,'RM-TRUNG'!A:V,16,0))</f>
        <v>Khu vực Miền Trung</v>
      </c>
    </row>
    <row r="47" spans="1:24" s="22" customFormat="1" x14ac:dyDescent="0.3">
      <c r="A47" s="19" t="s">
        <v>461</v>
      </c>
      <c r="B47" s="20" t="str">
        <f>IF(LEN(VLOOKUP(A47,'RM-TRUNG'!A:V,2,0))=0,"",VLOOKUP(A47,'RM-TRUNG'!A:V,2,0))</f>
        <v>DƯƠNG VIẾT NGÂN TRANG</v>
      </c>
      <c r="C47" s="19"/>
      <c r="D47" s="19" t="str">
        <f>IF(IF(YEAR(IFERROR(VLOOKUP(A47,KH!A:N,4,0),""))&gt;1905,YEAR(IFERROR(VLOOKUP(A47,KH!A:N,4,0),"")),IFERROR(VLOOKUP(A47,KH!A:N,4,0),""))=0,"",IF(YEAR(IFERROR(VLOOKUP(A47,KH!A:N,4,0),""))&gt;1905,YEAR(IFERROR(VLOOKUP(A47,KH!A:N,4,0),"")),IFERROR(VLOOKUP(A47,KH!A:N,4,0),"")))</f>
        <v/>
      </c>
      <c r="E47" s="5">
        <f>IFERROR(VLOOKUP(A47,'RM-TRUNG'!A:V,6,0),"")</f>
        <v>45090</v>
      </c>
      <c r="F47" s="19" t="str">
        <f>PROPER(IFERROR(VLOOKUP(A47,'RM-TRUNG'!A:V,7,0),""))</f>
        <v>Khác</v>
      </c>
      <c r="G47" s="26">
        <f>IF(IFERROR(VLOOKUP(A47,'RM-TRUNG'!A:V,8,0),"")&lt;1000000,IFERROR(VLOOKUP(A47,'RM-TRUNG'!A:V,8,0),"")*1000000,IFERROR(VLOOKUP(A47,'RM-TRUNG'!A:V,8,0),""))</f>
        <v>22000000</v>
      </c>
      <c r="H47" s="19" t="str">
        <f>PROPER(IFERROR(VLOOKUP(A47,'RM-TRUNG'!A:V,9,0),""))</f>
        <v>Cần Follow Thêm</v>
      </c>
      <c r="I47" s="19"/>
      <c r="J47" s="21" t="str">
        <f>IF(LEN(VLOOKUP(A47,'RM-TRUNG'!A:V,10,0))=0,"",VLOOKUP(A47,'RM-TRUNG'!A:V,10,0))</f>
        <v>kh mới gặp lần đầu, đã tư vấn và đánh bảng minh họa, kh muốn tìm hiểu thêm</v>
      </c>
      <c r="K47" s="21"/>
      <c r="L47" s="21" t="str">
        <f>IF(LEN(VLOOKUP(A47,'RM-TRUNG'!A:V,11,0))=0,"",VLOOKUP(A47,'RM-TRUNG'!A:V,11,0))</f>
        <v/>
      </c>
      <c r="M47" s="21"/>
      <c r="N47" s="21" t="str">
        <f>IF(LEN(VLOOKUP(A47,'RM-TRUNG'!A:V,12,0))=0,"",VLOOKUP(A47,'RM-TRUNG'!A:V,12,0))</f>
        <v/>
      </c>
      <c r="O47" s="21"/>
      <c r="P47" s="21" t="str">
        <f>IF(LEN(VLOOKUP(A47,'RM-TRUNG'!A:V,13,0))=0,"",VLOOKUP(A47,'RM-TRUNG'!A:V,13,0))</f>
        <v/>
      </c>
      <c r="Q47" s="22">
        <f>IF(LEN(VLOOKUP(A47,'RM-TRUNG'!A:V,19,0))=0,"",VLOOKUP(A47,'RM-TRUNG'!A:V,19,0))</f>
        <v>10109416</v>
      </c>
      <c r="R47" s="22" t="str">
        <f>IF(LEN(VLOOKUP(A47,'RM-TRUNG'!A:V,20,0))=0,"",VLOOKUP(A47,'RM-TRUNG'!A:V,20,0))</f>
        <v>Huỳnh Thị Minh Hiền</v>
      </c>
      <c r="S47" s="22" t="str">
        <f>IF(LEN(VLOOKUP(A47,'RM-TRUNG'!A:V,21,0))=0,"",VLOOKUP(A47,'RM-TRUNG'!A:V,21,0))</f>
        <v>GDV/KSV KHCN</v>
      </c>
      <c r="T47" s="22" t="str">
        <f>IF(LEN(VLOOKUP(A47,'RM-TRUNG'!A:V,18,0))=0,"",VLOOKUP(A47,'RM-TRUNG'!A:V,18,0))</f>
        <v>ĐOÀN THỊ MINH NGUYỆT</v>
      </c>
      <c r="U47" s="22" t="str">
        <f>VLOOKUP(LEFT(A47,5),RM!A:B,2,0)</f>
        <v>Nguyễn Duy Trung</v>
      </c>
      <c r="V47" s="34" t="s">
        <v>170</v>
      </c>
      <c r="W47" s="22" t="str">
        <f>IF(LEN(VLOOKUP(A47,'RM-TRUNG'!A:V,15,0))=0,"",VLOOKUP(A47,'RM-TRUNG'!A:V,15,0))</f>
        <v>CN Tây Lộc</v>
      </c>
      <c r="X47" s="22" t="str">
        <f>IF(LEN(VLOOKUP(A47,'RM-TRUNG'!A:V,16,0))=0,"",VLOOKUP(A47,'RM-TRUNG'!A:V,16,0))</f>
        <v>Khu vực Miền Trung</v>
      </c>
    </row>
    <row r="48" spans="1:24" s="22" customFormat="1" x14ac:dyDescent="0.3">
      <c r="A48" s="15" t="s">
        <v>462</v>
      </c>
      <c r="B48" s="20" t="str">
        <f>IF(LEN(VLOOKUP(A48,'RM-TRUNG'!A:V,2,0))=0,"",VLOOKUP(A48,'RM-TRUNG'!A:V,2,0))</f>
        <v>NGUYỄN LONG</v>
      </c>
      <c r="C48" s="19"/>
      <c r="D48" s="19" t="str">
        <f>IF(IF(YEAR(IFERROR(VLOOKUP(A48,KH!A:N,4,0),""))&gt;1905,YEAR(IFERROR(VLOOKUP(A48,KH!A:N,4,0),"")),IFERROR(VLOOKUP(A48,KH!A:N,4,0),""))=0,"",IF(YEAR(IFERROR(VLOOKUP(A48,KH!A:N,4,0),""))&gt;1905,YEAR(IFERROR(VLOOKUP(A48,KH!A:N,4,0),"")),IFERROR(VLOOKUP(A48,KH!A:N,4,0),"")))</f>
        <v/>
      </c>
      <c r="E48" s="5">
        <f>IFERROR(VLOOKUP(A48,'RM-TRUNG'!A:V,6,0),"")</f>
        <v>45090</v>
      </c>
      <c r="F48" s="19" t="str">
        <f>PROPER(IFERROR(VLOOKUP(A48,'RM-TRUNG'!A:V,7,0),""))</f>
        <v>Khác</v>
      </c>
      <c r="G48" s="26">
        <f>IF(IFERROR(VLOOKUP(A48,'RM-TRUNG'!A:V,8,0),"")&lt;1000000,IFERROR(VLOOKUP(A48,'RM-TRUNG'!A:V,8,0),"")*1000000,IFERROR(VLOOKUP(A48,'RM-TRUNG'!A:V,8,0),""))</f>
        <v>20000000</v>
      </c>
      <c r="H48" s="19" t="str">
        <f>PROPER(IFERROR(VLOOKUP(A48,'RM-TRUNG'!A:V,9,0),""))</f>
        <v>Cần Follow Thêm</v>
      </c>
      <c r="I48" s="19"/>
      <c r="J48" s="21" t="str">
        <f>IF(LEN(VLOOKUP(A48,'RM-TRUNG'!A:V,10,0))=0,"",VLOOKUP(A48,'RM-TRUNG'!A:V,10,0))</f>
        <v>kh muốn tìm hiểu bảo hiểm để mua cho 2 vk ck, đã tư vấn, 2 vk ck về suy nghĩ thêm</v>
      </c>
      <c r="K48" s="21"/>
      <c r="L48" s="21" t="str">
        <f>IF(LEN(VLOOKUP(A48,'RM-TRUNG'!A:V,11,0))=0,"",VLOOKUP(A48,'RM-TRUNG'!A:V,11,0))</f>
        <v/>
      </c>
      <c r="M48" s="21"/>
      <c r="N48" s="21" t="str">
        <f>IF(LEN(VLOOKUP(A48,'RM-TRUNG'!A:V,12,0))=0,"",VLOOKUP(A48,'RM-TRUNG'!A:V,12,0))</f>
        <v/>
      </c>
      <c r="O48" s="21"/>
      <c r="P48" s="21" t="str">
        <f>IF(LEN(VLOOKUP(A48,'RM-TRUNG'!A:V,13,0))=0,"",VLOOKUP(A48,'RM-TRUNG'!A:V,13,0))</f>
        <v/>
      </c>
      <c r="Q48" s="22">
        <f>IF(LEN(VLOOKUP(A48,'RM-TRUNG'!A:V,19,0))=0,"",VLOOKUP(A48,'RM-TRUNG'!A:V,19,0))</f>
        <v>11151864</v>
      </c>
      <c r="R48" s="22" t="str">
        <f>IF(LEN(VLOOKUP(A48,'RM-TRUNG'!A:V,20,0))=0,"",VLOOKUP(A48,'RM-TRUNG'!A:V,20,0))</f>
        <v>Phạm Thị Thanh Hương</v>
      </c>
      <c r="S48" s="22" t="str">
        <f>IF(LEN(VLOOKUP(A48,'RM-TRUNG'!A:V,21,0))=0,"",VLOOKUP(A48,'RM-TRUNG'!A:V,21,0))</f>
        <v>GDV/KSV KHCN</v>
      </c>
      <c r="T48" s="22" t="str">
        <f>IF(LEN(VLOOKUP(A48,'RM-TRUNG'!A:V,18,0))=0,"",VLOOKUP(A48,'RM-TRUNG'!A:V,18,0))</f>
        <v>ĐOÀN THỊ MINH NGUYỆT</v>
      </c>
      <c r="U48" s="22" t="str">
        <f>VLOOKUP(LEFT(A48,5),RM!A:B,2,0)</f>
        <v>Nguyễn Duy Trung</v>
      </c>
      <c r="V48" s="34" t="s">
        <v>171</v>
      </c>
      <c r="W48" s="22" t="str">
        <f>IF(LEN(VLOOKUP(A48,'RM-TRUNG'!A:V,15,0))=0,"",VLOOKUP(A48,'RM-TRUNG'!A:V,15,0))</f>
        <v>CN Tây Lộc</v>
      </c>
      <c r="X48" s="22" t="str">
        <f>IF(LEN(VLOOKUP(A48,'RM-TRUNG'!A:V,16,0))=0,"",VLOOKUP(A48,'RM-TRUNG'!A:V,16,0))</f>
        <v>Khu vực Miền Trung</v>
      </c>
    </row>
    <row r="49" spans="1:24" s="22" customFormat="1" x14ac:dyDescent="0.3">
      <c r="A49" s="19" t="s">
        <v>463</v>
      </c>
      <c r="B49" s="20" t="str">
        <f>IF(LEN(VLOOKUP(A49,'RM-TRUNG'!A:V,2,0))=0,"",VLOOKUP(A49,'RM-TRUNG'!A:V,2,0))</f>
        <v>chị Đào</v>
      </c>
      <c r="C49" s="19"/>
      <c r="D49" s="19">
        <f>IF(IF(YEAR(IFERROR(VLOOKUP(A49,KH!A:N,4,0),""))&gt;1905,YEAR(IFERROR(VLOOKUP(A49,KH!A:N,4,0),"")),IFERROR(VLOOKUP(A49,KH!A:N,4,0),""))=0,"",IF(YEAR(IFERROR(VLOOKUP(A49,KH!A:N,4,0),""))&gt;1905,YEAR(IFERROR(VLOOKUP(A49,KH!A:N,4,0),"")),IFERROR(VLOOKUP(A49,KH!A:N,4,0),"")))</f>
        <v>1995</v>
      </c>
      <c r="E49" s="5">
        <f>IFERROR(VLOOKUP(A49,'RM-TRUNG'!A:V,6,0),"")</f>
        <v>45091</v>
      </c>
      <c r="F49" s="19" t="str">
        <f>PROPER(IFERROR(VLOOKUP(A49,'RM-TRUNG'!A:V,7,0),""))</f>
        <v>Khác</v>
      </c>
      <c r="G49" s="26">
        <f>IF(IFERROR(VLOOKUP(A49,'RM-TRUNG'!A:V,8,0),"")&lt;1000000,IFERROR(VLOOKUP(A49,'RM-TRUNG'!A:V,8,0),"")*1000000,IFERROR(VLOOKUP(A49,'RM-TRUNG'!A:V,8,0),""))</f>
        <v>12000000</v>
      </c>
      <c r="H49" s="19" t="str">
        <f>PROPER(IFERROR(VLOOKUP(A49,'RM-TRUNG'!A:V,9,0),""))</f>
        <v>Từ Chối</v>
      </c>
      <c r="I49" s="19"/>
      <c r="J49" s="21" t="str">
        <f>IF(LEN(VLOOKUP(A49,'RM-TRUNG'!A:V,10,0))=0,"",VLOOKUP(A49,'RM-TRUNG'!A:V,10,0))</f>
        <v>Đã liên hệ, sơ vấn cho KH, KH làm banker và đã tham gia Bảo hiểm.</v>
      </c>
      <c r="K49" s="21"/>
      <c r="L49" s="21" t="str">
        <f>IF(LEN(VLOOKUP(A49,'RM-TRUNG'!A:V,11,0))=0,"",VLOOKUP(A49,'RM-TRUNG'!A:V,11,0))</f>
        <v/>
      </c>
      <c r="M49" s="21"/>
      <c r="N49" s="21" t="str">
        <f>IF(LEN(VLOOKUP(A49,'RM-TRUNG'!A:V,12,0))=0,"",VLOOKUP(A49,'RM-TRUNG'!A:V,12,0))</f>
        <v/>
      </c>
      <c r="O49" s="21"/>
      <c r="P49" s="21" t="str">
        <f>IF(LEN(VLOOKUP(A49,'RM-TRUNG'!A:V,13,0))=0,"",VLOOKUP(A49,'RM-TRUNG'!A:V,13,0))</f>
        <v/>
      </c>
      <c r="Q49" s="22">
        <f>IF(LEN(VLOOKUP(A49,'RM-TRUNG'!A:V,19,0))=0,"",VLOOKUP(A49,'RM-TRUNG'!A:V,19,0))</f>
        <v>11438413</v>
      </c>
      <c r="R49" s="22" t="str">
        <f>IF(LEN(VLOOKUP(A49,'RM-TRUNG'!A:V,20,0))=0,"",VLOOKUP(A49,'RM-TRUNG'!A:V,20,0))</f>
        <v>Phan Thị Thanh Thúy</v>
      </c>
      <c r="S49" s="22" t="str">
        <f>IF(LEN(VLOOKUP(A49,'RM-TRUNG'!A:V,21,0))=0,"",VLOOKUP(A49,'RM-TRUNG'!A:V,21,0))</f>
        <v>RM/TL KHDN</v>
      </c>
      <c r="T49" s="22" t="str">
        <f>IF(LEN(VLOOKUP(A49,'RM-TRUNG'!A:V,18,0))=0,"",VLOOKUP(A49,'RM-TRUNG'!A:V,18,0))</f>
        <v>NGUYỄN THỊ THANH HƯƠNG</v>
      </c>
      <c r="U49" s="22" t="str">
        <f>VLOOKUP(LEFT(A49,5),RM!A:B,2,0)</f>
        <v>Nguyễn Duy Trung</v>
      </c>
      <c r="V49" s="34" t="s">
        <v>172</v>
      </c>
      <c r="W49" s="22" t="str">
        <f>IF(LEN(VLOOKUP(A49,'RM-TRUNG'!A:V,15,0))=0,"",VLOOKUP(A49,'RM-TRUNG'!A:V,15,0))</f>
        <v>CN Đà Nẵng</v>
      </c>
      <c r="X49" s="22" t="str">
        <f>IF(LEN(VLOOKUP(A49,'RM-TRUNG'!A:V,16,0))=0,"",VLOOKUP(A49,'RM-TRUNG'!A:V,16,0))</f>
        <v>Khu vực Miền Trung</v>
      </c>
    </row>
    <row r="50" spans="1:24" s="22" customFormat="1" x14ac:dyDescent="0.3">
      <c r="A50" s="15" t="s">
        <v>464</v>
      </c>
      <c r="B50" s="20" t="str">
        <f>IF(LEN(VLOOKUP(A50,'RM-TRUNG'!A:V,2,0))=0,"",VLOOKUP(A50,'RM-TRUNG'!A:V,2,0))</f>
        <v>Trần Thị Nguyệt</v>
      </c>
      <c r="C50" s="19"/>
      <c r="D50" s="19">
        <f>IF(IF(YEAR(IFERROR(VLOOKUP(A50,KH!A:N,4,0),""))&gt;1905,YEAR(IFERROR(VLOOKUP(A50,KH!A:N,4,0),"")),IFERROR(VLOOKUP(A50,KH!A:N,4,0),""))=0,"",IF(YEAR(IFERROR(VLOOKUP(A50,KH!A:N,4,0),""))&gt;1905,YEAR(IFERROR(VLOOKUP(A50,KH!A:N,4,0),"")),IFERROR(VLOOKUP(A50,KH!A:N,4,0),"")))</f>
        <v>1995</v>
      </c>
      <c r="E50" s="5">
        <f>IFERROR(VLOOKUP(A50,'RM-TRUNG'!A:V,6,0),"")</f>
        <v>45091</v>
      </c>
      <c r="F50" s="19" t="str">
        <f>PROPER(IFERROR(VLOOKUP(A50,'RM-TRUNG'!A:V,7,0),""))</f>
        <v>Khác</v>
      </c>
      <c r="G50" s="26">
        <f>IF(IFERROR(VLOOKUP(A50,'RM-TRUNG'!A:V,8,0),"")&lt;1000000,IFERROR(VLOOKUP(A50,'RM-TRUNG'!A:V,8,0),"")*1000000,IFERROR(VLOOKUP(A50,'RM-TRUNG'!A:V,8,0),""))</f>
        <v>12000000</v>
      </c>
      <c r="H50" s="19" t="str">
        <f>PROPER(IFERROR(VLOOKUP(A50,'RM-TRUNG'!A:V,9,0),""))</f>
        <v>Cần Follow Thêm</v>
      </c>
      <c r="I50" s="19"/>
      <c r="J50" s="21" t="str">
        <f>IF(LEN(VLOOKUP(A50,'RM-TRUNG'!A:V,10,0))=0,"",VLOOKUP(A50,'RM-TRUNG'!A:V,10,0))</f>
        <v>Đã kết bạn zalo, sơ vấn.</v>
      </c>
      <c r="K50" s="21"/>
      <c r="L50" s="21" t="str">
        <f>IF(LEN(VLOOKUP(A50,'RM-TRUNG'!A:V,11,0))=0,"",VLOOKUP(A50,'RM-TRUNG'!A:V,11,0))</f>
        <v/>
      </c>
      <c r="M50" s="21"/>
      <c r="N50" s="21" t="str">
        <f>IF(LEN(VLOOKUP(A50,'RM-TRUNG'!A:V,12,0))=0,"",VLOOKUP(A50,'RM-TRUNG'!A:V,12,0))</f>
        <v/>
      </c>
      <c r="O50" s="21"/>
      <c r="P50" s="21" t="str">
        <f>IF(LEN(VLOOKUP(A50,'RM-TRUNG'!A:V,13,0))=0,"",VLOOKUP(A50,'RM-TRUNG'!A:V,13,0))</f>
        <v/>
      </c>
      <c r="Q50" s="22">
        <f>IF(LEN(VLOOKUP(A50,'RM-TRUNG'!A:V,19,0))=0,"",VLOOKUP(A50,'RM-TRUNG'!A:V,19,0))</f>
        <v>10041965</v>
      </c>
      <c r="R50" s="22" t="str">
        <f>IF(LEN(VLOOKUP(A50,'RM-TRUNG'!A:V,20,0))=0,"",VLOOKUP(A50,'RM-TRUNG'!A:V,20,0))</f>
        <v>Lý Tú Bình</v>
      </c>
      <c r="S50" s="22" t="str">
        <f>IF(LEN(VLOOKUP(A50,'RM-TRUNG'!A:V,21,0))=0,"",VLOOKUP(A50,'RM-TRUNG'!A:V,21,0))</f>
        <v>RM/TL KHCN</v>
      </c>
      <c r="T50" s="22" t="str">
        <f>IF(LEN(VLOOKUP(A50,'RM-TRUNG'!A:V,18,0))=0,"",VLOOKUP(A50,'RM-TRUNG'!A:V,18,0))</f>
        <v>NGUYỄN THỊ THANH HƯƠNG</v>
      </c>
      <c r="U50" s="22" t="str">
        <f>VLOOKUP(LEFT(A50,5),RM!A:B,2,0)</f>
        <v>Nguyễn Duy Trung</v>
      </c>
      <c r="V50" s="34" t="s">
        <v>174</v>
      </c>
      <c r="W50" s="22" t="str">
        <f>IF(LEN(VLOOKUP(A50,'RM-TRUNG'!A:V,15,0))=0,"",VLOOKUP(A50,'RM-TRUNG'!A:V,15,0))</f>
        <v>CN Đà Nẵng</v>
      </c>
      <c r="X50" s="22" t="str">
        <f>IF(LEN(VLOOKUP(A50,'RM-TRUNG'!A:V,16,0))=0,"",VLOOKUP(A50,'RM-TRUNG'!A:V,16,0))</f>
        <v>Khu vực Miền Trung</v>
      </c>
    </row>
    <row r="51" spans="1:24" s="22" customFormat="1" x14ac:dyDescent="0.3">
      <c r="A51" s="19" t="s">
        <v>465</v>
      </c>
      <c r="B51" s="20" t="str">
        <f>IF(LEN(VLOOKUP(A51,'RM-TRUNG'!A:V,2,0))=0,"",VLOOKUP(A51,'RM-TRUNG'!A:V,2,0))</f>
        <v>NGUYỄN THỊ THANH NGA</v>
      </c>
      <c r="C51" s="19"/>
      <c r="D51" s="19">
        <f>IF(IF(YEAR(IFERROR(VLOOKUP(A51,KH!A:N,4,0),""))&gt;1905,YEAR(IFERROR(VLOOKUP(A51,KH!A:N,4,0),"")),IFERROR(VLOOKUP(A51,KH!A:N,4,0),""))=0,"",IF(YEAR(IFERROR(VLOOKUP(A51,KH!A:N,4,0),""))&gt;1905,YEAR(IFERROR(VLOOKUP(A51,KH!A:N,4,0),"")),IFERROR(VLOOKUP(A51,KH!A:N,4,0),"")))</f>
        <v>1980</v>
      </c>
      <c r="E51" s="5">
        <f>IFERROR(VLOOKUP(A51,'RM-TRUNG'!A:V,6,0),"")</f>
        <v>45091</v>
      </c>
      <c r="F51" s="19" t="str">
        <f>PROPER(IFERROR(VLOOKUP(A51,'RM-TRUNG'!A:V,7,0),""))</f>
        <v>Huy Động</v>
      </c>
      <c r="G51" s="26">
        <f>IF(IFERROR(VLOOKUP(A51,'RM-TRUNG'!A:V,8,0),"")&lt;1000000,IFERROR(VLOOKUP(A51,'RM-TRUNG'!A:V,8,0),"")*1000000,IFERROR(VLOOKUP(A51,'RM-TRUNG'!A:V,8,0),""))</f>
        <v>18642000</v>
      </c>
      <c r="H51" s="19" t="str">
        <f>PROPER(IFERROR(VLOOKUP(A51,'RM-TRUNG'!A:V,9,0),""))</f>
        <v>Từ Chối</v>
      </c>
      <c r="I51" s="19"/>
      <c r="J51" s="21" t="str">
        <f>IF(LEN(VLOOKUP(A51,'RM-TRUNG'!A:V,10,0))=0,"",VLOOKUP(A51,'RM-TRUNG'!A:V,10,0))</f>
        <v>Đã gửi BMH và tv cho KH, cần vè bàn bạc với gia đình</v>
      </c>
      <c r="K51" s="21"/>
      <c r="L51" s="21" t="str">
        <f>IF(LEN(VLOOKUP(A51,'RM-TRUNG'!A:V,11,0))=0,"",VLOOKUP(A51,'RM-TRUNG'!A:V,11,0))</f>
        <v/>
      </c>
      <c r="M51" s="21"/>
      <c r="N51" s="21" t="str">
        <f>IF(LEN(VLOOKUP(A51,'RM-TRUNG'!A:V,12,0))=0,"",VLOOKUP(A51,'RM-TRUNG'!A:V,12,0))</f>
        <v/>
      </c>
      <c r="O51" s="21"/>
      <c r="P51" s="21" t="str">
        <f>IF(LEN(VLOOKUP(A51,'RM-TRUNG'!A:V,13,0))=0,"",VLOOKUP(A51,'RM-TRUNG'!A:V,13,0))</f>
        <v/>
      </c>
      <c r="Q51" s="22">
        <f>IF(LEN(VLOOKUP(A51,'RM-TRUNG'!A:V,19,0))=0,"",VLOOKUP(A51,'RM-TRUNG'!A:V,19,0))</f>
        <v>10973196</v>
      </c>
      <c r="R51" s="22" t="str">
        <f>IF(LEN(VLOOKUP(A51,'RM-TRUNG'!A:V,20,0))=0,"",VLOOKUP(A51,'RM-TRUNG'!A:V,20,0))</f>
        <v>LÊ THỊ DIỆP KHANH</v>
      </c>
      <c r="S51" s="22" t="str">
        <f>IF(LEN(VLOOKUP(A51,'RM-TRUNG'!A:V,21,0))=0,"",VLOOKUP(A51,'RM-TRUNG'!A:V,21,0))</f>
        <v>GDV/KSV KHCN</v>
      </c>
      <c r="T51" s="22" t="str">
        <f>IF(LEN(VLOOKUP(A51,'RM-TRUNG'!A:V,18,0))=0,"",VLOOKUP(A51,'RM-TRUNG'!A:V,18,0))</f>
        <v>NGUYỄN THỊ NHẬT MI</v>
      </c>
      <c r="U51" s="22" t="str">
        <f>VLOOKUP(LEFT(A51,5),RM!A:B,2,0)</f>
        <v>Nguyễn Duy Trung</v>
      </c>
      <c r="V51" s="34" t="s">
        <v>173</v>
      </c>
      <c r="W51" s="22" t="str">
        <f>IF(LEN(VLOOKUP(A51,'RM-TRUNG'!A:V,15,0))=0,"",VLOOKUP(A51,'RM-TRUNG'!A:V,15,0))</f>
        <v>CN Thừa Thiên Huế</v>
      </c>
      <c r="X51" s="22" t="str">
        <f>IF(LEN(VLOOKUP(A51,'RM-TRUNG'!A:V,16,0))=0,"",VLOOKUP(A51,'RM-TRUNG'!A:V,16,0))</f>
        <v>Khu vực Miền Trung</v>
      </c>
    </row>
    <row r="52" spans="1:24" s="22" customFormat="1" x14ac:dyDescent="0.3">
      <c r="A52" s="15" t="s">
        <v>466</v>
      </c>
      <c r="B52" s="20" t="str">
        <f>IF(LEN(VLOOKUP(A52,'RM-TRUNG'!A:V,2,0))=0,"",VLOOKUP(A52,'RM-TRUNG'!A:V,2,0))</f>
        <v>Nguyễn Hoài Vinh</v>
      </c>
      <c r="C52" s="19"/>
      <c r="D52" s="19">
        <f>IF(IF(YEAR(IFERROR(VLOOKUP(A52,KH!A:N,4,0),""))&gt;1905,YEAR(IFERROR(VLOOKUP(A52,KH!A:N,4,0),"")),IFERROR(VLOOKUP(A52,KH!A:N,4,0),""))=0,"",IF(YEAR(IFERROR(VLOOKUP(A52,KH!A:N,4,0),""))&gt;1905,YEAR(IFERROR(VLOOKUP(A52,KH!A:N,4,0),"")),IFERROR(VLOOKUP(A52,KH!A:N,4,0),"")))</f>
        <v>1993</v>
      </c>
      <c r="E52" s="5">
        <f>IFERROR(VLOOKUP(A52,'RM-TRUNG'!A:V,6,0),"")</f>
        <v>45092</v>
      </c>
      <c r="F52" s="19" t="str">
        <f>PROPER(IFERROR(VLOOKUP(A52,'RM-TRUNG'!A:V,7,0),""))</f>
        <v>Khác</v>
      </c>
      <c r="G52" s="26">
        <f>IF(IFERROR(VLOOKUP(A52,'RM-TRUNG'!A:V,8,0),"")&lt;1000000,IFERROR(VLOOKUP(A52,'RM-TRUNG'!A:V,8,0),"")*1000000,IFERROR(VLOOKUP(A52,'RM-TRUNG'!A:V,8,0),""))</f>
        <v>12000004</v>
      </c>
      <c r="H52" s="19" t="str">
        <f>PROPER(IFERROR(VLOOKUP(A52,'RM-TRUNG'!A:V,9,0),""))</f>
        <v>Cần Follow Thêm</v>
      </c>
      <c r="I52" s="19"/>
      <c r="J52" s="21" t="str">
        <f>IF(LEN(VLOOKUP(A52,'RM-TRUNG'!A:V,10,0))=0,"",VLOOKUP(A52,'RM-TRUNG'!A:V,10,0))</f>
        <v>Đã gửi BMH cho kháhc hàng,sơ vấn qua điện thoại, hẹn gặp trực tiếp</v>
      </c>
      <c r="K52" s="21"/>
      <c r="L52" s="21" t="str">
        <f>IF(LEN(VLOOKUP(A52,'RM-TRUNG'!A:V,11,0))=0,"",VLOOKUP(A52,'RM-TRUNG'!A:V,11,0))</f>
        <v/>
      </c>
      <c r="M52" s="21"/>
      <c r="N52" s="21" t="str">
        <f>IF(LEN(VLOOKUP(A52,'RM-TRUNG'!A:V,12,0))=0,"",VLOOKUP(A52,'RM-TRUNG'!A:V,12,0))</f>
        <v/>
      </c>
      <c r="O52" s="21"/>
      <c r="P52" s="21" t="str">
        <f>IF(LEN(VLOOKUP(A52,'RM-TRUNG'!A:V,13,0))=0,"",VLOOKUP(A52,'RM-TRUNG'!A:V,13,0))</f>
        <v/>
      </c>
      <c r="Q52" s="22">
        <f>IF(LEN(VLOOKUP(A52,'RM-TRUNG'!A:V,19,0))=0,"",VLOOKUP(A52,'RM-TRUNG'!A:V,19,0))</f>
        <v>10761472</v>
      </c>
      <c r="R52" s="22" t="str">
        <f>IF(LEN(VLOOKUP(A52,'RM-TRUNG'!A:V,20,0))=0,"",VLOOKUP(A52,'RM-TRUNG'!A:V,20,0))</f>
        <v>Nguyễn Hữu Quốc Thịnh</v>
      </c>
      <c r="S52" s="22" t="str">
        <f>IF(LEN(VLOOKUP(A52,'RM-TRUNG'!A:V,21,0))=0,"",VLOOKUP(A52,'RM-TRUNG'!A:V,21,0))</f>
        <v>RM/TL KHCN</v>
      </c>
      <c r="T52" s="22" t="str">
        <f>IF(LEN(VLOOKUP(A52,'RM-TRUNG'!A:V,18,0))=0,"",VLOOKUP(A52,'RM-TRUNG'!A:V,18,0))</f>
        <v>NGUYỄN THỊ THANH HƯƠNG</v>
      </c>
      <c r="U52" s="22" t="str">
        <f>VLOOKUP(LEFT(A52,5),RM!A:B,2,0)</f>
        <v>Nguyễn Duy Trung</v>
      </c>
      <c r="V52" s="34" t="s">
        <v>175</v>
      </c>
      <c r="W52" s="22" t="str">
        <f>IF(LEN(VLOOKUP(A52,'RM-TRUNG'!A:V,15,0))=0,"",VLOOKUP(A52,'RM-TRUNG'!A:V,15,0))</f>
        <v>CN Đà Nẵng</v>
      </c>
      <c r="X52" s="22" t="str">
        <f>IF(LEN(VLOOKUP(A52,'RM-TRUNG'!A:V,16,0))=0,"",VLOOKUP(A52,'RM-TRUNG'!A:V,16,0))</f>
        <v>Khu vực Miền Trung</v>
      </c>
    </row>
    <row r="53" spans="1:24" s="22" customFormat="1" x14ac:dyDescent="0.3">
      <c r="A53" s="19" t="s">
        <v>467</v>
      </c>
      <c r="B53" s="20" t="str">
        <f>IF(LEN(VLOOKUP(A53,'RM-TRUNG'!A:V,2,0))=0,"",VLOOKUP(A53,'RM-TRUNG'!A:V,2,0))</f>
        <v>Trương Diệp Long</v>
      </c>
      <c r="C53" s="19"/>
      <c r="D53" s="19">
        <f>IF(IF(YEAR(IFERROR(VLOOKUP(A53,KH!A:N,4,0),""))&gt;1905,YEAR(IFERROR(VLOOKUP(A53,KH!A:N,4,0),"")),IFERROR(VLOOKUP(A53,KH!A:N,4,0),""))=0,"",IF(YEAR(IFERROR(VLOOKUP(A53,KH!A:N,4,0),""))&gt;1905,YEAR(IFERROR(VLOOKUP(A53,KH!A:N,4,0),"")),IFERROR(VLOOKUP(A53,KH!A:N,4,0),"")))</f>
        <v>1995</v>
      </c>
      <c r="E53" s="5">
        <f>IFERROR(VLOOKUP(A53,'RM-TRUNG'!A:V,6,0),"")</f>
        <v>45092</v>
      </c>
      <c r="F53" s="19" t="str">
        <f>PROPER(IFERROR(VLOOKUP(A53,'RM-TRUNG'!A:V,7,0),""))</f>
        <v>Khác</v>
      </c>
      <c r="G53" s="26">
        <f>IF(IFERROR(VLOOKUP(A53,'RM-TRUNG'!A:V,8,0),"")&lt;1000000,IFERROR(VLOOKUP(A53,'RM-TRUNG'!A:V,8,0),"")*1000000,IFERROR(VLOOKUP(A53,'RM-TRUNG'!A:V,8,0),""))</f>
        <v>12000005</v>
      </c>
      <c r="H53" s="19" t="str">
        <f>PROPER(IFERROR(VLOOKUP(A53,'RM-TRUNG'!A:V,9,0),""))</f>
        <v>Cần Follow Thêm</v>
      </c>
      <c r="I53" s="19"/>
      <c r="J53" s="21" t="str">
        <f>IF(LEN(VLOOKUP(A53,'RM-TRUNG'!A:V,10,0))=0,"",VLOOKUP(A53,'RM-TRUNG'!A:V,10,0))</f>
        <v>Đã gửi BMH cho kháhc hàng,sơ vấn qua điện thoại, hẹn gặp trực tiếp</v>
      </c>
      <c r="K53" s="21"/>
      <c r="L53" s="21" t="str">
        <f>IF(LEN(VLOOKUP(A53,'RM-TRUNG'!A:V,11,0))=0,"",VLOOKUP(A53,'RM-TRUNG'!A:V,11,0))</f>
        <v>KH từ chối vì chưa chuẩn bị được tài chính</v>
      </c>
      <c r="M53" s="21"/>
      <c r="N53" s="21" t="str">
        <f>IF(LEN(VLOOKUP(A53,'RM-TRUNG'!A:V,12,0))=0,"",VLOOKUP(A53,'RM-TRUNG'!A:V,12,0))</f>
        <v/>
      </c>
      <c r="O53" s="21"/>
      <c r="P53" s="21" t="str">
        <f>IF(LEN(VLOOKUP(A53,'RM-TRUNG'!A:V,13,0))=0,"",VLOOKUP(A53,'RM-TRUNG'!A:V,13,0))</f>
        <v/>
      </c>
      <c r="Q53" s="22">
        <f>IF(LEN(VLOOKUP(A53,'RM-TRUNG'!A:V,19,0))=0,"",VLOOKUP(A53,'RM-TRUNG'!A:V,19,0))</f>
        <v>10761473</v>
      </c>
      <c r="R53" s="22" t="str">
        <f>IF(LEN(VLOOKUP(A53,'RM-TRUNG'!A:V,20,0))=0,"",VLOOKUP(A53,'RM-TRUNG'!A:V,20,0))</f>
        <v>Nguyễn Hữu Quốc Thịnh</v>
      </c>
      <c r="S53" s="22" t="str">
        <f>IF(LEN(VLOOKUP(A53,'RM-TRUNG'!A:V,21,0))=0,"",VLOOKUP(A53,'RM-TRUNG'!A:V,21,0))</f>
        <v>RM/TL KHCN</v>
      </c>
      <c r="T53" s="22" t="str">
        <f>IF(LEN(VLOOKUP(A53,'RM-TRUNG'!A:V,18,0))=0,"",VLOOKUP(A53,'RM-TRUNG'!A:V,18,0))</f>
        <v>NGUYỄN THỊ THANH HƯƠNG</v>
      </c>
      <c r="U53" s="22" t="str">
        <f>VLOOKUP(LEFT(A53,5),RM!A:B,2,0)</f>
        <v>Nguyễn Duy Trung</v>
      </c>
      <c r="V53" s="34" t="s">
        <v>158</v>
      </c>
      <c r="W53" s="22" t="str">
        <f>IF(LEN(VLOOKUP(A53,'RM-TRUNG'!A:V,15,0))=0,"",VLOOKUP(A53,'RM-TRUNG'!A:V,15,0))</f>
        <v>CN Đà Nẵng</v>
      </c>
      <c r="X53" s="22" t="str">
        <f>IF(LEN(VLOOKUP(A53,'RM-TRUNG'!A:V,16,0))=0,"",VLOOKUP(A53,'RM-TRUNG'!A:V,16,0))</f>
        <v>Khu vực Miền Trung</v>
      </c>
    </row>
    <row r="54" spans="1:24" s="22" customFormat="1" x14ac:dyDescent="0.3">
      <c r="A54" s="15" t="s">
        <v>468</v>
      </c>
      <c r="B54" s="20" t="str">
        <f>IF(LEN(VLOOKUP(A54,'RM-TRUNG'!A:V,2,0))=0,"",VLOOKUP(A54,'RM-TRUNG'!A:V,2,0))</f>
        <v>Nguyễn Thị Xuân Giang</v>
      </c>
      <c r="C54" s="19"/>
      <c r="D54" s="19">
        <f>IF(IF(YEAR(IFERROR(VLOOKUP(A54,KH!A:N,4,0),""))&gt;1905,YEAR(IFERROR(VLOOKUP(A54,KH!A:N,4,0),"")),IFERROR(VLOOKUP(A54,KH!A:N,4,0),""))=0,"",IF(YEAR(IFERROR(VLOOKUP(A54,KH!A:N,4,0),""))&gt;1905,YEAR(IFERROR(VLOOKUP(A54,KH!A:N,4,0),"")),IFERROR(VLOOKUP(A54,KH!A:N,4,0),"")))</f>
        <v>1999</v>
      </c>
      <c r="E54" s="5">
        <f>IFERROR(VLOOKUP(A54,'RM-TRUNG'!A:V,6,0),"")</f>
        <v>45092</v>
      </c>
      <c r="F54" s="19" t="str">
        <f>PROPER(IFERROR(VLOOKUP(A54,'RM-TRUNG'!A:V,7,0),""))</f>
        <v>Khác</v>
      </c>
      <c r="G54" s="26">
        <f>IF(IFERROR(VLOOKUP(A54,'RM-TRUNG'!A:V,8,0),"")&lt;1000000,IFERROR(VLOOKUP(A54,'RM-TRUNG'!A:V,8,0),"")*1000000,IFERROR(VLOOKUP(A54,'RM-TRUNG'!A:V,8,0),""))</f>
        <v>12000000</v>
      </c>
      <c r="H54" s="19" t="str">
        <f>PROPER(IFERROR(VLOOKUP(A54,'RM-TRUNG'!A:V,9,0),""))</f>
        <v>Từ Chối</v>
      </c>
      <c r="I54" s="19"/>
      <c r="J54" s="21" t="str">
        <f>IF(LEN(VLOOKUP(A54,'RM-TRUNG'!A:V,10,0))=0,"",VLOOKUP(A54,'RM-TRUNG'!A:V,10,0))</f>
        <v>Đã gửi BMH cho kháhc hàng,sơ vấn qua điện thoại, hẹn gặp trực tiếp</v>
      </c>
      <c r="K54" s="21"/>
      <c r="L54" s="21" t="str">
        <f>IF(LEN(VLOOKUP(A54,'RM-TRUNG'!A:V,11,0))=0,"",VLOOKUP(A54,'RM-TRUNG'!A:V,11,0))</f>
        <v>KH từ chối khéo nghe tư vấn</v>
      </c>
      <c r="M54" s="21"/>
      <c r="N54" s="21" t="str">
        <f>IF(LEN(VLOOKUP(A54,'RM-TRUNG'!A:V,12,0))=0,"",VLOOKUP(A54,'RM-TRUNG'!A:V,12,0))</f>
        <v/>
      </c>
      <c r="O54" s="21"/>
      <c r="P54" s="21" t="str">
        <f>IF(LEN(VLOOKUP(A54,'RM-TRUNG'!A:V,13,0))=0,"",VLOOKUP(A54,'RM-TRUNG'!A:V,13,0))</f>
        <v/>
      </c>
      <c r="Q54" s="22" t="str">
        <f>IF(LEN(VLOOKUP(A54,'RM-TRUNG'!A:V,19,0))=0,"",VLOOKUP(A54,'RM-TRUNG'!A:V,19,0))</f>
        <v/>
      </c>
      <c r="R54" s="22" t="str">
        <f>IF(LEN(VLOOKUP(A54,'RM-TRUNG'!A:V,20,0))=0,"",VLOOKUP(A54,'RM-TRUNG'!A:V,20,0))</f>
        <v>Nguyễn Văn Xuân Trà</v>
      </c>
      <c r="S54" s="22" t="str">
        <f>IF(LEN(VLOOKUP(A54,'RM-TRUNG'!A:V,21,0))=0,"",VLOOKUP(A54,'RM-TRUNG'!A:V,21,0))</f>
        <v>RM/TL KHCN</v>
      </c>
      <c r="T54" s="22" t="str">
        <f>IF(LEN(VLOOKUP(A54,'RM-TRUNG'!A:V,18,0))=0,"",VLOOKUP(A54,'RM-TRUNG'!A:V,18,0))</f>
        <v>NGUYỄN THỊ THANH HƯƠNG</v>
      </c>
      <c r="U54" s="22" t="str">
        <f>VLOOKUP(LEFT(A54,5),RM!A:B,2,0)</f>
        <v>Nguyễn Duy Trung</v>
      </c>
      <c r="V54" s="34" t="s">
        <v>159</v>
      </c>
      <c r="W54" s="22" t="str">
        <f>IF(LEN(VLOOKUP(A54,'RM-TRUNG'!A:V,15,0))=0,"",VLOOKUP(A54,'RM-TRUNG'!A:V,15,0))</f>
        <v>CN Ngô Quyền</v>
      </c>
      <c r="X54" s="22" t="str">
        <f>IF(LEN(VLOOKUP(A54,'RM-TRUNG'!A:V,16,0))=0,"",VLOOKUP(A54,'RM-TRUNG'!A:V,16,0))</f>
        <v>Khu vực Miền Trung</v>
      </c>
    </row>
    <row r="55" spans="1:24" s="22" customFormat="1" x14ac:dyDescent="0.3">
      <c r="A55" s="19" t="s">
        <v>469</v>
      </c>
      <c r="B55" s="20" t="str">
        <f>IF(LEN(VLOOKUP(A55,'RM-TRUNG'!A:V,2,0))=0,"",VLOOKUP(A55,'RM-TRUNG'!A:V,2,0))</f>
        <v>Nguyễn Thanh Vân</v>
      </c>
      <c r="C55" s="19"/>
      <c r="D55" s="19">
        <f>IF(IF(YEAR(IFERROR(VLOOKUP(A55,KH!A:N,4,0),""))&gt;1905,YEAR(IFERROR(VLOOKUP(A55,KH!A:N,4,0),"")),IFERROR(VLOOKUP(A55,KH!A:N,4,0),""))=0,"",IF(YEAR(IFERROR(VLOOKUP(A55,KH!A:N,4,0),""))&gt;1905,YEAR(IFERROR(VLOOKUP(A55,KH!A:N,4,0),"")),IFERROR(VLOOKUP(A55,KH!A:N,4,0),"")))</f>
        <v>1974</v>
      </c>
      <c r="E55" s="5">
        <f>IFERROR(VLOOKUP(A55,'RM-TRUNG'!A:V,6,0),"")</f>
        <v>45092</v>
      </c>
      <c r="F55" s="19" t="str">
        <f>PROPER(IFERROR(VLOOKUP(A55,'RM-TRUNG'!A:V,7,0),""))</f>
        <v>Khác</v>
      </c>
      <c r="G55" s="26">
        <f>IF(IFERROR(VLOOKUP(A55,'RM-TRUNG'!A:V,8,0),"")&lt;1000000,IFERROR(VLOOKUP(A55,'RM-TRUNG'!A:V,8,0),"")*1000000,IFERROR(VLOOKUP(A55,'RM-TRUNG'!A:V,8,0),""))</f>
        <v>12000001</v>
      </c>
      <c r="H55" s="19" t="str">
        <f>PROPER(IFERROR(VLOOKUP(A55,'RM-TRUNG'!A:V,9,0),""))</f>
        <v>Từ Chối</v>
      </c>
      <c r="I55" s="19"/>
      <c r="J55" s="21" t="str">
        <f>IF(LEN(VLOOKUP(A55,'RM-TRUNG'!A:V,10,0))=0,"",VLOOKUP(A55,'RM-TRUNG'!A:V,10,0))</f>
        <v>Đã gửi BMH cho kháhc hàng,sơ vấn qua điện thoại, hẹn gặp trực tiếp</v>
      </c>
      <c r="K55" s="21"/>
      <c r="L55" s="21" t="str">
        <f>IF(LEN(VLOOKUP(A55,'RM-TRUNG'!A:V,11,0))=0,"",VLOOKUP(A55,'RM-TRUNG'!A:V,11,0))</f>
        <v/>
      </c>
      <c r="M55" s="21"/>
      <c r="N55" s="21" t="str">
        <f>IF(LEN(VLOOKUP(A55,'RM-TRUNG'!A:V,12,0))=0,"",VLOOKUP(A55,'RM-TRUNG'!A:V,12,0))</f>
        <v/>
      </c>
      <c r="O55" s="21"/>
      <c r="P55" s="21" t="str">
        <f>IF(LEN(VLOOKUP(A55,'RM-TRUNG'!A:V,13,0))=0,"",VLOOKUP(A55,'RM-TRUNG'!A:V,13,0))</f>
        <v/>
      </c>
      <c r="Q55" s="22">
        <f>IF(LEN(VLOOKUP(A55,'RM-TRUNG'!A:V,19,0))=0,"",VLOOKUP(A55,'RM-TRUNG'!A:V,19,0))</f>
        <v>11142498</v>
      </c>
      <c r="R55" s="22" t="str">
        <f>IF(LEN(VLOOKUP(A55,'RM-TRUNG'!A:V,20,0))=0,"",VLOOKUP(A55,'RM-TRUNG'!A:V,20,0))</f>
        <v>Thái Vân Khánh</v>
      </c>
      <c r="S55" s="22" t="str">
        <f>IF(LEN(VLOOKUP(A55,'RM-TRUNG'!A:V,21,0))=0,"",VLOOKUP(A55,'RM-TRUNG'!A:V,21,0))</f>
        <v>GDV/KSV KHCN</v>
      </c>
      <c r="T55" s="22" t="str">
        <f>IF(LEN(VLOOKUP(A55,'RM-TRUNG'!A:V,18,0))=0,"",VLOOKUP(A55,'RM-TRUNG'!A:V,18,0))</f>
        <v>NGUYỄN THỊ THANH HƯƠNG</v>
      </c>
      <c r="U55" s="22" t="str">
        <f>VLOOKUP(LEFT(A55,5),RM!A:B,2,0)</f>
        <v>Nguyễn Duy Trung</v>
      </c>
      <c r="V55" s="34" t="s">
        <v>160</v>
      </c>
      <c r="W55" s="22" t="str">
        <f>IF(LEN(VLOOKUP(A55,'RM-TRUNG'!A:V,15,0))=0,"",VLOOKUP(A55,'RM-TRUNG'!A:V,15,0))</f>
        <v>CN Ngô Quyền</v>
      </c>
      <c r="X55" s="22" t="str">
        <f>IF(LEN(VLOOKUP(A55,'RM-TRUNG'!A:V,16,0))=0,"",VLOOKUP(A55,'RM-TRUNG'!A:V,16,0))</f>
        <v>Khu vực Miền Trung</v>
      </c>
    </row>
    <row r="56" spans="1:24" s="22" customFormat="1" x14ac:dyDescent="0.3">
      <c r="A56" s="15" t="s">
        <v>470</v>
      </c>
      <c r="B56" s="20" t="str">
        <f>IF(LEN(VLOOKUP(A56,'RM-TRUNG'!A:V,2,0))=0,"",VLOOKUP(A56,'RM-TRUNG'!A:V,2,0))</f>
        <v>Lê Quang Thanh</v>
      </c>
      <c r="C56" s="19"/>
      <c r="D56" s="19">
        <f>IF(IF(YEAR(IFERROR(VLOOKUP(A56,KH!A:N,4,0),""))&gt;1905,YEAR(IFERROR(VLOOKUP(A56,KH!A:N,4,0),"")),IFERROR(VLOOKUP(A56,KH!A:N,4,0),""))=0,"",IF(YEAR(IFERROR(VLOOKUP(A56,KH!A:N,4,0),""))&gt;1905,YEAR(IFERROR(VLOOKUP(A56,KH!A:N,4,0),"")),IFERROR(VLOOKUP(A56,KH!A:N,4,0),"")))</f>
        <v>1979</v>
      </c>
      <c r="E56" s="5">
        <f>IFERROR(VLOOKUP(A56,'RM-TRUNG'!A:V,6,0),"")</f>
        <v>45092</v>
      </c>
      <c r="F56" s="19" t="str">
        <f>PROPER(IFERROR(VLOOKUP(A56,'RM-TRUNG'!A:V,7,0),""))</f>
        <v>Khác</v>
      </c>
      <c r="G56" s="26">
        <f>IF(IFERROR(VLOOKUP(A56,'RM-TRUNG'!A:V,8,0),"")&lt;1000000,IFERROR(VLOOKUP(A56,'RM-TRUNG'!A:V,8,0),"")*1000000,IFERROR(VLOOKUP(A56,'RM-TRUNG'!A:V,8,0),""))</f>
        <v>12000002</v>
      </c>
      <c r="H56" s="19" t="str">
        <f>PROPER(IFERROR(VLOOKUP(A56,'RM-TRUNG'!A:V,9,0),""))</f>
        <v>Từ Chối</v>
      </c>
      <c r="I56" s="19"/>
      <c r="J56" s="21" t="str">
        <f>IF(LEN(VLOOKUP(A56,'RM-TRUNG'!A:V,10,0))=0,"",VLOOKUP(A56,'RM-TRUNG'!A:V,10,0))</f>
        <v>Đã gửi BMH cho kháhc hàng,sơ vấn qua điện thoại, hẹn gặp trực tiếp</v>
      </c>
      <c r="K56" s="21"/>
      <c r="L56" s="21" t="str">
        <f>IF(LEN(VLOOKUP(A56,'RM-TRUNG'!A:V,11,0))=0,"",VLOOKUP(A56,'RM-TRUNG'!A:V,11,0))</f>
        <v/>
      </c>
      <c r="M56" s="21"/>
      <c r="N56" s="21" t="str">
        <f>IF(LEN(VLOOKUP(A56,'RM-TRUNG'!A:V,12,0))=0,"",VLOOKUP(A56,'RM-TRUNG'!A:V,12,0))</f>
        <v/>
      </c>
      <c r="O56" s="21"/>
      <c r="P56" s="21" t="str">
        <f>IF(LEN(VLOOKUP(A56,'RM-TRUNG'!A:V,13,0))=0,"",VLOOKUP(A56,'RM-TRUNG'!A:V,13,0))</f>
        <v/>
      </c>
      <c r="Q56" s="22">
        <f>IF(LEN(VLOOKUP(A56,'RM-TRUNG'!A:V,19,0))=0,"",VLOOKUP(A56,'RM-TRUNG'!A:V,19,0))</f>
        <v>11142498</v>
      </c>
      <c r="R56" s="22" t="str">
        <f>IF(LEN(VLOOKUP(A56,'RM-TRUNG'!A:V,20,0))=0,"",VLOOKUP(A56,'RM-TRUNG'!A:V,20,0))</f>
        <v>Thái Vân Khánh</v>
      </c>
      <c r="S56" s="22" t="str">
        <f>IF(LEN(VLOOKUP(A56,'RM-TRUNG'!A:V,21,0))=0,"",VLOOKUP(A56,'RM-TRUNG'!A:V,21,0))</f>
        <v>GDV/KSV KHCN</v>
      </c>
      <c r="T56" s="22" t="str">
        <f>IF(LEN(VLOOKUP(A56,'RM-TRUNG'!A:V,18,0))=0,"",VLOOKUP(A56,'RM-TRUNG'!A:V,18,0))</f>
        <v>NGUYỄN THỊ THANH HƯƠNG</v>
      </c>
      <c r="U56" s="22" t="str">
        <f>VLOOKUP(LEFT(A56,5),RM!A:B,2,0)</f>
        <v>Nguyễn Duy Trung</v>
      </c>
      <c r="V56" s="34" t="s">
        <v>161</v>
      </c>
      <c r="W56" s="22" t="str">
        <f>IF(LEN(VLOOKUP(A56,'RM-TRUNG'!A:V,15,0))=0,"",VLOOKUP(A56,'RM-TRUNG'!A:V,15,0))</f>
        <v>CN Ngô Quyền</v>
      </c>
      <c r="X56" s="22" t="str">
        <f>IF(LEN(VLOOKUP(A56,'RM-TRUNG'!A:V,16,0))=0,"",VLOOKUP(A56,'RM-TRUNG'!A:V,16,0))</f>
        <v>Khu vực Miền Trung</v>
      </c>
    </row>
    <row r="57" spans="1:24" s="22" customFormat="1" x14ac:dyDescent="0.3">
      <c r="A57" s="19" t="s">
        <v>471</v>
      </c>
      <c r="B57" s="20" t="str">
        <f>IF(LEN(VLOOKUP(A57,'RM-TRUNG'!A:V,2,0))=0,"",VLOOKUP(A57,'RM-TRUNG'!A:V,2,0))</f>
        <v>Trương Thị Tuyết Sương</v>
      </c>
      <c r="C57" s="19"/>
      <c r="D57" s="19">
        <f>IF(IF(YEAR(IFERROR(VLOOKUP(A57,KH!A:N,4,0),""))&gt;1905,YEAR(IFERROR(VLOOKUP(A57,KH!A:N,4,0),"")),IFERROR(VLOOKUP(A57,KH!A:N,4,0),""))=0,"",IF(YEAR(IFERROR(VLOOKUP(A57,KH!A:N,4,0),""))&gt;1905,YEAR(IFERROR(VLOOKUP(A57,KH!A:N,4,0),"")),IFERROR(VLOOKUP(A57,KH!A:N,4,0),"")))</f>
        <v>1984</v>
      </c>
      <c r="E57" s="5">
        <f>IFERROR(VLOOKUP(A57,'RM-TRUNG'!A:V,6,0),"")</f>
        <v>45092</v>
      </c>
      <c r="F57" s="19" t="str">
        <f>PROPER(IFERROR(VLOOKUP(A57,'RM-TRUNG'!A:V,7,0),""))</f>
        <v>Khác</v>
      </c>
      <c r="G57" s="26">
        <f>IF(IFERROR(VLOOKUP(A57,'RM-TRUNG'!A:V,8,0),"")&lt;1000000,IFERROR(VLOOKUP(A57,'RM-TRUNG'!A:V,8,0),"")*1000000,IFERROR(VLOOKUP(A57,'RM-TRUNG'!A:V,8,0),""))</f>
        <v>12000003</v>
      </c>
      <c r="H57" s="19" t="str">
        <f>PROPER(IFERROR(VLOOKUP(A57,'RM-TRUNG'!A:V,9,0),""))</f>
        <v>Cần Follow Thêm</v>
      </c>
      <c r="I57" s="19"/>
      <c r="J57" s="21" t="str">
        <f>IF(LEN(VLOOKUP(A57,'RM-TRUNG'!A:V,10,0))=0,"",VLOOKUP(A57,'RM-TRUNG'!A:V,10,0))</f>
        <v>Đã gửi BMH cho kháhc hàng,sơ vấn qua điện thoại, hẹn gặp trực tiếp</v>
      </c>
      <c r="K57" s="21"/>
      <c r="L57" s="21" t="str">
        <f>IF(LEN(VLOOKUP(A57,'RM-TRUNG'!A:V,11,0))=0,"",VLOOKUP(A57,'RM-TRUNG'!A:V,11,0))</f>
        <v>Gia đình không đồng ý</v>
      </c>
      <c r="M57" s="21"/>
      <c r="N57" s="21" t="str">
        <f>IF(LEN(VLOOKUP(A57,'RM-TRUNG'!A:V,12,0))=0,"",VLOOKUP(A57,'RM-TRUNG'!A:V,12,0))</f>
        <v/>
      </c>
      <c r="O57" s="21"/>
      <c r="P57" s="21" t="str">
        <f>IF(LEN(VLOOKUP(A57,'RM-TRUNG'!A:V,13,0))=0,"",VLOOKUP(A57,'RM-TRUNG'!A:V,13,0))</f>
        <v/>
      </c>
      <c r="Q57" s="22">
        <f>IF(LEN(VLOOKUP(A57,'RM-TRUNG'!A:V,19,0))=0,"",VLOOKUP(A57,'RM-TRUNG'!A:V,19,0))</f>
        <v>10702626</v>
      </c>
      <c r="R57" s="22" t="str">
        <f>IF(LEN(VLOOKUP(A57,'RM-TRUNG'!A:V,20,0))=0,"",VLOOKUP(A57,'RM-TRUNG'!A:V,20,0))</f>
        <v>Đoàn Ngọc Khánh Vân</v>
      </c>
      <c r="S57" s="22" t="str">
        <f>IF(LEN(VLOOKUP(A57,'RM-TRUNG'!A:V,21,0))=0,"",VLOOKUP(A57,'RM-TRUNG'!A:V,21,0))</f>
        <v>RM/TL KHCN</v>
      </c>
      <c r="T57" s="22" t="str">
        <f>IF(LEN(VLOOKUP(A57,'RM-TRUNG'!A:V,18,0))=0,"",VLOOKUP(A57,'RM-TRUNG'!A:V,18,0))</f>
        <v>NGUYỄN THỊ THANH HƯƠNG</v>
      </c>
      <c r="U57" s="22" t="str">
        <f>VLOOKUP(LEFT(A57,5),RM!A:B,2,0)</f>
        <v>Nguyễn Duy Trung</v>
      </c>
      <c r="V57" s="34" t="s">
        <v>162</v>
      </c>
      <c r="W57" s="22" t="str">
        <f>IF(LEN(VLOOKUP(A57,'RM-TRUNG'!A:V,15,0))=0,"",VLOOKUP(A57,'RM-TRUNG'!A:V,15,0))</f>
        <v>CN Ngô Quyền</v>
      </c>
      <c r="X57" s="22" t="str">
        <f>IF(LEN(VLOOKUP(A57,'RM-TRUNG'!A:V,16,0))=0,"",VLOOKUP(A57,'RM-TRUNG'!A:V,16,0))</f>
        <v>Khu vực Miền Trung</v>
      </c>
    </row>
    <row r="58" spans="1:24" s="22" customFormat="1" x14ac:dyDescent="0.3">
      <c r="A58" s="15" t="s">
        <v>472</v>
      </c>
      <c r="B58" s="20" t="str">
        <f>IF(LEN(VLOOKUP(A58,'RM-TRUNG'!A:V,2,0))=0,"",VLOOKUP(A58,'RM-TRUNG'!A:V,2,0))</f>
        <v>Trương Thị Tuyết Nương</v>
      </c>
      <c r="C58" s="19"/>
      <c r="D58" s="19">
        <f>IF(IF(YEAR(IFERROR(VLOOKUP(A58,KH!A:N,4,0),""))&gt;1905,YEAR(IFERROR(VLOOKUP(A58,KH!A:N,4,0),"")),IFERROR(VLOOKUP(A58,KH!A:N,4,0),""))=0,"",IF(YEAR(IFERROR(VLOOKUP(A58,KH!A:N,4,0),""))&gt;1905,YEAR(IFERROR(VLOOKUP(A58,KH!A:N,4,0),"")),IFERROR(VLOOKUP(A58,KH!A:N,4,0),"")))</f>
        <v>1995</v>
      </c>
      <c r="E58" s="5">
        <f>IFERROR(VLOOKUP(A58,'RM-TRUNG'!A:V,6,0),"")</f>
        <v>45092</v>
      </c>
      <c r="F58" s="19" t="str">
        <f>PROPER(IFERROR(VLOOKUP(A58,'RM-TRUNG'!A:V,7,0),""))</f>
        <v>Khác</v>
      </c>
      <c r="G58" s="26">
        <f>IF(IFERROR(VLOOKUP(A58,'RM-TRUNG'!A:V,8,0),"")&lt;1000000,IFERROR(VLOOKUP(A58,'RM-TRUNG'!A:V,8,0),"")*1000000,IFERROR(VLOOKUP(A58,'RM-TRUNG'!A:V,8,0),""))</f>
        <v>12000006</v>
      </c>
      <c r="H58" s="19" t="str">
        <f>PROPER(IFERROR(VLOOKUP(A58,'RM-TRUNG'!A:V,9,0),""))</f>
        <v>Cần Follow Thêm</v>
      </c>
      <c r="I58" s="19"/>
      <c r="J58" s="21" t="str">
        <f>IF(LEN(VLOOKUP(A58,'RM-TRUNG'!A:V,10,0))=0,"",VLOOKUP(A58,'RM-TRUNG'!A:V,10,0))</f>
        <v>Đã gửi BMH cho kháhc hàng,sơ vấn qua điện thoại, hẹn gặp trực tiếp</v>
      </c>
      <c r="K58" s="21"/>
      <c r="L58" s="21" t="str">
        <f>IF(LEN(VLOOKUP(A58,'RM-TRUNG'!A:V,11,0))=0,"",VLOOKUP(A58,'RM-TRUNG'!A:V,11,0))</f>
        <v/>
      </c>
      <c r="M58" s="21"/>
      <c r="N58" s="21" t="str">
        <f>IF(LEN(VLOOKUP(A58,'RM-TRUNG'!A:V,12,0))=0,"",VLOOKUP(A58,'RM-TRUNG'!A:V,12,0))</f>
        <v/>
      </c>
      <c r="O58" s="21"/>
      <c r="P58" s="21" t="str">
        <f>IF(LEN(VLOOKUP(A58,'RM-TRUNG'!A:V,13,0))=0,"",VLOOKUP(A58,'RM-TRUNG'!A:V,13,0))</f>
        <v/>
      </c>
      <c r="Q58" s="22">
        <f>IF(LEN(VLOOKUP(A58,'RM-TRUNG'!A:V,19,0))=0,"",VLOOKUP(A58,'RM-TRUNG'!A:V,19,0))</f>
        <v>10047164</v>
      </c>
      <c r="R58" s="22" t="str">
        <f>IF(LEN(VLOOKUP(A58,'RM-TRUNG'!A:V,20,0))=0,"",VLOOKUP(A58,'RM-TRUNG'!A:V,20,0))</f>
        <v>Đoàn Thanh Tùng</v>
      </c>
      <c r="S58" s="22" t="str">
        <f>IF(LEN(VLOOKUP(A58,'RM-TRUNG'!A:V,21,0))=0,"",VLOOKUP(A58,'RM-TRUNG'!A:V,21,0))</f>
        <v>RM/TL KHCN</v>
      </c>
      <c r="T58" s="22" t="str">
        <f>IF(LEN(VLOOKUP(A58,'RM-TRUNG'!A:V,18,0))=0,"",VLOOKUP(A58,'RM-TRUNG'!A:V,18,0))</f>
        <v>NGUYỄN THỊ THANH HƯƠNG</v>
      </c>
      <c r="U58" s="22" t="str">
        <f>VLOOKUP(LEFT(A58,5),RM!A:B,2,0)</f>
        <v>Nguyễn Duy Trung</v>
      </c>
      <c r="V58" s="34" t="s">
        <v>163</v>
      </c>
      <c r="W58" s="22" t="str">
        <f>IF(LEN(VLOOKUP(A58,'RM-TRUNG'!A:V,15,0))=0,"",VLOOKUP(A58,'RM-TRUNG'!A:V,15,0))</f>
        <v>CN Ngô Quyền</v>
      </c>
      <c r="X58" s="22" t="str">
        <f>IF(LEN(VLOOKUP(A58,'RM-TRUNG'!A:V,16,0))=0,"",VLOOKUP(A58,'RM-TRUNG'!A:V,16,0))</f>
        <v>Khu vực Miền Trung</v>
      </c>
    </row>
    <row r="59" spans="1:24" s="22" customFormat="1" x14ac:dyDescent="0.3">
      <c r="A59" s="19" t="s">
        <v>473</v>
      </c>
      <c r="B59" s="20" t="str">
        <f>IF(LEN(VLOOKUP(A59,'RM-TRUNG'!A:V,2,0))=0,"",VLOOKUP(A59,'RM-TRUNG'!A:V,2,0))</f>
        <v>Nguyễn Trung Hiếu</v>
      </c>
      <c r="C59" s="19"/>
      <c r="D59" s="19">
        <f>IF(IF(YEAR(IFERROR(VLOOKUP(A59,KH!A:N,4,0),""))&gt;1905,YEAR(IFERROR(VLOOKUP(A59,KH!A:N,4,0),"")),IFERROR(VLOOKUP(A59,KH!A:N,4,0),""))=0,"",IF(YEAR(IFERROR(VLOOKUP(A59,KH!A:N,4,0),""))&gt;1905,YEAR(IFERROR(VLOOKUP(A59,KH!A:N,4,0),"")),IFERROR(VLOOKUP(A59,KH!A:N,4,0),"")))</f>
        <v>1996</v>
      </c>
      <c r="E59" s="5">
        <f>IFERROR(VLOOKUP(A59,'RM-TRUNG'!A:V,6,0),"")</f>
        <v>45092</v>
      </c>
      <c r="F59" s="19" t="str">
        <f>PROPER(IFERROR(VLOOKUP(A59,'RM-TRUNG'!A:V,7,0),""))</f>
        <v>Khác</v>
      </c>
      <c r="G59" s="26">
        <f>IF(IFERROR(VLOOKUP(A59,'RM-TRUNG'!A:V,8,0),"")&lt;1000000,IFERROR(VLOOKUP(A59,'RM-TRUNG'!A:V,8,0),"")*1000000,IFERROR(VLOOKUP(A59,'RM-TRUNG'!A:V,8,0),""))</f>
        <v>16104000</v>
      </c>
      <c r="H59" s="19" t="str">
        <f>PROPER(IFERROR(VLOOKUP(A59,'RM-TRUNG'!A:V,9,0),""))</f>
        <v>Chốt Deal</v>
      </c>
      <c r="I59" s="19"/>
      <c r="J59" s="21" t="str">
        <f>IF(LEN(VLOOKUP(A59,'RM-TRUNG'!A:V,10,0))=0,"",VLOOKUP(A59,'RM-TRUNG'!A:V,10,0))</f>
        <v xml:space="preserve">Chốt deal </v>
      </c>
      <c r="K59" s="21"/>
      <c r="L59" s="21" t="str">
        <f>IF(LEN(VLOOKUP(A59,'RM-TRUNG'!A:V,11,0))=0,"",VLOOKUP(A59,'RM-TRUNG'!A:V,11,0))</f>
        <v/>
      </c>
      <c r="M59" s="21"/>
      <c r="N59" s="21" t="str">
        <f>IF(LEN(VLOOKUP(A59,'RM-TRUNG'!A:V,12,0))=0,"",VLOOKUP(A59,'RM-TRUNG'!A:V,12,0))</f>
        <v/>
      </c>
      <c r="O59" s="21"/>
      <c r="P59" s="21" t="str">
        <f>IF(LEN(VLOOKUP(A59,'RM-TRUNG'!A:V,13,0))=0,"",VLOOKUP(A59,'RM-TRUNG'!A:V,13,0))</f>
        <v/>
      </c>
      <c r="Q59" s="22">
        <f>IF(LEN(VLOOKUP(A59,'RM-TRUNG'!A:V,19,0))=0,"",VLOOKUP(A59,'RM-TRUNG'!A:V,19,0))</f>
        <v>10841463</v>
      </c>
      <c r="R59" s="22" t="str">
        <f>IF(LEN(VLOOKUP(A59,'RM-TRUNG'!A:V,20,0))=0,"",VLOOKUP(A59,'RM-TRUNG'!A:V,20,0))</f>
        <v>Nguyễn Trung Hiếu</v>
      </c>
      <c r="S59" s="22" t="str">
        <f>IF(LEN(VLOOKUP(A59,'RM-TRUNG'!A:V,21,0))=0,"",VLOOKUP(A59,'RM-TRUNG'!A:V,21,0))</f>
        <v>RM/TL KHCN</v>
      </c>
      <c r="T59" s="22" t="str">
        <f>IF(LEN(VLOOKUP(A59,'RM-TRUNG'!A:V,18,0))=0,"",VLOOKUP(A59,'RM-TRUNG'!A:V,18,0))</f>
        <v>NGUYỄN THỊ HOÀNG PHƯƠNG</v>
      </c>
      <c r="U59" s="22" t="str">
        <f>VLOOKUP(LEFT(A59,5),RM!A:B,2,0)</f>
        <v>Nguyễn Duy Trung</v>
      </c>
      <c r="V59" s="34" t="s">
        <v>164</v>
      </c>
      <c r="W59" s="22" t="str">
        <f>IF(LEN(VLOOKUP(A59,'RM-TRUNG'!A:V,15,0))=0,"",VLOOKUP(A59,'RM-TRUNG'!A:V,15,0))</f>
        <v>CN Nguyễn Hữu Thọ</v>
      </c>
      <c r="X59" s="22" t="str">
        <f>IF(LEN(VLOOKUP(A59,'RM-TRUNG'!A:V,16,0))=0,"",VLOOKUP(A59,'RM-TRUNG'!A:V,16,0))</f>
        <v>Khu vực Miền Trung</v>
      </c>
    </row>
    <row r="60" spans="1:24" s="22" customFormat="1" x14ac:dyDescent="0.3">
      <c r="A60" s="15" t="s">
        <v>474</v>
      </c>
      <c r="B60" s="20" t="str">
        <f>IF(LEN(VLOOKUP(A60,'RM-TRUNG'!A:V,2,0))=0,"",VLOOKUP(A60,'RM-TRUNG'!A:V,2,0))</f>
        <v>NGUYỄN THỊ HẢI TRIỀU</v>
      </c>
      <c r="C60" s="19"/>
      <c r="D60" s="19">
        <f>IF(IF(YEAR(IFERROR(VLOOKUP(A60,KH!A:N,4,0),""))&gt;1905,YEAR(IFERROR(VLOOKUP(A60,KH!A:N,4,0),"")),IFERROR(VLOOKUP(A60,KH!A:N,4,0),""))=0,"",IF(YEAR(IFERROR(VLOOKUP(A60,KH!A:N,4,0),""))&gt;1905,YEAR(IFERROR(VLOOKUP(A60,KH!A:N,4,0),"")),IFERROR(VLOOKUP(A60,KH!A:N,4,0),"")))</f>
        <v>1994</v>
      </c>
      <c r="E60" s="5">
        <f>IFERROR(VLOOKUP(A60,'RM-TRUNG'!A:V,6,0),"")</f>
        <v>45092</v>
      </c>
      <c r="F60" s="19" t="str">
        <f>PROPER(IFERROR(VLOOKUP(A60,'RM-TRUNG'!A:V,7,0),""))</f>
        <v>Khác</v>
      </c>
      <c r="G60" s="26">
        <f>IF(IFERROR(VLOOKUP(A60,'RM-TRUNG'!A:V,8,0),"")&lt;1000000,IFERROR(VLOOKUP(A60,'RM-TRUNG'!A:V,8,0),"")*1000000,IFERROR(VLOOKUP(A60,'RM-TRUNG'!A:V,8,0),""))</f>
        <v>10325000</v>
      </c>
      <c r="H60" s="19" t="str">
        <f>PROPER(IFERROR(VLOOKUP(A60,'RM-TRUNG'!A:V,9,0),""))</f>
        <v>Chốt Deal</v>
      </c>
      <c r="I60" s="19"/>
      <c r="J60" s="21" t="str">
        <f>IF(LEN(VLOOKUP(A60,'RM-TRUNG'!A:V,10,0))=0,"",VLOOKUP(A60,'RM-TRUNG'!A:V,10,0))</f>
        <v>CCB muốn tìm hiểu về sp</v>
      </c>
      <c r="K60" s="21"/>
      <c r="L60" s="21" t="str">
        <f>IF(LEN(VLOOKUP(A60,'RM-TRUNG'!A:V,11,0))=0,"",VLOOKUP(A60,'RM-TRUNG'!A:V,11,0))</f>
        <v>KH CHỐT DEAL</v>
      </c>
      <c r="M60" s="21"/>
      <c r="N60" s="21" t="str">
        <f>IF(LEN(VLOOKUP(A60,'RM-TRUNG'!A:V,12,0))=0,"",VLOOKUP(A60,'RM-TRUNG'!A:V,12,0))</f>
        <v/>
      </c>
      <c r="O60" s="21"/>
      <c r="P60" s="21" t="str">
        <f>IF(LEN(VLOOKUP(A60,'RM-TRUNG'!A:V,13,0))=0,"",VLOOKUP(A60,'RM-TRUNG'!A:V,13,0))</f>
        <v/>
      </c>
      <c r="Q60" s="22">
        <f>IF(LEN(VLOOKUP(A60,'RM-TRUNG'!A:V,19,0))=0,"",VLOOKUP(A60,'RM-TRUNG'!A:V,19,0))</f>
        <v>11136157</v>
      </c>
      <c r="R60" s="22" t="str">
        <f>IF(LEN(VLOOKUP(A60,'RM-TRUNG'!A:V,20,0))=0,"",VLOOKUP(A60,'RM-TRUNG'!A:V,20,0))</f>
        <v>NGUYỄN THỊ HẢI TRIỀU</v>
      </c>
      <c r="S60" s="22" t="str">
        <f>IF(LEN(VLOOKUP(A60,'RM-TRUNG'!A:V,21,0))=0,"",VLOOKUP(A60,'RM-TRUNG'!A:V,21,0))</f>
        <v>GDV/KSV KHCN</v>
      </c>
      <c r="T60" s="22" t="str">
        <f>IF(LEN(VLOOKUP(A60,'RM-TRUNG'!A:V,18,0))=0,"",VLOOKUP(A60,'RM-TRUNG'!A:V,18,0))</f>
        <v>NGUYỄN THỊ NHẬT MI</v>
      </c>
      <c r="U60" s="22" t="str">
        <f>VLOOKUP(LEFT(A60,5),RM!A:B,2,0)</f>
        <v>Nguyễn Duy Trung</v>
      </c>
      <c r="V60" s="34" t="s">
        <v>151</v>
      </c>
      <c r="W60" s="22" t="str">
        <f>IF(LEN(VLOOKUP(A60,'RM-TRUNG'!A:V,15,0))=0,"",VLOOKUP(A60,'RM-TRUNG'!A:V,15,0))</f>
        <v>CN Thừa Thiên Huế</v>
      </c>
      <c r="X60" s="22" t="str">
        <f>IF(LEN(VLOOKUP(A60,'RM-TRUNG'!A:V,16,0))=0,"",VLOOKUP(A60,'RM-TRUNG'!A:V,16,0))</f>
        <v>Khu vực Miền Trung</v>
      </c>
    </row>
    <row r="61" spans="1:24" s="22" customFormat="1" x14ac:dyDescent="0.3">
      <c r="A61" s="19" t="s">
        <v>475</v>
      </c>
      <c r="B61" s="20" t="str">
        <f>IF(LEN(VLOOKUP(A61,'RM-TRUNG'!A:V,2,0))=0,"",VLOOKUP(A61,'RM-TRUNG'!A:V,2,0))</f>
        <v>HOÀNG DIỄM THƯ</v>
      </c>
      <c r="C61" s="19"/>
      <c r="D61" s="19">
        <f>IF(IF(YEAR(IFERROR(VLOOKUP(A61,KH!A:N,4,0),""))&gt;1905,YEAR(IFERROR(VLOOKUP(A61,KH!A:N,4,0),"")),IFERROR(VLOOKUP(A61,KH!A:N,4,0),""))=0,"",IF(YEAR(IFERROR(VLOOKUP(A61,KH!A:N,4,0),""))&gt;1905,YEAR(IFERROR(VLOOKUP(A61,KH!A:N,4,0),"")),IFERROR(VLOOKUP(A61,KH!A:N,4,0),"")))</f>
        <v>1989</v>
      </c>
      <c r="E61" s="5">
        <f>IFERROR(VLOOKUP(A61,'RM-TRUNG'!A:V,6,0),"")</f>
        <v>45092</v>
      </c>
      <c r="F61" s="19" t="str">
        <f>PROPER(IFERROR(VLOOKUP(A61,'RM-TRUNG'!A:V,7,0),""))</f>
        <v>Khác</v>
      </c>
      <c r="G61" s="26">
        <f>IF(IFERROR(VLOOKUP(A61,'RM-TRUNG'!A:V,8,0),"")&lt;1000000,IFERROR(VLOOKUP(A61,'RM-TRUNG'!A:V,8,0),"")*1000000,IFERROR(VLOOKUP(A61,'RM-TRUNG'!A:V,8,0),""))</f>
        <v>15500000</v>
      </c>
      <c r="H61" s="19" t="str">
        <f>PROPER(IFERROR(VLOOKUP(A61,'RM-TRUNG'!A:V,9,0),""))</f>
        <v xml:space="preserve"> Tiềm Năng </v>
      </c>
      <c r="I61" s="19"/>
      <c r="J61" s="21" t="str">
        <f>IF(LEN(VLOOKUP(A61,'RM-TRUNG'!A:V,10,0))=0,"",VLOOKUP(A61,'RM-TRUNG'!A:V,10,0))</f>
        <v>CBB muốn tìm hiểu sp chồng và con</v>
      </c>
      <c r="K61" s="21"/>
      <c r="L61" s="21" t="str">
        <f>IF(LEN(VLOOKUP(A61,'RM-TRUNG'!A:V,11,0))=0,"",VLOOKUP(A61,'RM-TRUNG'!A:V,11,0))</f>
        <v/>
      </c>
      <c r="M61" s="21"/>
      <c r="N61" s="21" t="str">
        <f>IF(LEN(VLOOKUP(A61,'RM-TRUNG'!A:V,12,0))=0,"",VLOOKUP(A61,'RM-TRUNG'!A:V,12,0))</f>
        <v/>
      </c>
      <c r="O61" s="21"/>
      <c r="P61" s="21" t="str">
        <f>IF(LEN(VLOOKUP(A61,'RM-TRUNG'!A:V,13,0))=0,"",VLOOKUP(A61,'RM-TRUNG'!A:V,13,0))</f>
        <v/>
      </c>
      <c r="Q61" s="22">
        <f>IF(LEN(VLOOKUP(A61,'RM-TRUNG'!A:V,19,0))=0,"",VLOOKUP(A61,'RM-TRUNG'!A:V,19,0))</f>
        <v>10168561</v>
      </c>
      <c r="R61" s="22" t="str">
        <f>IF(LEN(VLOOKUP(A61,'RM-TRUNG'!A:V,20,0))=0,"",VLOOKUP(A61,'RM-TRUNG'!A:V,20,0))</f>
        <v>HOÀNG DIỄM THƯ</v>
      </c>
      <c r="S61" s="22" t="str">
        <f>IF(LEN(VLOOKUP(A61,'RM-TRUNG'!A:V,21,0))=0,"",VLOOKUP(A61,'RM-TRUNG'!A:V,21,0))</f>
        <v>RM/TL KHCN</v>
      </c>
      <c r="T61" s="22" t="str">
        <f>IF(LEN(VLOOKUP(A61,'RM-TRUNG'!A:V,18,0))=0,"",VLOOKUP(A61,'RM-TRUNG'!A:V,18,0))</f>
        <v>NGUYỄN THỊ NHẬT MI</v>
      </c>
      <c r="U61" s="22" t="str">
        <f>VLOOKUP(LEFT(A61,5),RM!A:B,2,0)</f>
        <v>Nguyễn Duy Trung</v>
      </c>
      <c r="V61" s="34" t="s">
        <v>152</v>
      </c>
      <c r="W61" s="22" t="str">
        <f>IF(LEN(VLOOKUP(A61,'RM-TRUNG'!A:V,15,0))=0,"",VLOOKUP(A61,'RM-TRUNG'!A:V,15,0))</f>
        <v>CN Thừa Thiên Huế</v>
      </c>
      <c r="X61" s="22" t="str">
        <f>IF(LEN(VLOOKUP(A61,'RM-TRUNG'!A:V,16,0))=0,"",VLOOKUP(A61,'RM-TRUNG'!A:V,16,0))</f>
        <v>Khu vực Miền Trung</v>
      </c>
    </row>
    <row r="62" spans="1:24" s="22" customFormat="1" x14ac:dyDescent="0.3">
      <c r="A62" s="15" t="s">
        <v>476</v>
      </c>
      <c r="B62" s="20" t="str">
        <f>IF(LEN(VLOOKUP(A62,'RM-TRUNG'!A:V,2,0))=0,"",VLOOKUP(A62,'RM-TRUNG'!A:V,2,0))</f>
        <v>ĐINH THỊ QUỲNH CHÂU</v>
      </c>
      <c r="C62" s="19"/>
      <c r="D62" s="19" t="str">
        <f>IF(IF(YEAR(IFERROR(VLOOKUP(A62,KH!A:N,4,0),""))&gt;1905,YEAR(IFERROR(VLOOKUP(A62,KH!A:N,4,0),"")),IFERROR(VLOOKUP(A62,KH!A:N,4,0),""))=0,"",IF(YEAR(IFERROR(VLOOKUP(A62,KH!A:N,4,0),""))&gt;1905,YEAR(IFERROR(VLOOKUP(A62,KH!A:N,4,0),"")),IFERROR(VLOOKUP(A62,KH!A:N,4,0),"")))</f>
        <v/>
      </c>
      <c r="E62" s="5">
        <f>IFERROR(VLOOKUP(A62,'RM-TRUNG'!A:V,6,0),"")</f>
        <v>45089</v>
      </c>
      <c r="F62" s="19" t="str">
        <f>PROPER(IFERROR(VLOOKUP(A62,'RM-TRUNG'!A:V,7,0),""))</f>
        <v>Huy Động</v>
      </c>
      <c r="G62" s="26">
        <f>IF(IFERROR(VLOOKUP(A62,'RM-TRUNG'!A:V,8,0),"")&lt;1000000,IFERROR(VLOOKUP(A62,'RM-TRUNG'!A:V,8,0),"")*1000000,IFERROR(VLOOKUP(A62,'RM-TRUNG'!A:V,8,0),""))</f>
        <v>15200000</v>
      </c>
      <c r="H62" s="19" t="str">
        <f>PROPER(IFERROR(VLOOKUP(A62,'RM-TRUNG'!A:V,9,0),""))</f>
        <v>Chốt Deal</v>
      </c>
      <c r="I62" s="19"/>
      <c r="J62" s="21" t="str">
        <f>IF(LEN(VLOOKUP(A62,'RM-TRUNG'!A:V,10,0))=0,"",VLOOKUP(A62,'RM-TRUNG'!A:V,10,0))</f>
        <v>Chốt deal, khách hàng đã nghe tư vấn kĩ về quyền lợi của sản phẩm</v>
      </c>
      <c r="K62" s="21"/>
      <c r="L62" s="21" t="str">
        <f>IF(LEN(VLOOKUP(A62,'RM-TRUNG'!A:V,11,0))=0,"",VLOOKUP(A62,'RM-TRUNG'!A:V,11,0))</f>
        <v>Chốt deal thành công</v>
      </c>
      <c r="M62" s="21"/>
      <c r="N62" s="21" t="str">
        <f>IF(LEN(VLOOKUP(A62,'RM-TRUNG'!A:V,12,0))=0,"",VLOOKUP(A62,'RM-TRUNG'!A:V,12,0))</f>
        <v/>
      </c>
      <c r="O62" s="21"/>
      <c r="P62" s="21" t="str">
        <f>IF(LEN(VLOOKUP(A62,'RM-TRUNG'!A:V,13,0))=0,"",VLOOKUP(A62,'RM-TRUNG'!A:V,13,0))</f>
        <v/>
      </c>
      <c r="Q62" s="22">
        <f>IF(LEN(VLOOKUP(A62,'RM-TRUNG'!A:V,19,0))=0,"",VLOOKUP(A62,'RM-TRUNG'!A:V,19,0))</f>
        <v>11141765</v>
      </c>
      <c r="R62" s="22" t="str">
        <f>IF(LEN(VLOOKUP(A62,'RM-TRUNG'!A:V,20,0))=0,"",VLOOKUP(A62,'RM-TRUNG'!A:V,20,0))</f>
        <v>PHẠM LÊ ANH THƠ</v>
      </c>
      <c r="S62" s="22" t="str">
        <f>IF(LEN(VLOOKUP(A62,'RM-TRUNG'!A:V,21,0))=0,"",VLOOKUP(A62,'RM-TRUNG'!A:V,21,0))</f>
        <v>GDV/KSV KHCN</v>
      </c>
      <c r="T62" s="22" t="str">
        <f>IF(LEN(VLOOKUP(A62,'RM-TRUNG'!A:V,18,0))=0,"",VLOOKUP(A62,'RM-TRUNG'!A:V,18,0))</f>
        <v>NGUYỄN THỊ THUỲ</v>
      </c>
      <c r="U62" s="22" t="str">
        <f>VLOOKUP(LEFT(A62,5),RM!A:B,2,0)</f>
        <v>Nguyễn Duy Trung</v>
      </c>
      <c r="V62" s="34" t="s">
        <v>153</v>
      </c>
      <c r="W62" s="22" t="str">
        <f>IF(LEN(VLOOKUP(A62,'RM-TRUNG'!A:V,15,0))=0,"",VLOOKUP(A62,'RM-TRUNG'!A:V,15,0))</f>
        <v>CN Đông Ba</v>
      </c>
      <c r="X62" s="22" t="str">
        <f>IF(LEN(VLOOKUP(A62,'RM-TRUNG'!A:V,16,0))=0,"",VLOOKUP(A62,'RM-TRUNG'!A:V,16,0))</f>
        <v>Khu vực Miền Trung</v>
      </c>
    </row>
    <row r="63" spans="1:24" s="22" customFormat="1" x14ac:dyDescent="0.3">
      <c r="A63" s="19" t="s">
        <v>477</v>
      </c>
      <c r="B63" s="20" t="str">
        <f>IF(LEN(VLOOKUP(A63,'RM-TRUNG'!A:V,2,0))=0,"",VLOOKUP(A63,'RM-TRUNG'!A:V,2,0))</f>
        <v>Lê Hà Tuấn</v>
      </c>
      <c r="C63" s="19"/>
      <c r="D63" s="19">
        <f>IF(IF(YEAR(IFERROR(VLOOKUP(A63,KH!A:N,4,0),""))&gt;1905,YEAR(IFERROR(VLOOKUP(A63,KH!A:N,4,0),"")),IFERROR(VLOOKUP(A63,KH!A:N,4,0),""))=0,"",IF(YEAR(IFERROR(VLOOKUP(A63,KH!A:N,4,0),""))&gt;1905,YEAR(IFERROR(VLOOKUP(A63,KH!A:N,4,0),"")),IFERROR(VLOOKUP(A63,KH!A:N,4,0),"")))</f>
        <v>1983</v>
      </c>
      <c r="E63" s="5">
        <f>IFERROR(VLOOKUP(A63,'RM-TRUNG'!A:V,6,0),"")</f>
        <v>45096</v>
      </c>
      <c r="F63" s="19" t="str">
        <f>PROPER(IFERROR(VLOOKUP(A63,'RM-TRUNG'!A:V,7,0),""))</f>
        <v>Khác</v>
      </c>
      <c r="G63" s="26">
        <f>IF(IFERROR(VLOOKUP(A63,'RM-TRUNG'!A:V,8,0),"")&lt;1000000,IFERROR(VLOOKUP(A63,'RM-TRUNG'!A:V,8,0),"")*1000000,IFERROR(VLOOKUP(A63,'RM-TRUNG'!A:V,8,0),""))</f>
        <v>10000000</v>
      </c>
      <c r="H63" s="19" t="str">
        <f>PROPER(IFERROR(VLOOKUP(A63,'RM-TRUNG'!A:V,9,0),""))</f>
        <v>Cần Follow Thêm</v>
      </c>
      <c r="I63" s="19"/>
      <c r="J63" s="21" t="str">
        <f>IF(LEN(VLOOKUP(A63,'RM-TRUNG'!A:V,10,0))=0,"",VLOOKUP(A63,'RM-TRUNG'!A:V,10,0))</f>
        <v>Đã liên hệ, gửi BMH cho Kh</v>
      </c>
      <c r="K63" s="21"/>
      <c r="L63" s="21" t="str">
        <f>IF(LEN(VLOOKUP(A63,'RM-TRUNG'!A:V,11,0))=0,"",VLOOKUP(A63,'RM-TRUNG'!A:V,11,0))</f>
        <v/>
      </c>
      <c r="M63" s="21"/>
      <c r="N63" s="21" t="str">
        <f>IF(LEN(VLOOKUP(A63,'RM-TRUNG'!A:V,12,0))=0,"",VLOOKUP(A63,'RM-TRUNG'!A:V,12,0))</f>
        <v/>
      </c>
      <c r="O63" s="21"/>
      <c r="P63" s="21" t="str">
        <f>IF(LEN(VLOOKUP(A63,'RM-TRUNG'!A:V,13,0))=0,"",VLOOKUP(A63,'RM-TRUNG'!A:V,13,0))</f>
        <v/>
      </c>
      <c r="Q63" s="22">
        <f>IF(LEN(VLOOKUP(A63,'RM-TRUNG'!A:V,19,0))=0,"",VLOOKUP(A63,'RM-TRUNG'!A:V,19,0))</f>
        <v>10958130</v>
      </c>
      <c r="R63" s="22" t="str">
        <f>IF(LEN(VLOOKUP(A63,'RM-TRUNG'!A:V,20,0))=0,"",VLOOKUP(A63,'RM-TRUNG'!A:V,20,0))</f>
        <v>Lê Thục Ngân</v>
      </c>
      <c r="S63" s="22" t="str">
        <f>IF(LEN(VLOOKUP(A63,'RM-TRUNG'!A:V,21,0))=0,"",VLOOKUP(A63,'RM-TRUNG'!A:V,21,0))</f>
        <v>RM/TL KHDN</v>
      </c>
      <c r="T63" s="22" t="str">
        <f>IF(LEN(VLOOKUP(A63,'RM-TRUNG'!A:V,18,0))=0,"",VLOOKUP(A63,'RM-TRUNG'!A:V,18,0))</f>
        <v>NGUYỄN THỊ THANH HƯƠNG</v>
      </c>
      <c r="U63" s="22" t="str">
        <f>VLOOKUP(LEFT(A63,5),RM!A:B,2,0)</f>
        <v>Nguyễn Duy Trung</v>
      </c>
      <c r="V63" s="34" t="s">
        <v>154</v>
      </c>
      <c r="W63" s="22" t="str">
        <f>IF(LEN(VLOOKUP(A63,'RM-TRUNG'!A:V,15,0))=0,"",VLOOKUP(A63,'RM-TRUNG'!A:V,15,0))</f>
        <v>CN Đà Nẵng</v>
      </c>
      <c r="X63" s="22" t="str">
        <f>IF(LEN(VLOOKUP(A63,'RM-TRUNG'!A:V,16,0))=0,"",VLOOKUP(A63,'RM-TRUNG'!A:V,16,0))</f>
        <v>Khu vực Miền Trung</v>
      </c>
    </row>
    <row r="64" spans="1:24" s="22" customFormat="1" x14ac:dyDescent="0.3">
      <c r="A64" s="15" t="s">
        <v>478</v>
      </c>
      <c r="B64" s="20" t="str">
        <f>IF(LEN(VLOOKUP(A64,'RM-TRUNG'!A:V,2,0))=0,"",VLOOKUP(A64,'RM-TRUNG'!A:V,2,0))</f>
        <v>Nguyễn Quang Trung</v>
      </c>
      <c r="C64" s="19"/>
      <c r="D64" s="19">
        <f>IF(IF(YEAR(IFERROR(VLOOKUP(A64,KH!A:N,4,0),""))&gt;1905,YEAR(IFERROR(VLOOKUP(A64,KH!A:N,4,0),"")),IFERROR(VLOOKUP(A64,KH!A:N,4,0),""))=0,"",IF(YEAR(IFERROR(VLOOKUP(A64,KH!A:N,4,0),""))&gt;1905,YEAR(IFERROR(VLOOKUP(A64,KH!A:N,4,0),"")),IFERROR(VLOOKUP(A64,KH!A:N,4,0),"")))</f>
        <v>1985</v>
      </c>
      <c r="E64" s="5">
        <f>IFERROR(VLOOKUP(A64,'RM-TRUNG'!A:V,6,0),"")</f>
        <v>45096</v>
      </c>
      <c r="F64" s="19" t="str">
        <f>PROPER(IFERROR(VLOOKUP(A64,'RM-TRUNG'!A:V,7,0),""))</f>
        <v>Khác</v>
      </c>
      <c r="G64" s="26">
        <f>IF(IFERROR(VLOOKUP(A64,'RM-TRUNG'!A:V,8,0),"")&lt;1000000,IFERROR(VLOOKUP(A64,'RM-TRUNG'!A:V,8,0),"")*1000000,IFERROR(VLOOKUP(A64,'RM-TRUNG'!A:V,8,0),""))</f>
        <v>20000000</v>
      </c>
      <c r="H64" s="19" t="str">
        <f>PROPER(IFERROR(VLOOKUP(A64,'RM-TRUNG'!A:V,9,0),""))</f>
        <v>Cần Follow Thêm</v>
      </c>
      <c r="I64" s="19"/>
      <c r="J64" s="21" t="str">
        <f>IF(LEN(VLOOKUP(A64,'RM-TRUNG'!A:V,10,0))=0,"",VLOOKUP(A64,'RM-TRUNG'!A:V,10,0))</f>
        <v>chị Trang banker (muốn tìm hiểu tham gia cho ck)</v>
      </c>
      <c r="K64" s="21"/>
      <c r="L64" s="21" t="str">
        <f>IF(LEN(VLOOKUP(A64,'RM-TRUNG'!A:V,11,0))=0,"",VLOOKUP(A64,'RM-TRUNG'!A:V,11,0))</f>
        <v/>
      </c>
      <c r="M64" s="21"/>
      <c r="N64" s="21" t="str">
        <f>IF(LEN(VLOOKUP(A64,'RM-TRUNG'!A:V,12,0))=0,"",VLOOKUP(A64,'RM-TRUNG'!A:V,12,0))</f>
        <v/>
      </c>
      <c r="O64" s="21"/>
      <c r="P64" s="21" t="str">
        <f>IF(LEN(VLOOKUP(A64,'RM-TRUNG'!A:V,13,0))=0,"",VLOOKUP(A64,'RM-TRUNG'!A:V,13,0))</f>
        <v/>
      </c>
      <c r="Q64" s="22">
        <f>IF(LEN(VLOOKUP(A64,'RM-TRUNG'!A:V,19,0))=0,"",VLOOKUP(A64,'RM-TRUNG'!A:V,19,0))</f>
        <v>10958130</v>
      </c>
      <c r="R64" s="22" t="str">
        <f>IF(LEN(VLOOKUP(A64,'RM-TRUNG'!A:V,20,0))=0,"",VLOOKUP(A64,'RM-TRUNG'!A:V,20,0))</f>
        <v>Lê Thục Ngân</v>
      </c>
      <c r="S64" s="22" t="str">
        <f>IF(LEN(VLOOKUP(A64,'RM-TRUNG'!A:V,21,0))=0,"",VLOOKUP(A64,'RM-TRUNG'!A:V,21,0))</f>
        <v>RM/TL KHDN</v>
      </c>
      <c r="T64" s="22" t="str">
        <f>IF(LEN(VLOOKUP(A64,'RM-TRUNG'!A:V,18,0))=0,"",VLOOKUP(A64,'RM-TRUNG'!A:V,18,0))</f>
        <v>NGUYỄN THỊ THANH HƯƠNG</v>
      </c>
      <c r="U64" s="22" t="str">
        <f>VLOOKUP(LEFT(A64,5),RM!A:B,2,0)</f>
        <v>Nguyễn Duy Trung</v>
      </c>
      <c r="V64" s="34" t="s">
        <v>165</v>
      </c>
      <c r="W64" s="22" t="str">
        <f>IF(LEN(VLOOKUP(A64,'RM-TRUNG'!A:V,15,0))=0,"",VLOOKUP(A64,'RM-TRUNG'!A:V,15,0))</f>
        <v>CN Đà Nẵng</v>
      </c>
      <c r="X64" s="22" t="str">
        <f>IF(LEN(VLOOKUP(A64,'RM-TRUNG'!A:V,16,0))=0,"",VLOOKUP(A64,'RM-TRUNG'!A:V,16,0))</f>
        <v>Khu vực Miền Trung</v>
      </c>
    </row>
    <row r="65" spans="1:24" s="35" customFormat="1" x14ac:dyDescent="0.3">
      <c r="A65" s="19" t="s">
        <v>479</v>
      </c>
      <c r="B65" s="20" t="str">
        <f>IF(LEN(VLOOKUP(A65,'RM-TRUNG'!A:V,2,0))=0,"",VLOOKUP(A65,'RM-TRUNG'!A:V,2,0))</f>
        <v>NGUYỄN THỊ THU HÀ</v>
      </c>
      <c r="C65" s="19"/>
      <c r="D65" s="19">
        <f>IF(IF(YEAR(IFERROR(VLOOKUP(A65,KH!A:N,4,0),""))&gt;1905,YEAR(IFERROR(VLOOKUP(A65,KH!A:N,4,0),"")),IFERROR(VLOOKUP(A65,KH!A:N,4,0),""))=0,"",IF(YEAR(IFERROR(VLOOKUP(A65,KH!A:N,4,0),""))&gt;1905,YEAR(IFERROR(VLOOKUP(A65,KH!A:N,4,0),"")),IFERROR(VLOOKUP(A65,KH!A:N,4,0),"")))</f>
        <v>1976</v>
      </c>
      <c r="E65" s="5">
        <f>IFERROR(VLOOKUP(A65,'RM-TRUNG'!A:V,6,0),"")</f>
        <v>45096</v>
      </c>
      <c r="F65" s="19" t="str">
        <f>PROPER(IFERROR(VLOOKUP(A65,'RM-TRUNG'!A:V,7,0),""))</f>
        <v>Huy Động</v>
      </c>
      <c r="G65" s="26">
        <f>IF(IFERROR(VLOOKUP(A65,'RM-TRUNG'!A:V,8,0),"")&lt;1000000,IFERROR(VLOOKUP(A65,'RM-TRUNG'!A:V,8,0),"")*1000000,IFERROR(VLOOKUP(A65,'RM-TRUNG'!A:V,8,0),""))</f>
        <v>20000000</v>
      </c>
      <c r="H65" s="19" t="str">
        <f>PROPER(IFERROR(VLOOKUP(A65,'RM-TRUNG'!A:V,9,0),""))</f>
        <v>Cần Follow Thêm</v>
      </c>
      <c r="I65" s="19"/>
      <c r="J65" s="21" t="str">
        <f>IF(LEN(VLOOKUP(A65,'RM-TRUNG'!A:V,10,0))=0,"",VLOOKUP(A65,'RM-TRUNG'!A:V,10,0))</f>
        <v>Hỏi ý kiến chồng, đã tư vấn BMH, suy nghĩ  thêm, chăm sóc thêm</v>
      </c>
      <c r="K65" s="21"/>
      <c r="L65" s="21" t="str">
        <f>IF(LEN(VLOOKUP(A65,'RM-TRUNG'!A:V,11,0))=0,"",VLOOKUP(A65,'RM-TRUNG'!A:V,11,0))</f>
        <v/>
      </c>
      <c r="M65" s="21"/>
      <c r="N65" s="21" t="str">
        <f>IF(LEN(VLOOKUP(A65,'RM-TRUNG'!A:V,12,0))=0,"",VLOOKUP(A65,'RM-TRUNG'!A:V,12,0))</f>
        <v/>
      </c>
      <c r="O65" s="21"/>
      <c r="P65" s="21" t="str">
        <f>IF(LEN(VLOOKUP(A65,'RM-TRUNG'!A:V,13,0))=0,"",VLOOKUP(A65,'RM-TRUNG'!A:V,13,0))</f>
        <v/>
      </c>
      <c r="Q65" s="22">
        <f>IF(LEN(VLOOKUP(A65,'RM-TRUNG'!A:V,19,0))=0,"",VLOOKUP(A65,'RM-TRUNG'!A:V,19,0))</f>
        <v>10838924</v>
      </c>
      <c r="R65" s="22" t="str">
        <f>IF(LEN(VLOOKUP(A65,'RM-TRUNG'!A:V,20,0))=0,"",VLOOKUP(A65,'RM-TRUNG'!A:V,20,0))</f>
        <v>HOÀNG THỊ MINH THƯ</v>
      </c>
      <c r="S65" s="22" t="str">
        <f>IF(LEN(VLOOKUP(A65,'RM-TRUNG'!A:V,21,0))=0,"",VLOOKUP(A65,'RM-TRUNG'!A:V,21,0))</f>
        <v>GDV/KSV KHCN</v>
      </c>
      <c r="T65" s="22" t="str">
        <f>IF(LEN(VLOOKUP(A65,'RM-TRUNG'!A:V,18,0))=0,"",VLOOKUP(A65,'RM-TRUNG'!A:V,18,0))</f>
        <v>NGUYỄN THỊ THUỲ</v>
      </c>
      <c r="U65" s="22" t="str">
        <f>VLOOKUP(LEFT(A65,5),RM!A:B,2,0)</f>
        <v>Nguyễn Duy Trung</v>
      </c>
      <c r="V65" s="34" t="s">
        <v>166</v>
      </c>
      <c r="W65" s="22" t="str">
        <f>IF(LEN(VLOOKUP(A65,'RM-TRUNG'!A:V,15,0))=0,"",VLOOKUP(A65,'RM-TRUNG'!A:V,15,0))</f>
        <v>CN Đông Ba</v>
      </c>
      <c r="X65" s="22" t="str">
        <f>IF(LEN(VLOOKUP(A65,'RM-TRUNG'!A:V,16,0))=0,"",VLOOKUP(A65,'RM-TRUNG'!A:V,16,0))</f>
        <v>Khu vực Miền Trung</v>
      </c>
    </row>
    <row r="66" spans="1:24" s="35" customFormat="1" x14ac:dyDescent="0.3">
      <c r="A66" s="15" t="s">
        <v>480</v>
      </c>
      <c r="B66" s="20" t="str">
        <f>IF(LEN(VLOOKUP(A66,'RM-TRUNG'!A:V,2,0))=0,"",VLOOKUP(A66,'RM-TRUNG'!A:V,2,0))</f>
        <v>TỐNG PHƯỚC TÍCH</v>
      </c>
      <c r="C66" s="19"/>
      <c r="D66" s="19">
        <f>IF(IF(YEAR(IFERROR(VLOOKUP(A66,KH!A:N,4,0),""))&gt;1905,YEAR(IFERROR(VLOOKUP(A66,KH!A:N,4,0),"")),IFERROR(VLOOKUP(A66,KH!A:N,4,0),""))=0,"",IF(YEAR(IFERROR(VLOOKUP(A66,KH!A:N,4,0),""))&gt;1905,YEAR(IFERROR(VLOOKUP(A66,KH!A:N,4,0),"")),IFERROR(VLOOKUP(A66,KH!A:N,4,0),"")))</f>
        <v>1974</v>
      </c>
      <c r="E66" s="5">
        <f>IFERROR(VLOOKUP(A66,'RM-TRUNG'!A:V,6,0),"")</f>
        <v>45096</v>
      </c>
      <c r="F66" s="19" t="str">
        <f>PROPER(IFERROR(VLOOKUP(A66,'RM-TRUNG'!A:V,7,0),""))</f>
        <v>Huy Động</v>
      </c>
      <c r="G66" s="26">
        <f>IF(IFERROR(VLOOKUP(A66,'RM-TRUNG'!A:V,8,0),"")&lt;1000000,IFERROR(VLOOKUP(A66,'RM-TRUNG'!A:V,8,0),"")*1000000,IFERROR(VLOOKUP(A66,'RM-TRUNG'!A:V,8,0),""))</f>
        <v>25000000</v>
      </c>
      <c r="H66" s="19" t="str">
        <f>PROPER(IFERROR(VLOOKUP(A66,'RM-TRUNG'!A:V,9,0),""))</f>
        <v>Cần Follow Thêm</v>
      </c>
      <c r="I66" s="19"/>
      <c r="J66" s="21" t="str">
        <f>IF(LEN(VLOOKUP(A66,'RM-TRUNG'!A:V,10,0))=0,"",VLOOKUP(A66,'RM-TRUNG'!A:V,10,0))</f>
        <v>Đã nghe tư vấn bảng minh họa. Khách bị tiểu đường, cần cân nhắc thêm</v>
      </c>
      <c r="K66" s="21"/>
      <c r="L66" s="21" t="str">
        <f>IF(LEN(VLOOKUP(A66,'RM-TRUNG'!A:V,11,0))=0,"",VLOOKUP(A66,'RM-TRUNG'!A:V,11,0))</f>
        <v/>
      </c>
      <c r="M66" s="21"/>
      <c r="N66" s="21" t="str">
        <f>IF(LEN(VLOOKUP(A66,'RM-TRUNG'!A:V,12,0))=0,"",VLOOKUP(A66,'RM-TRUNG'!A:V,12,0))</f>
        <v/>
      </c>
      <c r="O66" s="21"/>
      <c r="P66" s="21" t="str">
        <f>IF(LEN(VLOOKUP(A66,'RM-TRUNG'!A:V,13,0))=0,"",VLOOKUP(A66,'RM-TRUNG'!A:V,13,0))</f>
        <v/>
      </c>
      <c r="Q66" s="22">
        <f>IF(LEN(VLOOKUP(A66,'RM-TRUNG'!A:V,19,0))=0,"",VLOOKUP(A66,'RM-TRUNG'!A:V,19,0))</f>
        <v>10109018</v>
      </c>
      <c r="R66" s="22" t="str">
        <f>IF(LEN(VLOOKUP(A66,'RM-TRUNG'!A:V,20,0))=0,"",VLOOKUP(A66,'RM-TRUNG'!A:V,20,0))</f>
        <v>LÊ THỊ THU HẰNG</v>
      </c>
      <c r="S66" s="22" t="str">
        <f>IF(LEN(VLOOKUP(A66,'RM-TRUNG'!A:V,21,0))=0,"",VLOOKUP(A66,'RM-TRUNG'!A:V,21,0))</f>
        <v>GDV/KSV KHCN</v>
      </c>
      <c r="T66" s="22" t="str">
        <f>IF(LEN(VLOOKUP(A66,'RM-TRUNG'!A:V,18,0))=0,"",VLOOKUP(A66,'RM-TRUNG'!A:V,18,0))</f>
        <v>NGUYỄN THỊ THUỲ</v>
      </c>
      <c r="U66" s="22" t="str">
        <f>VLOOKUP(LEFT(A66,5),RM!A:B,2,0)</f>
        <v>Nguyễn Duy Trung</v>
      </c>
      <c r="V66" s="34" t="s">
        <v>167</v>
      </c>
      <c r="W66" s="22" t="str">
        <f>IF(LEN(VLOOKUP(A66,'RM-TRUNG'!A:V,15,0))=0,"",VLOOKUP(A66,'RM-TRUNG'!A:V,15,0))</f>
        <v>CN Đông Ba</v>
      </c>
      <c r="X66" s="22" t="str">
        <f>IF(LEN(VLOOKUP(A66,'RM-TRUNG'!A:V,16,0))=0,"",VLOOKUP(A66,'RM-TRUNG'!A:V,16,0))</f>
        <v>Khu vực Miền Trung</v>
      </c>
    </row>
    <row r="67" spans="1:24" s="35" customFormat="1" x14ac:dyDescent="0.3">
      <c r="A67" s="19" t="s">
        <v>481</v>
      </c>
      <c r="B67" s="20" t="str">
        <f>IF(LEN(VLOOKUP(A67,'RM-TRUNG'!A:V,2,0))=0,"",VLOOKUP(A67,'RM-TRUNG'!A:V,2,0))</f>
        <v>Nguyễn Thị Thu Thuỷ</v>
      </c>
      <c r="C67" s="19"/>
      <c r="D67" s="19" t="str">
        <f>IF(IF(YEAR(IFERROR(VLOOKUP(A67,KH!A:N,4,0),""))&gt;1905,YEAR(IFERROR(VLOOKUP(A67,KH!A:N,4,0),"")),IFERROR(VLOOKUP(A67,KH!A:N,4,0),""))=0,"",IF(YEAR(IFERROR(VLOOKUP(A67,KH!A:N,4,0),""))&gt;1905,YEAR(IFERROR(VLOOKUP(A67,KH!A:N,4,0),"")),IFERROR(VLOOKUP(A67,KH!A:N,4,0),"")))</f>
        <v/>
      </c>
      <c r="E67" s="5">
        <f>IFERROR(VLOOKUP(A67,'RM-TRUNG'!A:V,6,0),"")</f>
        <v>45096</v>
      </c>
      <c r="F67" s="19" t="str">
        <f>PROPER(IFERROR(VLOOKUP(A67,'RM-TRUNG'!A:V,7,0),""))</f>
        <v>Khác</v>
      </c>
      <c r="G67" s="26">
        <f>IF(IFERROR(VLOOKUP(A67,'RM-TRUNG'!A:V,8,0),"")&lt;1000000,IFERROR(VLOOKUP(A67,'RM-TRUNG'!A:V,8,0),"")*1000000,IFERROR(VLOOKUP(A67,'RM-TRUNG'!A:V,8,0),""))</f>
        <v>10798000</v>
      </c>
      <c r="H67" s="19" t="str">
        <f>PROPER(IFERROR(VLOOKUP(A67,'RM-TRUNG'!A:V,9,0),""))</f>
        <v>Cần Follow Thêm</v>
      </c>
      <c r="I67" s="19"/>
      <c r="J67" s="21" t="str">
        <f>IF(LEN(VLOOKUP(A67,'RM-TRUNG'!A:V,10,0))=0,"",VLOOKUP(A67,'RM-TRUNG'!A:V,10,0))</f>
        <v>Khách hàng đồng ý nghe tư vấn, cần suy nghĩ thêm</v>
      </c>
      <c r="K67" s="21"/>
      <c r="L67" s="21" t="str">
        <f>IF(LEN(VLOOKUP(A67,'RM-TRUNG'!A:V,11,0))=0,"",VLOOKUP(A67,'RM-TRUNG'!A:V,11,0))</f>
        <v>KH từ chối</v>
      </c>
      <c r="M67" s="21"/>
      <c r="N67" s="21" t="str">
        <f>IF(LEN(VLOOKUP(A67,'RM-TRUNG'!A:V,12,0))=0,"",VLOOKUP(A67,'RM-TRUNG'!A:V,12,0))</f>
        <v/>
      </c>
      <c r="O67" s="21"/>
      <c r="P67" s="21" t="str">
        <f>IF(LEN(VLOOKUP(A67,'RM-TRUNG'!A:V,13,0))=0,"",VLOOKUP(A67,'RM-TRUNG'!A:V,13,0))</f>
        <v/>
      </c>
      <c r="Q67" s="22" t="str">
        <f>IF(LEN(VLOOKUP(A67,'RM-TRUNG'!A:V,19,0))=0,"",VLOOKUP(A67,'RM-TRUNG'!A:V,19,0))</f>
        <v/>
      </c>
      <c r="R67" s="22" t="str">
        <f>IF(LEN(VLOOKUP(A67,'RM-TRUNG'!A:V,20,0))=0,"",VLOOKUP(A67,'RM-TRUNG'!A:V,20,0))</f>
        <v>Lê Thị Dịu Hương</v>
      </c>
      <c r="S67" s="22" t="str">
        <f>IF(LEN(VLOOKUP(A67,'RM-TRUNG'!A:V,21,0))=0,"",VLOOKUP(A67,'RM-TRUNG'!A:V,21,0))</f>
        <v>GDV/KSV KHCN</v>
      </c>
      <c r="T67" s="22" t="str">
        <f>IF(LEN(VLOOKUP(A67,'RM-TRUNG'!A:V,18,0))=0,"",VLOOKUP(A67,'RM-TRUNG'!A:V,18,0))</f>
        <v>NGUYỄN THỊ HOÀNG PHƯƠNG</v>
      </c>
      <c r="U67" s="22" t="str">
        <f>VLOOKUP(LEFT(A67,5),RM!A:B,2,0)</f>
        <v>Nguyễn Duy Trung</v>
      </c>
      <c r="V67" s="34" t="s">
        <v>133</v>
      </c>
      <c r="W67" s="22" t="str">
        <f>IF(LEN(VLOOKUP(A67,'RM-TRUNG'!A:V,15,0))=0,"",VLOOKUP(A67,'RM-TRUNG'!A:V,15,0))</f>
        <v>CN Trưng Nữ Vương</v>
      </c>
      <c r="X67" s="22" t="str">
        <f>IF(LEN(VLOOKUP(A67,'RM-TRUNG'!A:V,16,0))=0,"",VLOOKUP(A67,'RM-TRUNG'!A:V,16,0))</f>
        <v>Khu vực Miền Trung</v>
      </c>
    </row>
    <row r="68" spans="1:24" s="35" customFormat="1" x14ac:dyDescent="0.3">
      <c r="A68" s="15" t="s">
        <v>482</v>
      </c>
      <c r="B68" s="20" t="str">
        <f>IF(LEN(VLOOKUP(A68,'RM-TRUNG'!A:V,2,0))=0,"",VLOOKUP(A68,'RM-TRUNG'!A:V,2,0))</f>
        <v>Nguyễn Đặng Xuân Tú</v>
      </c>
      <c r="C68" s="19"/>
      <c r="D68" s="19" t="str">
        <f>IF(IF(YEAR(IFERROR(VLOOKUP(A68,KH!A:N,4,0),""))&gt;1905,YEAR(IFERROR(VLOOKUP(A68,KH!A:N,4,0),"")),IFERROR(VLOOKUP(A68,KH!A:N,4,0),""))=0,"",IF(YEAR(IFERROR(VLOOKUP(A68,KH!A:N,4,0),""))&gt;1905,YEAR(IFERROR(VLOOKUP(A68,KH!A:N,4,0),"")),IFERROR(VLOOKUP(A68,KH!A:N,4,0),"")))</f>
        <v/>
      </c>
      <c r="E68" s="5">
        <f>IFERROR(VLOOKUP(A68,'RM-TRUNG'!A:V,6,0),"")</f>
        <v>45096</v>
      </c>
      <c r="F68" s="19" t="str">
        <f>PROPER(IFERROR(VLOOKUP(A68,'RM-TRUNG'!A:V,7,0),""))</f>
        <v>Khác</v>
      </c>
      <c r="G68" s="26">
        <f>IF(IFERROR(VLOOKUP(A68,'RM-TRUNG'!A:V,8,0),"")&lt;1000000,IFERROR(VLOOKUP(A68,'RM-TRUNG'!A:V,8,0),"")*1000000,IFERROR(VLOOKUP(A68,'RM-TRUNG'!A:V,8,0),""))</f>
        <v>13163000</v>
      </c>
      <c r="H68" s="19" t="str">
        <f>PROPER(IFERROR(VLOOKUP(A68,'RM-TRUNG'!A:V,9,0),""))</f>
        <v>Cần Follow Thêm</v>
      </c>
      <c r="I68" s="19"/>
      <c r="J68" s="21" t="str">
        <f>IF(LEN(VLOOKUP(A68,'RM-TRUNG'!A:V,10,0))=0,"",VLOOKUP(A68,'RM-TRUNG'!A:V,10,0))</f>
        <v>Đã chạy bảng minh hoạ, chỉ mới tư vấn qua điện thoại --&gt; KH từ chối, nhờ Banker đặt cuộc hẹn trực tiếp</v>
      </c>
      <c r="K68" s="21"/>
      <c r="L68" s="21" t="str">
        <f>IF(LEN(VLOOKUP(A68,'RM-TRUNG'!A:V,11,0))=0,"",VLOOKUP(A68,'RM-TRUNG'!A:V,11,0))</f>
        <v/>
      </c>
      <c r="M68" s="21"/>
      <c r="N68" s="21" t="str">
        <f>IF(LEN(VLOOKUP(A68,'RM-TRUNG'!A:V,12,0))=0,"",VLOOKUP(A68,'RM-TRUNG'!A:V,12,0))</f>
        <v/>
      </c>
      <c r="O68" s="21"/>
      <c r="P68" s="21" t="str">
        <f>IF(LEN(VLOOKUP(A68,'RM-TRUNG'!A:V,13,0))=0,"",VLOOKUP(A68,'RM-TRUNG'!A:V,13,0))</f>
        <v/>
      </c>
      <c r="Q68" s="22" t="str">
        <f>IF(LEN(VLOOKUP(A68,'RM-TRUNG'!A:V,19,0))=0,"",VLOOKUP(A68,'RM-TRUNG'!A:V,19,0))</f>
        <v/>
      </c>
      <c r="R68" s="22" t="str">
        <f>IF(LEN(VLOOKUP(A68,'RM-TRUNG'!A:V,20,0))=0,"",VLOOKUP(A68,'RM-TRUNG'!A:V,20,0))</f>
        <v>Trương Phước Quang</v>
      </c>
      <c r="S68" s="22" t="str">
        <f>IF(LEN(VLOOKUP(A68,'RM-TRUNG'!A:V,21,0))=0,"",VLOOKUP(A68,'RM-TRUNG'!A:V,21,0))</f>
        <v>RM/TL KHCN</v>
      </c>
      <c r="T68" s="22" t="str">
        <f>IF(LEN(VLOOKUP(A68,'RM-TRUNG'!A:V,18,0))=0,"",VLOOKUP(A68,'RM-TRUNG'!A:V,18,0))</f>
        <v>NGUYỄN THỊ HOÀNG PHƯƠNG</v>
      </c>
      <c r="U68" s="22" t="str">
        <f>VLOOKUP(LEFT(A68,5),RM!A:B,2,0)</f>
        <v>Nguyễn Duy Trung</v>
      </c>
      <c r="V68" s="34" t="s">
        <v>134</v>
      </c>
      <c r="W68" s="22" t="str">
        <f>IF(LEN(VLOOKUP(A68,'RM-TRUNG'!A:V,15,0))=0,"",VLOOKUP(A68,'RM-TRUNG'!A:V,15,0))</f>
        <v>CN Trưng Nữ Vương</v>
      </c>
      <c r="X68" s="22" t="str">
        <f>IF(LEN(VLOOKUP(A68,'RM-TRUNG'!A:V,16,0))=0,"",VLOOKUP(A68,'RM-TRUNG'!A:V,16,0))</f>
        <v>Khu vực Miền Trung</v>
      </c>
    </row>
    <row r="69" spans="1:24" s="35" customFormat="1" x14ac:dyDescent="0.3">
      <c r="A69" s="19" t="s">
        <v>483</v>
      </c>
      <c r="B69" s="20" t="str">
        <f>IF(LEN(VLOOKUP(A69,'RM-TRUNG'!A:V,2,0))=0,"",VLOOKUP(A69,'RM-TRUNG'!A:V,2,0))</f>
        <v>Nguyễn Trung Hiếu</v>
      </c>
      <c r="C69" s="19"/>
      <c r="D69" s="19" t="str">
        <f>IF(IF(YEAR(IFERROR(VLOOKUP(A69,KH!A:N,4,0),""))&gt;1905,YEAR(IFERROR(VLOOKUP(A69,KH!A:N,4,0),"")),IFERROR(VLOOKUP(A69,KH!A:N,4,0),""))=0,"",IF(YEAR(IFERROR(VLOOKUP(A69,KH!A:N,4,0),""))&gt;1905,YEAR(IFERROR(VLOOKUP(A69,KH!A:N,4,0),"")),IFERROR(VLOOKUP(A69,KH!A:N,4,0),"")))</f>
        <v/>
      </c>
      <c r="E69" s="5">
        <f>IFERROR(VLOOKUP(A69,'RM-TRUNG'!A:V,6,0),"")</f>
        <v>45096</v>
      </c>
      <c r="F69" s="19" t="str">
        <f>PROPER(IFERROR(VLOOKUP(A69,'RM-TRUNG'!A:V,7,0),""))</f>
        <v>Khác</v>
      </c>
      <c r="G69" s="26">
        <f>IF(IFERROR(VLOOKUP(A69,'RM-TRUNG'!A:V,8,0),"")&lt;1000000,IFERROR(VLOOKUP(A69,'RM-TRUNG'!A:V,8,0),"")*1000000,IFERROR(VLOOKUP(A69,'RM-TRUNG'!A:V,8,0),""))</f>
        <v>15654000</v>
      </c>
      <c r="H69" s="19" t="str">
        <f>PROPER(IFERROR(VLOOKUP(A69,'RM-TRUNG'!A:V,9,0),""))</f>
        <v>Chốt Deal</v>
      </c>
      <c r="I69" s="19"/>
      <c r="J69" s="21" t="str">
        <f>IF(LEN(VLOOKUP(A69,'RM-TRUNG'!A:V,10,0))=0,"",VLOOKUP(A69,'RM-TRUNG'!A:V,10,0))</f>
        <v>Đã chạy BMH, tư vấn sản phẩm, khách hàng đồng ý tham gia.</v>
      </c>
      <c r="K69" s="21"/>
      <c r="L69" s="21" t="str">
        <f>IF(LEN(VLOOKUP(A69,'RM-TRUNG'!A:V,11,0))=0,"",VLOOKUP(A69,'RM-TRUNG'!A:V,11,0))</f>
        <v>Chốt Deal</v>
      </c>
      <c r="M69" s="21"/>
      <c r="N69" s="21" t="str">
        <f>IF(LEN(VLOOKUP(A69,'RM-TRUNG'!A:V,12,0))=0,"",VLOOKUP(A69,'RM-TRUNG'!A:V,12,0))</f>
        <v/>
      </c>
      <c r="O69" s="21"/>
      <c r="P69" s="21" t="str">
        <f>IF(LEN(VLOOKUP(A69,'RM-TRUNG'!A:V,13,0))=0,"",VLOOKUP(A69,'RM-TRUNG'!A:V,13,0))</f>
        <v>Hợp đồng đã phát hành (30/05)</v>
      </c>
      <c r="Q69" s="22" t="str">
        <f>IF(LEN(VLOOKUP(A69,'RM-TRUNG'!A:V,19,0))=0,"",VLOOKUP(A69,'RM-TRUNG'!A:V,19,0))</f>
        <v/>
      </c>
      <c r="R69" s="22" t="str">
        <f>IF(LEN(VLOOKUP(A69,'RM-TRUNG'!A:V,20,0))=0,"",VLOOKUP(A69,'RM-TRUNG'!A:V,20,0))</f>
        <v>Trần Thị Khánh Linh</v>
      </c>
      <c r="S69" s="22" t="str">
        <f>IF(LEN(VLOOKUP(A69,'RM-TRUNG'!A:V,21,0))=0,"",VLOOKUP(A69,'RM-TRUNG'!A:V,21,0))</f>
        <v>GDV/KSV KHCN</v>
      </c>
      <c r="T69" s="22" t="str">
        <f>IF(LEN(VLOOKUP(A69,'RM-TRUNG'!A:V,18,0))=0,"",VLOOKUP(A69,'RM-TRUNG'!A:V,18,0))</f>
        <v>NGUYỄN THỊ HOÀNG PHƯƠNG</v>
      </c>
      <c r="U69" s="22" t="str">
        <f>VLOOKUP(LEFT(A69,5),RM!A:B,2,0)</f>
        <v>Nguyễn Duy Trung</v>
      </c>
      <c r="V69" s="34" t="s">
        <v>135</v>
      </c>
      <c r="W69" s="22" t="str">
        <f>IF(LEN(VLOOKUP(A69,'RM-TRUNG'!A:V,15,0))=0,"",VLOOKUP(A69,'RM-TRUNG'!A:V,15,0))</f>
        <v>CN Trưng Nữ Vương</v>
      </c>
      <c r="X69" s="22" t="str">
        <f>IF(LEN(VLOOKUP(A69,'RM-TRUNG'!A:V,16,0))=0,"",VLOOKUP(A69,'RM-TRUNG'!A:V,16,0))</f>
        <v>Khu vực Miền Trung</v>
      </c>
    </row>
    <row r="70" spans="1:24" s="35" customFormat="1" x14ac:dyDescent="0.3">
      <c r="A70" s="19"/>
      <c r="B70" s="19"/>
      <c r="C70" s="19"/>
      <c r="D70" s="19"/>
      <c r="E70" s="19"/>
      <c r="F70" s="19"/>
      <c r="G70" s="19"/>
      <c r="H70" s="19"/>
      <c r="I70" s="19"/>
      <c r="J70" s="21"/>
      <c r="K70" s="21"/>
      <c r="L70" s="21"/>
      <c r="M70" s="21"/>
      <c r="N70" s="21"/>
      <c r="O70" s="21"/>
      <c r="P70" s="21"/>
      <c r="V70" s="36"/>
    </row>
    <row r="71" spans="1:24" s="35" customFormat="1" x14ac:dyDescent="0.3">
      <c r="A71" s="19"/>
      <c r="B71" s="19"/>
      <c r="C71" s="19"/>
      <c r="D71" s="19"/>
      <c r="E71" s="19"/>
      <c r="F71" s="19"/>
      <c r="G71" s="19"/>
      <c r="H71" s="19"/>
      <c r="I71" s="19"/>
      <c r="J71" s="21"/>
      <c r="K71" s="21"/>
      <c r="L71" s="21"/>
      <c r="M71" s="21"/>
      <c r="N71" s="21"/>
      <c r="O71" s="21"/>
      <c r="P71" s="21"/>
      <c r="V71" s="36"/>
    </row>
    <row r="72" spans="1:24" s="35" customFormat="1" x14ac:dyDescent="0.3">
      <c r="A72" s="19"/>
      <c r="B72" s="19"/>
      <c r="C72" s="19"/>
      <c r="D72" s="19"/>
      <c r="E72" s="19"/>
      <c r="F72" s="19"/>
      <c r="G72" s="19"/>
      <c r="H72" s="19"/>
      <c r="I72" s="19"/>
      <c r="J72" s="21"/>
      <c r="K72" s="21"/>
      <c r="L72" s="21"/>
      <c r="M72" s="21"/>
      <c r="N72" s="21"/>
      <c r="O72" s="21"/>
      <c r="P72" s="21"/>
      <c r="V72" s="36"/>
    </row>
    <row r="73" spans="1:24" s="35" customFormat="1" x14ac:dyDescent="0.3">
      <c r="A73" s="19"/>
      <c r="B73" s="19"/>
      <c r="C73" s="19"/>
      <c r="D73" s="19"/>
      <c r="E73" s="19"/>
      <c r="F73" s="19"/>
      <c r="G73" s="19"/>
      <c r="H73" s="19"/>
      <c r="I73" s="19"/>
      <c r="J73" s="21"/>
      <c r="K73" s="21"/>
      <c r="L73" s="21"/>
      <c r="M73" s="21"/>
      <c r="N73" s="21"/>
      <c r="O73" s="21"/>
      <c r="P73" s="21"/>
      <c r="V73" s="36"/>
    </row>
    <row r="74" spans="1:24" s="35" customFormat="1" x14ac:dyDescent="0.3">
      <c r="A74" s="19"/>
      <c r="B74" s="19"/>
      <c r="C74" s="19"/>
      <c r="D74" s="19"/>
      <c r="E74" s="19"/>
      <c r="F74" s="19"/>
      <c r="G74" s="19"/>
      <c r="H74" s="19"/>
      <c r="I74" s="19"/>
      <c r="J74" s="21"/>
      <c r="K74" s="21"/>
      <c r="L74" s="21"/>
      <c r="M74" s="21"/>
      <c r="N74" s="21"/>
      <c r="O74" s="21"/>
      <c r="P74" s="21"/>
      <c r="V74" s="36"/>
    </row>
    <row r="75" spans="1:24" s="35" customFormat="1" x14ac:dyDescent="0.3">
      <c r="A75" s="19"/>
      <c r="B75" s="19"/>
      <c r="C75" s="19"/>
      <c r="D75" s="19"/>
      <c r="E75" s="19"/>
      <c r="F75" s="19"/>
      <c r="G75" s="19"/>
      <c r="H75" s="19"/>
      <c r="I75" s="19"/>
      <c r="J75" s="21"/>
      <c r="K75" s="21"/>
      <c r="L75" s="21"/>
      <c r="M75" s="21"/>
      <c r="N75" s="21"/>
      <c r="O75" s="21"/>
      <c r="P75" s="21"/>
      <c r="V75" s="36"/>
    </row>
    <row r="76" spans="1:24" s="35" customFormat="1" x14ac:dyDescent="0.3">
      <c r="A76" s="19"/>
      <c r="B76" s="19"/>
      <c r="C76" s="19"/>
      <c r="D76" s="19"/>
      <c r="E76" s="19"/>
      <c r="F76" s="19"/>
      <c r="G76" s="19"/>
      <c r="H76" s="19"/>
      <c r="I76" s="19"/>
      <c r="J76" s="21"/>
      <c r="K76" s="21"/>
      <c r="L76" s="21"/>
      <c r="M76" s="21"/>
      <c r="N76" s="21"/>
      <c r="O76" s="21"/>
      <c r="P76" s="21"/>
      <c r="V76" s="36"/>
    </row>
    <row r="77" spans="1:24" s="35" customFormat="1" x14ac:dyDescent="0.3">
      <c r="A77" s="19"/>
      <c r="B77" s="19"/>
      <c r="C77" s="19"/>
      <c r="D77" s="19"/>
      <c r="E77" s="19"/>
      <c r="F77" s="19"/>
      <c r="G77" s="19"/>
      <c r="H77" s="19"/>
      <c r="I77" s="19"/>
      <c r="J77" s="21"/>
      <c r="K77" s="21"/>
      <c r="L77" s="21"/>
      <c r="M77" s="21"/>
      <c r="N77" s="21"/>
      <c r="O77" s="21"/>
      <c r="P77" s="21"/>
      <c r="V77" s="36"/>
    </row>
    <row r="78" spans="1:24" s="39" customFormat="1" x14ac:dyDescent="0.3">
      <c r="A78" s="37"/>
      <c r="B78" s="37"/>
      <c r="C78" s="37"/>
      <c r="D78" s="37"/>
      <c r="E78" s="37"/>
      <c r="F78" s="37"/>
      <c r="G78" s="37"/>
      <c r="H78" s="37"/>
      <c r="I78" s="37"/>
      <c r="J78" s="38"/>
      <c r="K78" s="38"/>
      <c r="L78" s="38"/>
      <c r="M78" s="38"/>
      <c r="N78" s="38"/>
      <c r="O78" s="38"/>
      <c r="P78" s="38"/>
      <c r="V78" s="40"/>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878D768-1969-49BC-94CD-792507D182FC}">
          <x14:formula1>
            <xm:f>Chung!$I$2:$I$5</xm:f>
          </x14:formula1>
          <xm:sqref>H4:H1048576</xm:sqref>
        </x14:dataValidation>
        <x14:dataValidation type="list" allowBlank="1" showInputMessage="1" showErrorMessage="1" xr:uid="{9D297BB1-F0EE-42A2-9B20-29F615314FEB}">
          <x14:formula1>
            <xm:f>Chung!$L$2:$L$6</xm:f>
          </x14:formula1>
          <xm:sqref>F4:F1048576</xm:sqref>
        </x14:dataValidation>
        <x14:dataValidation type="list" allowBlank="1" showInputMessage="1" showErrorMessage="1" xr:uid="{2E856E79-75D4-4F95-9E28-CEA1A87FFB75}">
          <x14:formula1>
            <xm:f>Chung!$R$2:$R$9</xm:f>
          </x14:formula1>
          <xm:sqref>S1 S3:S1048576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A592-D3A8-4BAE-B7C1-71D59CB3BDDE}">
  <dimension ref="A1:D126"/>
  <sheetViews>
    <sheetView topLeftCell="A73" workbookViewId="0">
      <selection activeCell="C91" sqref="C91"/>
    </sheetView>
  </sheetViews>
  <sheetFormatPr defaultRowHeight="14.4" x14ac:dyDescent="0.3"/>
  <cols>
    <col min="1" max="1" width="8.88671875" style="29"/>
    <col min="2" max="2" width="17.88671875" bestFit="1" customWidth="1"/>
    <col min="3" max="3" width="18.21875" bestFit="1" customWidth="1"/>
  </cols>
  <sheetData>
    <row r="1" spans="1:4" s="1" customFormat="1" x14ac:dyDescent="0.3">
      <c r="A1" s="28" t="s">
        <v>92</v>
      </c>
      <c r="B1" s="1" t="s">
        <v>213</v>
      </c>
      <c r="C1" s="1" t="s">
        <v>216</v>
      </c>
    </row>
    <row r="2" spans="1:4" x14ac:dyDescent="0.3">
      <c r="A2" s="27" t="s">
        <v>116</v>
      </c>
      <c r="B2" t="s">
        <v>215</v>
      </c>
      <c r="C2" t="s">
        <v>218</v>
      </c>
    </row>
    <row r="3" spans="1:4" x14ac:dyDescent="0.3">
      <c r="A3" s="27">
        <v>9332</v>
      </c>
      <c r="B3" t="s">
        <v>214</v>
      </c>
      <c r="C3" t="s">
        <v>217</v>
      </c>
      <c r="D3" s="33">
        <f>A3-A2</f>
        <v>17</v>
      </c>
    </row>
    <row r="4" spans="1:4" x14ac:dyDescent="0.3">
      <c r="A4" s="27">
        <v>9335</v>
      </c>
      <c r="B4" t="s">
        <v>215</v>
      </c>
      <c r="C4" t="s">
        <v>217</v>
      </c>
      <c r="D4" s="33">
        <f t="shared" ref="D4:D28" si="0">A4-A3</f>
        <v>3</v>
      </c>
    </row>
    <row r="5" spans="1:4" x14ac:dyDescent="0.3">
      <c r="A5" s="27" t="s">
        <v>198</v>
      </c>
      <c r="B5" t="s">
        <v>214</v>
      </c>
      <c r="C5" t="s">
        <v>218</v>
      </c>
      <c r="D5" s="33">
        <f t="shared" si="0"/>
        <v>-135</v>
      </c>
    </row>
    <row r="6" spans="1:4" x14ac:dyDescent="0.3">
      <c r="A6" s="27" t="s">
        <v>183</v>
      </c>
      <c r="B6" t="s">
        <v>214</v>
      </c>
      <c r="C6" t="s">
        <v>218</v>
      </c>
      <c r="D6" s="33">
        <f t="shared" si="0"/>
        <v>3</v>
      </c>
    </row>
    <row r="7" spans="1:4" x14ac:dyDescent="0.3">
      <c r="A7" s="27" t="s">
        <v>202</v>
      </c>
      <c r="B7" t="s">
        <v>214</v>
      </c>
      <c r="C7" t="s">
        <v>218</v>
      </c>
      <c r="D7" s="33">
        <f t="shared" si="0"/>
        <v>7</v>
      </c>
    </row>
    <row r="8" spans="1:4" x14ac:dyDescent="0.3">
      <c r="A8" s="27" t="s">
        <v>205</v>
      </c>
      <c r="B8" t="s">
        <v>214</v>
      </c>
      <c r="C8" t="s">
        <v>219</v>
      </c>
      <c r="D8" s="33">
        <f t="shared" si="0"/>
        <v>1</v>
      </c>
    </row>
    <row r="9" spans="1:4" x14ac:dyDescent="0.3">
      <c r="A9" s="27" t="s">
        <v>182</v>
      </c>
      <c r="B9" t="s">
        <v>214</v>
      </c>
      <c r="C9" t="s">
        <v>217</v>
      </c>
      <c r="D9" s="33">
        <f t="shared" si="0"/>
        <v>2</v>
      </c>
    </row>
    <row r="10" spans="1:4" x14ac:dyDescent="0.3">
      <c r="A10" s="27" t="s">
        <v>184</v>
      </c>
      <c r="B10" t="s">
        <v>214</v>
      </c>
      <c r="C10" t="s">
        <v>217</v>
      </c>
      <c r="D10" s="33">
        <f t="shared" si="0"/>
        <v>1</v>
      </c>
    </row>
    <row r="11" spans="1:4" x14ac:dyDescent="0.3">
      <c r="A11" s="27" t="s">
        <v>188</v>
      </c>
      <c r="B11" t="s">
        <v>214</v>
      </c>
      <c r="C11" t="s">
        <v>217</v>
      </c>
      <c r="D11" s="33">
        <f t="shared" si="0"/>
        <v>1</v>
      </c>
    </row>
    <row r="12" spans="1:4" x14ac:dyDescent="0.3">
      <c r="A12" s="27" t="s">
        <v>187</v>
      </c>
      <c r="B12" t="s">
        <v>214</v>
      </c>
      <c r="C12" t="s">
        <v>217</v>
      </c>
      <c r="D12" s="33">
        <f t="shared" si="0"/>
        <v>1</v>
      </c>
    </row>
    <row r="13" spans="1:4" x14ac:dyDescent="0.3">
      <c r="A13" s="27" t="s">
        <v>195</v>
      </c>
      <c r="B13" t="s">
        <v>214</v>
      </c>
      <c r="C13" t="s">
        <v>221</v>
      </c>
      <c r="D13" s="33">
        <f t="shared" si="0"/>
        <v>4</v>
      </c>
    </row>
    <row r="14" spans="1:4" x14ac:dyDescent="0.3">
      <c r="A14" s="27" t="s">
        <v>193</v>
      </c>
      <c r="B14" t="s">
        <v>214</v>
      </c>
      <c r="C14" t="s">
        <v>221</v>
      </c>
      <c r="D14" s="33">
        <f t="shared" si="0"/>
        <v>1</v>
      </c>
    </row>
    <row r="15" spans="1:4" x14ac:dyDescent="0.3">
      <c r="A15" s="27" t="s">
        <v>192</v>
      </c>
      <c r="B15" t="s">
        <v>214</v>
      </c>
      <c r="C15" t="s">
        <v>221</v>
      </c>
      <c r="D15" s="33">
        <f t="shared" si="0"/>
        <v>1</v>
      </c>
    </row>
    <row r="16" spans="1:4" x14ac:dyDescent="0.3">
      <c r="A16" s="27" t="s">
        <v>196</v>
      </c>
      <c r="B16" t="s">
        <v>214</v>
      </c>
      <c r="C16" t="s">
        <v>220</v>
      </c>
      <c r="D16" s="33">
        <f t="shared" si="0"/>
        <v>1</v>
      </c>
    </row>
    <row r="17" spans="1:4" x14ac:dyDescent="0.3">
      <c r="A17" s="27" t="s">
        <v>207</v>
      </c>
      <c r="B17" t="s">
        <v>214</v>
      </c>
      <c r="C17" t="s">
        <v>219</v>
      </c>
      <c r="D17" s="33">
        <f t="shared" si="0"/>
        <v>4</v>
      </c>
    </row>
    <row r="18" spans="1:4" x14ac:dyDescent="0.3">
      <c r="A18" s="27" t="s">
        <v>206</v>
      </c>
      <c r="B18" t="s">
        <v>214</v>
      </c>
      <c r="C18" t="s">
        <v>219</v>
      </c>
      <c r="D18" s="33">
        <f t="shared" si="0"/>
        <v>1</v>
      </c>
    </row>
    <row r="19" spans="1:4" x14ac:dyDescent="0.3">
      <c r="A19" s="27" t="s">
        <v>201</v>
      </c>
      <c r="B19" t="s">
        <v>214</v>
      </c>
      <c r="C19" t="s">
        <v>219</v>
      </c>
      <c r="D19" s="33">
        <f t="shared" si="0"/>
        <v>2</v>
      </c>
    </row>
    <row r="20" spans="1:4" x14ac:dyDescent="0.3">
      <c r="A20" s="27" t="s">
        <v>204</v>
      </c>
      <c r="B20" t="s">
        <v>214</v>
      </c>
      <c r="C20" t="s">
        <v>219</v>
      </c>
      <c r="D20" s="33">
        <f t="shared" si="0"/>
        <v>1</v>
      </c>
    </row>
    <row r="21" spans="1:4" x14ac:dyDescent="0.3">
      <c r="A21" s="27" t="s">
        <v>197</v>
      </c>
      <c r="B21" t="s">
        <v>214</v>
      </c>
      <c r="C21" t="s">
        <v>219</v>
      </c>
      <c r="D21" s="33">
        <f t="shared" si="0"/>
        <v>1</v>
      </c>
    </row>
    <row r="22" spans="1:4" x14ac:dyDescent="0.3">
      <c r="A22" s="27" t="s">
        <v>200</v>
      </c>
      <c r="B22" t="s">
        <v>214</v>
      </c>
      <c r="C22" t="s">
        <v>219</v>
      </c>
      <c r="D22" s="33">
        <f t="shared" si="0"/>
        <v>1</v>
      </c>
    </row>
    <row r="23" spans="1:4" x14ac:dyDescent="0.3">
      <c r="A23" s="27" t="s">
        <v>199</v>
      </c>
      <c r="B23" t="s">
        <v>214</v>
      </c>
      <c r="C23" t="s">
        <v>219</v>
      </c>
      <c r="D23" s="33">
        <f t="shared" si="0"/>
        <v>1</v>
      </c>
    </row>
    <row r="24" spans="1:4" x14ac:dyDescent="0.3">
      <c r="A24" s="27" t="s">
        <v>190</v>
      </c>
      <c r="B24" t="s">
        <v>214</v>
      </c>
      <c r="C24" t="s">
        <v>221</v>
      </c>
      <c r="D24" s="33">
        <f t="shared" si="0"/>
        <v>1</v>
      </c>
    </row>
    <row r="25" spans="1:4" x14ac:dyDescent="0.3">
      <c r="A25" s="27" t="s">
        <v>209</v>
      </c>
      <c r="B25" t="s">
        <v>214</v>
      </c>
      <c r="C25" t="s">
        <v>219</v>
      </c>
      <c r="D25" s="33">
        <f t="shared" si="0"/>
        <v>1</v>
      </c>
    </row>
    <row r="26" spans="1:4" x14ac:dyDescent="0.3">
      <c r="A26" s="27" t="s">
        <v>203</v>
      </c>
      <c r="B26" t="s">
        <v>214</v>
      </c>
      <c r="C26" t="s">
        <v>219</v>
      </c>
      <c r="D26" s="33">
        <f t="shared" si="0"/>
        <v>1</v>
      </c>
    </row>
    <row r="27" spans="1:4" x14ac:dyDescent="0.3">
      <c r="A27" s="27" t="s">
        <v>191</v>
      </c>
      <c r="B27" t="s">
        <v>214</v>
      </c>
      <c r="C27" t="s">
        <v>221</v>
      </c>
      <c r="D27" s="33">
        <f t="shared" si="0"/>
        <v>2</v>
      </c>
    </row>
    <row r="28" spans="1:4" x14ac:dyDescent="0.3">
      <c r="A28" s="27" t="s">
        <v>189</v>
      </c>
      <c r="B28" t="s">
        <v>214</v>
      </c>
      <c r="C28" t="s">
        <v>221</v>
      </c>
      <c r="D28" s="33">
        <f t="shared" si="0"/>
        <v>1</v>
      </c>
    </row>
    <row r="29" spans="1:4" x14ac:dyDescent="0.3">
      <c r="A29" s="27" t="s">
        <v>208</v>
      </c>
      <c r="B29" t="s">
        <v>214</v>
      </c>
      <c r="C29" t="s">
        <v>219</v>
      </c>
    </row>
    <row r="30" spans="1:4" x14ac:dyDescent="0.3">
      <c r="A30" s="27" t="s">
        <v>194</v>
      </c>
      <c r="B30" t="s">
        <v>214</v>
      </c>
      <c r="C30" t="s">
        <v>221</v>
      </c>
    </row>
    <row r="31" spans="1:4" x14ac:dyDescent="0.3">
      <c r="A31" s="27" t="s">
        <v>185</v>
      </c>
      <c r="B31" t="s">
        <v>214</v>
      </c>
      <c r="C31" t="s">
        <v>217</v>
      </c>
    </row>
    <row r="32" spans="1:4" x14ac:dyDescent="0.3">
      <c r="A32" s="27" t="s">
        <v>212</v>
      </c>
      <c r="B32" t="s">
        <v>214</v>
      </c>
      <c r="C32" t="s">
        <v>218</v>
      </c>
    </row>
    <row r="33" spans="1:3" x14ac:dyDescent="0.3">
      <c r="A33" s="27" t="s">
        <v>124</v>
      </c>
      <c r="B33" t="s">
        <v>215</v>
      </c>
      <c r="C33" t="s">
        <v>218</v>
      </c>
    </row>
    <row r="34" spans="1:3" x14ac:dyDescent="0.3">
      <c r="A34" s="27" t="s">
        <v>130</v>
      </c>
      <c r="B34" t="s">
        <v>215</v>
      </c>
      <c r="C34" t="s">
        <v>218</v>
      </c>
    </row>
    <row r="35" spans="1:3" x14ac:dyDescent="0.3">
      <c r="A35" s="27" t="s">
        <v>129</v>
      </c>
      <c r="B35" t="s">
        <v>215</v>
      </c>
      <c r="C35" t="s">
        <v>218</v>
      </c>
    </row>
    <row r="36" spans="1:3" x14ac:dyDescent="0.3">
      <c r="A36" s="27" t="s">
        <v>128</v>
      </c>
      <c r="B36" t="s">
        <v>215</v>
      </c>
      <c r="C36" t="s">
        <v>218</v>
      </c>
    </row>
    <row r="37" spans="1:3" x14ac:dyDescent="0.3">
      <c r="A37" s="27" t="s">
        <v>125</v>
      </c>
      <c r="B37" t="s">
        <v>214</v>
      </c>
      <c r="C37" t="s">
        <v>218</v>
      </c>
    </row>
    <row r="38" spans="1:3" x14ac:dyDescent="0.3">
      <c r="A38" s="27" t="s">
        <v>121</v>
      </c>
      <c r="B38" t="s">
        <v>215</v>
      </c>
      <c r="C38" t="s">
        <v>218</v>
      </c>
    </row>
    <row r="39" spans="1:3" x14ac:dyDescent="0.3">
      <c r="A39" s="27" t="s">
        <v>117</v>
      </c>
      <c r="B39" t="s">
        <v>214</v>
      </c>
      <c r="C39" t="s">
        <v>218</v>
      </c>
    </row>
    <row r="40" spans="1:3" x14ac:dyDescent="0.3">
      <c r="A40" s="27" t="s">
        <v>113</v>
      </c>
      <c r="B40" t="s">
        <v>215</v>
      </c>
      <c r="C40" t="s">
        <v>218</v>
      </c>
    </row>
    <row r="41" spans="1:3" x14ac:dyDescent="0.3">
      <c r="A41" s="27" t="s">
        <v>132</v>
      </c>
      <c r="B41" t="s">
        <v>215</v>
      </c>
      <c r="C41" t="s">
        <v>218</v>
      </c>
    </row>
    <row r="42" spans="1:3" x14ac:dyDescent="0.3">
      <c r="A42" s="27" t="s">
        <v>122</v>
      </c>
      <c r="B42" t="s">
        <v>215</v>
      </c>
      <c r="C42" t="s">
        <v>218</v>
      </c>
    </row>
    <row r="43" spans="1:3" x14ac:dyDescent="0.3">
      <c r="A43" s="27" t="s">
        <v>110</v>
      </c>
      <c r="B43" t="s">
        <v>215</v>
      </c>
      <c r="C43" t="s">
        <v>218</v>
      </c>
    </row>
    <row r="44" spans="1:3" x14ac:dyDescent="0.3">
      <c r="A44" s="27" t="s">
        <v>126</v>
      </c>
      <c r="B44" t="s">
        <v>215</v>
      </c>
      <c r="C44" t="s">
        <v>218</v>
      </c>
    </row>
    <row r="45" spans="1:3" x14ac:dyDescent="0.3">
      <c r="A45" s="27" t="s">
        <v>109</v>
      </c>
      <c r="B45" t="s">
        <v>215</v>
      </c>
      <c r="C45" t="s">
        <v>218</v>
      </c>
    </row>
    <row r="46" spans="1:3" x14ac:dyDescent="0.3">
      <c r="A46" s="27" t="s">
        <v>112</v>
      </c>
      <c r="B46" t="s">
        <v>215</v>
      </c>
      <c r="C46" t="s">
        <v>218</v>
      </c>
    </row>
    <row r="47" spans="1:3" x14ac:dyDescent="0.3">
      <c r="A47" s="27" t="s">
        <v>116</v>
      </c>
      <c r="B47" t="s">
        <v>214</v>
      </c>
      <c r="C47" t="s">
        <v>218</v>
      </c>
    </row>
    <row r="48" spans="1:3" x14ac:dyDescent="0.3">
      <c r="A48" s="27" t="s">
        <v>118</v>
      </c>
      <c r="B48" t="s">
        <v>215</v>
      </c>
      <c r="C48" t="s">
        <v>218</v>
      </c>
    </row>
    <row r="49" spans="1:3" x14ac:dyDescent="0.3">
      <c r="A49" s="27" t="s">
        <v>114</v>
      </c>
      <c r="B49" t="s">
        <v>215</v>
      </c>
      <c r="C49" t="s">
        <v>218</v>
      </c>
    </row>
    <row r="50" spans="1:3" x14ac:dyDescent="0.3">
      <c r="A50" s="27" t="s">
        <v>119</v>
      </c>
      <c r="B50" t="s">
        <v>215</v>
      </c>
      <c r="C50" t="s">
        <v>218</v>
      </c>
    </row>
    <row r="51" spans="1:3" x14ac:dyDescent="0.3">
      <c r="A51" s="27" t="s">
        <v>120</v>
      </c>
      <c r="B51" t="s">
        <v>215</v>
      </c>
      <c r="C51" t="s">
        <v>218</v>
      </c>
    </row>
    <row r="52" spans="1:3" x14ac:dyDescent="0.3">
      <c r="A52" s="27" t="s">
        <v>123</v>
      </c>
      <c r="B52" t="s">
        <v>215</v>
      </c>
      <c r="C52" t="s">
        <v>218</v>
      </c>
    </row>
    <row r="53" spans="1:3" x14ac:dyDescent="0.3">
      <c r="A53" s="27" t="s">
        <v>115</v>
      </c>
      <c r="B53" t="s">
        <v>215</v>
      </c>
      <c r="C53" t="s">
        <v>218</v>
      </c>
    </row>
    <row r="54" spans="1:3" x14ac:dyDescent="0.3">
      <c r="A54" s="27" t="s">
        <v>186</v>
      </c>
      <c r="B54" t="s">
        <v>215</v>
      </c>
      <c r="C54" t="s">
        <v>218</v>
      </c>
    </row>
    <row r="55" spans="1:3" x14ac:dyDescent="0.3">
      <c r="A55" s="27" t="s">
        <v>111</v>
      </c>
      <c r="B55" t="s">
        <v>215</v>
      </c>
      <c r="C55" t="s">
        <v>218</v>
      </c>
    </row>
    <row r="56" spans="1:3" x14ac:dyDescent="0.3">
      <c r="A56" s="27" t="s">
        <v>131</v>
      </c>
      <c r="B56" t="s">
        <v>215</v>
      </c>
      <c r="C56" t="s">
        <v>218</v>
      </c>
    </row>
    <row r="57" spans="1:3" x14ac:dyDescent="0.3">
      <c r="A57" s="27" t="s">
        <v>127</v>
      </c>
      <c r="B57" t="s">
        <v>215</v>
      </c>
      <c r="C57" t="s">
        <v>218</v>
      </c>
    </row>
    <row r="58" spans="1:3" x14ac:dyDescent="0.3">
      <c r="A58" s="27" t="s">
        <v>145</v>
      </c>
      <c r="B58" t="s">
        <v>214</v>
      </c>
      <c r="C58" t="s">
        <v>219</v>
      </c>
    </row>
    <row r="59" spans="1:3" x14ac:dyDescent="0.3">
      <c r="A59" s="27" t="s">
        <v>149</v>
      </c>
      <c r="B59" t="s">
        <v>215</v>
      </c>
      <c r="C59" t="s">
        <v>219</v>
      </c>
    </row>
    <row r="60" spans="1:3" x14ac:dyDescent="0.3">
      <c r="A60" s="27" t="s">
        <v>146</v>
      </c>
      <c r="B60" t="s">
        <v>215</v>
      </c>
      <c r="C60" t="s">
        <v>219</v>
      </c>
    </row>
    <row r="61" spans="1:3" x14ac:dyDescent="0.3">
      <c r="A61" s="27" t="s">
        <v>147</v>
      </c>
      <c r="B61" t="s">
        <v>215</v>
      </c>
      <c r="C61" t="s">
        <v>219</v>
      </c>
    </row>
    <row r="62" spans="1:3" x14ac:dyDescent="0.3">
      <c r="A62" s="27" t="s">
        <v>148</v>
      </c>
      <c r="B62" t="s">
        <v>215</v>
      </c>
      <c r="C62" t="s">
        <v>219</v>
      </c>
    </row>
    <row r="63" spans="1:3" x14ac:dyDescent="0.3">
      <c r="A63" s="27" t="s">
        <v>150</v>
      </c>
      <c r="B63" t="s">
        <v>215</v>
      </c>
      <c r="C63" t="s">
        <v>219</v>
      </c>
    </row>
    <row r="64" spans="1:3" x14ac:dyDescent="0.3">
      <c r="A64" s="27" t="s">
        <v>93</v>
      </c>
      <c r="B64" t="s">
        <v>214</v>
      </c>
      <c r="C64" t="s">
        <v>217</v>
      </c>
    </row>
    <row r="65" spans="1:3" x14ac:dyDescent="0.3">
      <c r="A65" s="27" t="s">
        <v>95</v>
      </c>
      <c r="B65" t="s">
        <v>215</v>
      </c>
      <c r="C65" t="s">
        <v>217</v>
      </c>
    </row>
    <row r="66" spans="1:3" x14ac:dyDescent="0.3">
      <c r="A66" s="27" t="s">
        <v>107</v>
      </c>
      <c r="B66" t="s">
        <v>215</v>
      </c>
      <c r="C66" t="s">
        <v>217</v>
      </c>
    </row>
    <row r="67" spans="1:3" x14ac:dyDescent="0.3">
      <c r="A67" s="27" t="s">
        <v>94</v>
      </c>
      <c r="B67" t="s">
        <v>215</v>
      </c>
      <c r="C67" t="s">
        <v>217</v>
      </c>
    </row>
    <row r="68" spans="1:3" x14ac:dyDescent="0.3">
      <c r="A68" s="27" t="s">
        <v>103</v>
      </c>
      <c r="B68" t="s">
        <v>215</v>
      </c>
      <c r="C68" t="s">
        <v>217</v>
      </c>
    </row>
    <row r="69" spans="1:3" x14ac:dyDescent="0.3">
      <c r="A69" s="27" t="s">
        <v>96</v>
      </c>
      <c r="B69" t="s">
        <v>215</v>
      </c>
      <c r="C69" t="s">
        <v>217</v>
      </c>
    </row>
    <row r="70" spans="1:3" x14ac:dyDescent="0.3">
      <c r="A70" s="27" t="s">
        <v>101</v>
      </c>
      <c r="B70" t="s">
        <v>215</v>
      </c>
      <c r="C70" t="s">
        <v>217</v>
      </c>
    </row>
    <row r="71" spans="1:3" x14ac:dyDescent="0.3">
      <c r="A71" s="27" t="s">
        <v>102</v>
      </c>
      <c r="B71" t="s">
        <v>214</v>
      </c>
      <c r="C71" t="s">
        <v>217</v>
      </c>
    </row>
    <row r="72" spans="1:3" x14ac:dyDescent="0.3">
      <c r="A72" s="27" t="s">
        <v>104</v>
      </c>
      <c r="B72" t="s">
        <v>215</v>
      </c>
      <c r="C72" t="s">
        <v>217</v>
      </c>
    </row>
    <row r="73" spans="1:3" x14ac:dyDescent="0.3">
      <c r="A73" s="27" t="s">
        <v>105</v>
      </c>
      <c r="B73" t="s">
        <v>215</v>
      </c>
      <c r="C73" t="s">
        <v>217</v>
      </c>
    </row>
    <row r="74" spans="1:3" x14ac:dyDescent="0.3">
      <c r="A74" s="27" t="s">
        <v>106</v>
      </c>
      <c r="B74" t="s">
        <v>214</v>
      </c>
      <c r="C74" t="s">
        <v>217</v>
      </c>
    </row>
    <row r="75" spans="1:3" x14ac:dyDescent="0.3">
      <c r="A75" s="27" t="s">
        <v>100</v>
      </c>
      <c r="B75" t="s">
        <v>215</v>
      </c>
      <c r="C75" t="s">
        <v>217</v>
      </c>
    </row>
    <row r="76" spans="1:3" x14ac:dyDescent="0.3">
      <c r="A76" s="27" t="s">
        <v>97</v>
      </c>
      <c r="B76" t="s">
        <v>215</v>
      </c>
      <c r="C76" t="s">
        <v>217</v>
      </c>
    </row>
    <row r="77" spans="1:3" x14ac:dyDescent="0.3">
      <c r="A77" s="27" t="s">
        <v>99</v>
      </c>
      <c r="B77" t="s">
        <v>214</v>
      </c>
      <c r="C77" t="s">
        <v>217</v>
      </c>
    </row>
    <row r="78" spans="1:3" x14ac:dyDescent="0.3">
      <c r="A78" s="27" t="s">
        <v>98</v>
      </c>
      <c r="B78" t="s">
        <v>215</v>
      </c>
      <c r="C78" t="s">
        <v>217</v>
      </c>
    </row>
    <row r="79" spans="1:3" x14ac:dyDescent="0.3">
      <c r="A79" s="27" t="s">
        <v>168</v>
      </c>
      <c r="B79" t="s">
        <v>215</v>
      </c>
      <c r="C79" t="s">
        <v>221</v>
      </c>
    </row>
    <row r="80" spans="1:3" x14ac:dyDescent="0.3">
      <c r="A80" s="27" t="s">
        <v>169</v>
      </c>
      <c r="B80" t="s">
        <v>214</v>
      </c>
      <c r="C80" t="s">
        <v>221</v>
      </c>
    </row>
    <row r="81" spans="1:3" x14ac:dyDescent="0.3">
      <c r="A81" s="27" t="s">
        <v>170</v>
      </c>
      <c r="B81" t="s">
        <v>215</v>
      </c>
      <c r="C81" t="s">
        <v>221</v>
      </c>
    </row>
    <row r="82" spans="1:3" x14ac:dyDescent="0.3">
      <c r="A82" s="27" t="s">
        <v>171</v>
      </c>
      <c r="B82" t="s">
        <v>215</v>
      </c>
      <c r="C82" t="s">
        <v>221</v>
      </c>
    </row>
    <row r="83" spans="1:3" x14ac:dyDescent="0.3">
      <c r="A83" s="27" t="s">
        <v>172</v>
      </c>
      <c r="B83" t="s">
        <v>215</v>
      </c>
      <c r="C83" t="s">
        <v>221</v>
      </c>
    </row>
    <row r="84" spans="1:3" x14ac:dyDescent="0.3">
      <c r="A84" s="27" t="s">
        <v>174</v>
      </c>
      <c r="B84" t="s">
        <v>215</v>
      </c>
      <c r="C84" t="s">
        <v>221</v>
      </c>
    </row>
    <row r="85" spans="1:3" x14ac:dyDescent="0.3">
      <c r="A85" s="27" t="s">
        <v>173</v>
      </c>
      <c r="B85" t="s">
        <v>214</v>
      </c>
      <c r="C85" t="s">
        <v>221</v>
      </c>
    </row>
    <row r="86" spans="1:3" x14ac:dyDescent="0.3">
      <c r="A86" s="27" t="s">
        <v>175</v>
      </c>
      <c r="B86" t="s">
        <v>214</v>
      </c>
      <c r="C86" t="s">
        <v>221</v>
      </c>
    </row>
    <row r="87" spans="1:3" x14ac:dyDescent="0.3">
      <c r="A87" s="27" t="s">
        <v>158</v>
      </c>
      <c r="B87" t="s">
        <v>214</v>
      </c>
      <c r="C87" t="s">
        <v>220</v>
      </c>
    </row>
    <row r="88" spans="1:3" x14ac:dyDescent="0.3">
      <c r="A88" s="27" t="s">
        <v>159</v>
      </c>
      <c r="B88" t="s">
        <v>215</v>
      </c>
      <c r="C88" t="s">
        <v>220</v>
      </c>
    </row>
    <row r="89" spans="1:3" x14ac:dyDescent="0.3">
      <c r="A89" s="27" t="s">
        <v>160</v>
      </c>
      <c r="B89" t="s">
        <v>215</v>
      </c>
      <c r="C89" t="s">
        <v>220</v>
      </c>
    </row>
    <row r="90" spans="1:3" x14ac:dyDescent="0.3">
      <c r="A90" s="27" t="s">
        <v>161</v>
      </c>
      <c r="B90" t="s">
        <v>215</v>
      </c>
      <c r="C90" t="s">
        <v>220</v>
      </c>
    </row>
    <row r="91" spans="1:3" x14ac:dyDescent="0.3">
      <c r="A91" s="29" t="s">
        <v>162</v>
      </c>
      <c r="B91" t="s">
        <v>215</v>
      </c>
      <c r="C91" t="s">
        <v>220</v>
      </c>
    </row>
    <row r="92" spans="1:3" x14ac:dyDescent="0.3">
      <c r="A92" s="27" t="s">
        <v>163</v>
      </c>
      <c r="B92" t="s">
        <v>215</v>
      </c>
      <c r="C92" t="s">
        <v>220</v>
      </c>
    </row>
    <row r="93" spans="1:3" x14ac:dyDescent="0.3">
      <c r="A93" s="27" t="s">
        <v>164</v>
      </c>
      <c r="B93" t="s">
        <v>215</v>
      </c>
      <c r="C93" t="s">
        <v>220</v>
      </c>
    </row>
    <row r="94" spans="1:3" x14ac:dyDescent="0.3">
      <c r="A94" s="27" t="s">
        <v>151</v>
      </c>
      <c r="B94" t="s">
        <v>214</v>
      </c>
      <c r="C94" t="s">
        <v>219</v>
      </c>
    </row>
    <row r="95" spans="1:3" x14ac:dyDescent="0.3">
      <c r="A95" s="27" t="s">
        <v>152</v>
      </c>
      <c r="B95" t="s">
        <v>215</v>
      </c>
      <c r="C95" t="s">
        <v>219</v>
      </c>
    </row>
    <row r="96" spans="1:3" x14ac:dyDescent="0.3">
      <c r="A96" s="27" t="s">
        <v>153</v>
      </c>
      <c r="B96" t="s">
        <v>215</v>
      </c>
      <c r="C96" t="s">
        <v>219</v>
      </c>
    </row>
    <row r="97" spans="1:3" x14ac:dyDescent="0.3">
      <c r="A97" s="27" t="s">
        <v>154</v>
      </c>
      <c r="B97" t="s">
        <v>215</v>
      </c>
      <c r="C97" t="s">
        <v>219</v>
      </c>
    </row>
    <row r="98" spans="1:3" x14ac:dyDescent="0.3">
      <c r="A98" s="27" t="s">
        <v>165</v>
      </c>
      <c r="B98" t="s">
        <v>215</v>
      </c>
      <c r="C98" t="s">
        <v>220</v>
      </c>
    </row>
    <row r="99" spans="1:3" x14ac:dyDescent="0.3">
      <c r="A99" s="27" t="s">
        <v>166</v>
      </c>
      <c r="B99" t="s">
        <v>215</v>
      </c>
      <c r="C99" t="s">
        <v>220</v>
      </c>
    </row>
    <row r="100" spans="1:3" x14ac:dyDescent="0.3">
      <c r="A100" s="27" t="s">
        <v>167</v>
      </c>
      <c r="B100" t="s">
        <v>215</v>
      </c>
      <c r="C100" t="s">
        <v>220</v>
      </c>
    </row>
    <row r="101" spans="1:3" x14ac:dyDescent="0.3">
      <c r="A101" s="27" t="s">
        <v>133</v>
      </c>
      <c r="B101" t="s">
        <v>214</v>
      </c>
      <c r="C101" t="s">
        <v>219</v>
      </c>
    </row>
    <row r="102" spans="1:3" x14ac:dyDescent="0.3">
      <c r="A102" s="27" t="s">
        <v>134</v>
      </c>
      <c r="B102" t="s">
        <v>215</v>
      </c>
      <c r="C102" t="s">
        <v>219</v>
      </c>
    </row>
    <row r="103" spans="1:3" x14ac:dyDescent="0.3">
      <c r="A103" s="27" t="s">
        <v>135</v>
      </c>
      <c r="B103" t="s">
        <v>215</v>
      </c>
      <c r="C103" t="s">
        <v>219</v>
      </c>
    </row>
    <row r="104" spans="1:3" x14ac:dyDescent="0.3">
      <c r="A104" s="27" t="s">
        <v>139</v>
      </c>
      <c r="B104" t="s">
        <v>214</v>
      </c>
      <c r="C104" t="s">
        <v>219</v>
      </c>
    </row>
    <row r="105" spans="1:3" x14ac:dyDescent="0.3">
      <c r="A105" s="27" t="s">
        <v>140</v>
      </c>
      <c r="B105" t="s">
        <v>215</v>
      </c>
      <c r="C105" t="s">
        <v>219</v>
      </c>
    </row>
    <row r="106" spans="1:3" x14ac:dyDescent="0.3">
      <c r="A106" s="27" t="s">
        <v>136</v>
      </c>
      <c r="B106" t="s">
        <v>214</v>
      </c>
      <c r="C106" t="s">
        <v>219</v>
      </c>
    </row>
    <row r="107" spans="1:3" x14ac:dyDescent="0.3">
      <c r="A107" s="27" t="s">
        <v>137</v>
      </c>
      <c r="B107" t="s">
        <v>214</v>
      </c>
      <c r="C107" t="s">
        <v>219</v>
      </c>
    </row>
    <row r="108" spans="1:3" x14ac:dyDescent="0.3">
      <c r="A108" s="27" t="s">
        <v>138</v>
      </c>
      <c r="B108" t="s">
        <v>215</v>
      </c>
      <c r="C108" t="s">
        <v>219</v>
      </c>
    </row>
    <row r="109" spans="1:3" x14ac:dyDescent="0.3">
      <c r="A109" s="27" t="s">
        <v>141</v>
      </c>
      <c r="B109" t="s">
        <v>214</v>
      </c>
      <c r="C109" t="s">
        <v>219</v>
      </c>
    </row>
    <row r="110" spans="1:3" x14ac:dyDescent="0.3">
      <c r="A110" s="27" t="s">
        <v>142</v>
      </c>
      <c r="B110" t="s">
        <v>214</v>
      </c>
      <c r="C110" t="s">
        <v>219</v>
      </c>
    </row>
    <row r="111" spans="1:3" x14ac:dyDescent="0.3">
      <c r="A111" s="27" t="s">
        <v>178</v>
      </c>
      <c r="B111" t="s">
        <v>214</v>
      </c>
      <c r="C111" t="s">
        <v>221</v>
      </c>
    </row>
    <row r="112" spans="1:3" x14ac:dyDescent="0.3">
      <c r="A112" s="27" t="s">
        <v>179</v>
      </c>
      <c r="B112" t="s">
        <v>215</v>
      </c>
      <c r="C112" t="s">
        <v>221</v>
      </c>
    </row>
    <row r="113" spans="1:3" x14ac:dyDescent="0.3">
      <c r="A113" s="27" t="s">
        <v>155</v>
      </c>
      <c r="B113" t="s">
        <v>214</v>
      </c>
      <c r="C113" t="s">
        <v>219</v>
      </c>
    </row>
    <row r="114" spans="1:3" x14ac:dyDescent="0.3">
      <c r="A114" s="27" t="s">
        <v>143</v>
      </c>
      <c r="B114" t="s">
        <v>214</v>
      </c>
      <c r="C114" t="s">
        <v>219</v>
      </c>
    </row>
    <row r="115" spans="1:3" x14ac:dyDescent="0.3">
      <c r="A115" s="27" t="s">
        <v>144</v>
      </c>
      <c r="B115" t="s">
        <v>215</v>
      </c>
      <c r="C115" t="s">
        <v>219</v>
      </c>
    </row>
    <row r="116" spans="1:3" x14ac:dyDescent="0.3">
      <c r="A116" s="27" t="s">
        <v>156</v>
      </c>
      <c r="B116" t="s">
        <v>215</v>
      </c>
      <c r="C116" t="s">
        <v>219</v>
      </c>
    </row>
    <row r="117" spans="1:3" x14ac:dyDescent="0.3">
      <c r="A117" s="27" t="s">
        <v>180</v>
      </c>
      <c r="B117" t="s">
        <v>214</v>
      </c>
      <c r="C117" t="s">
        <v>221</v>
      </c>
    </row>
    <row r="118" spans="1:3" x14ac:dyDescent="0.3">
      <c r="A118" s="27" t="s">
        <v>181</v>
      </c>
      <c r="B118" t="s">
        <v>214</v>
      </c>
      <c r="C118" t="s">
        <v>221</v>
      </c>
    </row>
    <row r="119" spans="1:3" x14ac:dyDescent="0.3">
      <c r="A119" s="27" t="s">
        <v>157</v>
      </c>
      <c r="B119" t="s">
        <v>214</v>
      </c>
      <c r="C119" t="s">
        <v>219</v>
      </c>
    </row>
    <row r="120" spans="1:3" x14ac:dyDescent="0.3">
      <c r="A120" s="27" t="s">
        <v>176</v>
      </c>
      <c r="B120" t="s">
        <v>214</v>
      </c>
      <c r="C120" t="s">
        <v>221</v>
      </c>
    </row>
    <row r="121" spans="1:3" x14ac:dyDescent="0.3">
      <c r="A121" s="27" t="s">
        <v>177</v>
      </c>
      <c r="B121" t="s">
        <v>215</v>
      </c>
      <c r="C121" t="s">
        <v>221</v>
      </c>
    </row>
    <row r="122" spans="1:3" x14ac:dyDescent="0.3">
      <c r="A122" s="27" t="s">
        <v>108</v>
      </c>
      <c r="B122" t="s">
        <v>214</v>
      </c>
      <c r="C122" t="s">
        <v>218</v>
      </c>
    </row>
    <row r="123" spans="1:3" x14ac:dyDescent="0.3">
      <c r="A123" s="27" t="s">
        <v>210</v>
      </c>
      <c r="C123" t="s">
        <v>222</v>
      </c>
    </row>
    <row r="124" spans="1:3" x14ac:dyDescent="0.3">
      <c r="A124" s="27" t="s">
        <v>211</v>
      </c>
      <c r="C124" t="s">
        <v>222</v>
      </c>
    </row>
    <row r="125" spans="1:3" x14ac:dyDescent="0.3">
      <c r="A125" s="27"/>
    </row>
    <row r="126" spans="1:3" x14ac:dyDescent="0.3">
      <c r="A126" s="27"/>
    </row>
  </sheetData>
  <autoFilter ref="A1:C1" xr:uid="{19CAA592-D3A8-4BAE-B7C1-71D59CB3BDDE}">
    <sortState xmlns:xlrd2="http://schemas.microsoft.com/office/spreadsheetml/2017/richdata2" ref="A2:C125">
      <sortCondition ref="A1"/>
    </sortState>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EE8218A-A3B7-4590-B1DC-44A60E88462F}">
          <x14:formula1>
            <xm:f>Chung!$P$2:$P$3</xm:f>
          </x14:formula1>
          <xm:sqref>B2:B1048576</xm:sqref>
        </x14:dataValidation>
        <x14:dataValidation type="list" allowBlank="1" showInputMessage="1" showErrorMessage="1" xr:uid="{966CE843-9024-4C1C-BEBF-178EA269587F}">
          <x14:formula1>
            <xm:f>Chung!$N$2:$N$7</xm:f>
          </x14:formula1>
          <xm:sqref>C2:C1048576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C5CF-0811-4732-8AEF-650F5F3D7D11}">
  <dimension ref="A1:N82"/>
  <sheetViews>
    <sheetView workbookViewId="0">
      <selection activeCell="D2" sqref="D2"/>
    </sheetView>
  </sheetViews>
  <sheetFormatPr defaultRowHeight="14.4" x14ac:dyDescent="0.3"/>
  <cols>
    <col min="1" max="1" width="9.44140625" bestFit="1" customWidth="1"/>
    <col min="2" max="2" width="28.77734375" customWidth="1"/>
    <col min="4" max="4" width="14.44140625" customWidth="1"/>
    <col min="5" max="5" width="18.88671875" bestFit="1" customWidth="1"/>
    <col min="6" max="6" width="16.6640625" customWidth="1"/>
    <col min="8" max="8" width="12.77734375" bestFit="1" customWidth="1"/>
    <col min="9" max="9" width="9.5546875" customWidth="1"/>
    <col min="10" max="10" width="13.44140625" customWidth="1"/>
    <col min="11" max="12" width="14.88671875" customWidth="1"/>
    <col min="13" max="13" width="12.77734375" bestFit="1" customWidth="1"/>
    <col min="14" max="14" width="24.5546875" customWidth="1"/>
  </cols>
  <sheetData>
    <row r="1" spans="1:14" s="1" customFormat="1" x14ac:dyDescent="0.3">
      <c r="A1" s="1" t="s">
        <v>1</v>
      </c>
      <c r="B1" s="1" t="s">
        <v>11</v>
      </c>
      <c r="C1" s="1" t="s">
        <v>2</v>
      </c>
      <c r="D1" s="1" t="s">
        <v>3</v>
      </c>
      <c r="E1" s="1" t="s">
        <v>4</v>
      </c>
      <c r="F1" s="1" t="s">
        <v>23</v>
      </c>
      <c r="G1" s="1" t="s">
        <v>5</v>
      </c>
      <c r="H1" s="1" t="s">
        <v>6</v>
      </c>
      <c r="I1" s="1" t="s">
        <v>7</v>
      </c>
      <c r="J1" s="1" t="s">
        <v>8</v>
      </c>
      <c r="K1" s="1" t="s">
        <v>9</v>
      </c>
      <c r="L1" s="1" t="s">
        <v>16</v>
      </c>
      <c r="M1" s="1" t="s">
        <v>10</v>
      </c>
      <c r="N1" s="1" t="s">
        <v>22</v>
      </c>
    </row>
    <row r="2" spans="1:14" x14ac:dyDescent="0.3">
      <c r="A2" t="s">
        <v>418</v>
      </c>
      <c r="B2" t="str">
        <f>VLOOKUP(A2,'RM-TRUNG'!A:U,2,0)</f>
        <v>Nguyễn Trịnh Thanh Tuấn</v>
      </c>
      <c r="D2">
        <f>VLOOKUP(A2,'RM-TRUNG'!A:U,3,0)</f>
        <v>33652</v>
      </c>
    </row>
    <row r="3" spans="1:14" x14ac:dyDescent="0.3">
      <c r="A3" t="s">
        <v>419</v>
      </c>
      <c r="B3" t="str">
        <f>VLOOKUP(A3,'RM-TRUNG'!A:U,2,0)</f>
        <v>Nguyễn Thị Thanh Trúc</v>
      </c>
      <c r="D3">
        <f>VLOOKUP(A3,'RM-TRUNG'!A:U,3,0)</f>
        <v>0</v>
      </c>
    </row>
    <row r="4" spans="1:14" x14ac:dyDescent="0.3">
      <c r="A4" t="s">
        <v>420</v>
      </c>
      <c r="B4" t="str">
        <f>VLOOKUP(A4,'RM-TRUNG'!A:U,2,0)</f>
        <v>Nguyễn Tấn Ngọc</v>
      </c>
      <c r="D4">
        <f>VLOOKUP(A4,'RM-TRUNG'!A:U,3,0)</f>
        <v>0</v>
      </c>
    </row>
    <row r="5" spans="1:14" x14ac:dyDescent="0.3">
      <c r="A5" t="s">
        <v>421</v>
      </c>
      <c r="B5" t="str">
        <f>VLOOKUP(A5,'RM-TRUNG'!A:U,2,0)</f>
        <v>Nguyễn Thị Mai Khanh</v>
      </c>
      <c r="D5">
        <f>VLOOKUP(A5,'RM-TRUNG'!A:U,3,0)</f>
        <v>0</v>
      </c>
    </row>
    <row r="6" spans="1:14" x14ac:dyDescent="0.3">
      <c r="A6" t="s">
        <v>422</v>
      </c>
      <c r="B6" t="str">
        <f>VLOOKUP(A6,'RM-TRUNG'!A:U,2,0)</f>
        <v>LÊ QUANG HỢP</v>
      </c>
      <c r="D6" t="str">
        <f>VLOOKUP(A6,'RM-TRUNG'!A:U,3,0)</f>
        <v>25/08/1991</v>
      </c>
    </row>
    <row r="7" spans="1:14" x14ac:dyDescent="0.3">
      <c r="A7" t="s">
        <v>423</v>
      </c>
      <c r="B7" t="str">
        <f>VLOOKUP(A7,'RM-TRUNG'!A:U,2,0)</f>
        <v>TRẦN THỊ NGỌC</v>
      </c>
      <c r="D7" t="str">
        <f>VLOOKUP(A7,'RM-TRUNG'!A:U,3,0)</f>
        <v>22/10/1981</v>
      </c>
    </row>
    <row r="8" spans="1:14" x14ac:dyDescent="0.3">
      <c r="A8" t="s">
        <v>424</v>
      </c>
      <c r="B8" t="str">
        <f>VLOOKUP(A8,'RM-TRUNG'!A:U,2,0)</f>
        <v>Phạm Thị Hải Yến</v>
      </c>
      <c r="D8">
        <f>VLOOKUP(A8,'RM-TRUNG'!A:U,3,0)</f>
        <v>30722</v>
      </c>
    </row>
    <row r="9" spans="1:14" x14ac:dyDescent="0.3">
      <c r="A9" t="s">
        <v>425</v>
      </c>
      <c r="B9" t="str">
        <f>VLOOKUP(A9,'RM-TRUNG'!A:U,2,0)</f>
        <v>Mai Văn Thơ</v>
      </c>
      <c r="D9">
        <f>VLOOKUP(A9,'RM-TRUNG'!A:U,3,0)</f>
        <v>33895</v>
      </c>
    </row>
    <row r="10" spans="1:14" x14ac:dyDescent="0.3">
      <c r="A10" t="s">
        <v>426</v>
      </c>
      <c r="B10" t="str">
        <f>VLOOKUP(A10,'RM-TRUNG'!A:U,2,0)</f>
        <v>HOÀNG THỊ BĂNG CHÂU</v>
      </c>
      <c r="D10" t="str">
        <f>VLOOKUP(A10,'RM-TRUNG'!A:U,3,0)</f>
        <v>28/12/1976</v>
      </c>
    </row>
    <row r="11" spans="1:14" x14ac:dyDescent="0.3">
      <c r="A11" t="s">
        <v>427</v>
      </c>
      <c r="B11" t="str">
        <f>VLOOKUP(A11,'RM-TRUNG'!A:U,2,0)</f>
        <v>Nguyễn Thanh Hoa</v>
      </c>
      <c r="D11">
        <f>VLOOKUP(A11,'RM-TRUNG'!A:U,3,0)</f>
        <v>35181</v>
      </c>
    </row>
    <row r="12" spans="1:14" x14ac:dyDescent="0.3">
      <c r="A12" t="s">
        <v>428</v>
      </c>
      <c r="B12" t="str">
        <f>VLOOKUP(A12,'RM-TRUNG'!A:U,2,0)</f>
        <v>Trần Thị Diễm My</v>
      </c>
      <c r="D12">
        <f>VLOOKUP(A12,'RM-TRUNG'!A:U,3,0)</f>
        <v>35590</v>
      </c>
    </row>
    <row r="13" spans="1:14" x14ac:dyDescent="0.3">
      <c r="A13" t="s">
        <v>429</v>
      </c>
      <c r="B13" t="str">
        <f>VLOOKUP(A13,'RM-TRUNG'!A:U,2,0)</f>
        <v>Trương Thị Trang</v>
      </c>
      <c r="D13">
        <f>VLOOKUP(A13,'RM-TRUNG'!A:U,3,0)</f>
        <v>34436</v>
      </c>
    </row>
    <row r="14" spans="1:14" x14ac:dyDescent="0.3">
      <c r="A14" t="s">
        <v>430</v>
      </c>
      <c r="B14" t="str">
        <f>VLOOKUP(A14,'RM-TRUNG'!A:U,2,0)</f>
        <v>NGUYỄN NGỌC HOÀNG</v>
      </c>
      <c r="D14">
        <f>VLOOKUP(A14,'RM-TRUNG'!A:U,3,0)</f>
        <v>34613</v>
      </c>
    </row>
    <row r="15" spans="1:14" x14ac:dyDescent="0.3">
      <c r="A15" t="s">
        <v>431</v>
      </c>
      <c r="B15" t="str">
        <f>VLOOKUP(A15,'RM-TRUNG'!A:U,2,0)</f>
        <v>NGÔ THỊ BÍCH</v>
      </c>
      <c r="D15">
        <f>VLOOKUP(A15,'RM-TRUNG'!A:U,3,0)</f>
        <v>35920</v>
      </c>
    </row>
    <row r="16" spans="1:14" x14ac:dyDescent="0.3">
      <c r="A16" t="s">
        <v>432</v>
      </c>
      <c r="B16" t="str">
        <f>VLOOKUP(A16,'RM-TRUNG'!A:U,2,0)</f>
        <v>ĐÀO THỊ HƯƠNG</v>
      </c>
      <c r="D16">
        <f>VLOOKUP(A16,'RM-TRUNG'!A:U,3,0)</f>
        <v>31172</v>
      </c>
    </row>
    <row r="17" spans="1:4" x14ac:dyDescent="0.3">
      <c r="A17" t="s">
        <v>433</v>
      </c>
      <c r="B17" t="str">
        <f>VLOOKUP(A17,'RM-TRUNG'!A:U,2,0)</f>
        <v>LÊ VĂN MINH TRIỂN</v>
      </c>
      <c r="D17" t="str">
        <f>VLOOKUP(A17,'RM-TRUNG'!A:U,3,0)</f>
        <v>15/01/1991</v>
      </c>
    </row>
    <row r="18" spans="1:4" x14ac:dyDescent="0.3">
      <c r="A18" t="s">
        <v>434</v>
      </c>
      <c r="B18" t="str">
        <f>VLOOKUP(A18,'RM-TRUNG'!A:U,2,0)</f>
        <v>Trương Thị Trang</v>
      </c>
      <c r="D18">
        <f>VLOOKUP(A18,'RM-TRUNG'!A:U,3,0)</f>
        <v>34436</v>
      </c>
    </row>
    <row r="19" spans="1:4" x14ac:dyDescent="0.3">
      <c r="A19" t="s">
        <v>435</v>
      </c>
      <c r="B19" t="str">
        <f>VLOOKUP(A19,'RM-TRUNG'!A:U,2,0)</f>
        <v>Nguyễn Tiến Dương</v>
      </c>
      <c r="D19">
        <f>VLOOKUP(A19,'RM-TRUNG'!A:U,3,0)</f>
        <v>33541</v>
      </c>
    </row>
    <row r="20" spans="1:4" x14ac:dyDescent="0.3">
      <c r="A20" t="s">
        <v>436</v>
      </c>
      <c r="B20" t="str">
        <f>VLOOKUP(A20,'RM-TRUNG'!A:U,2,0)</f>
        <v>Lê Văn Minh Hiếu</v>
      </c>
      <c r="D20">
        <f>VLOOKUP(A20,'RM-TRUNG'!A:U,3,0)</f>
        <v>34413</v>
      </c>
    </row>
    <row r="21" spans="1:4" x14ac:dyDescent="0.3">
      <c r="A21" t="s">
        <v>437</v>
      </c>
      <c r="B21" t="str">
        <f>VLOOKUP(A21,'RM-TRUNG'!A:U,2,0)</f>
        <v>Võ Thị Mỹ Thuận</v>
      </c>
      <c r="D21">
        <f>VLOOKUP(A21,'RM-TRUNG'!A:U,3,0)</f>
        <v>36666</v>
      </c>
    </row>
    <row r="22" spans="1:4" x14ac:dyDescent="0.3">
      <c r="A22" t="s">
        <v>438</v>
      </c>
      <c r="B22" t="str">
        <f>VLOOKUP(A22,'RM-TRUNG'!A:U,2,0)</f>
        <v>Tôn Nữ Hải Châu</v>
      </c>
      <c r="D22" t="str">
        <f>VLOOKUP(A22,'RM-TRUNG'!A:U,3,0)</f>
        <v>14/12/1973</v>
      </c>
    </row>
    <row r="23" spans="1:4" x14ac:dyDescent="0.3">
      <c r="A23" t="s">
        <v>439</v>
      </c>
      <c r="B23" t="str">
        <f>VLOOKUP(A23,'RM-TRUNG'!A:U,2,0)</f>
        <v>Trần Thị Nga</v>
      </c>
      <c r="D23">
        <f>VLOOKUP(A23,'RM-TRUNG'!A:U,3,0)</f>
        <v>32952</v>
      </c>
    </row>
    <row r="24" spans="1:4" x14ac:dyDescent="0.3">
      <c r="A24" t="s">
        <v>440</v>
      </c>
      <c r="B24" t="str">
        <f>VLOOKUP(A24,'RM-TRUNG'!A:U,2,0)</f>
        <v>Lê Thảo Uyên</v>
      </c>
      <c r="D24">
        <f>VLOOKUP(A24,'RM-TRUNG'!A:U,3,0)</f>
        <v>33864</v>
      </c>
    </row>
    <row r="25" spans="1:4" x14ac:dyDescent="0.3">
      <c r="A25" t="s">
        <v>441</v>
      </c>
      <c r="B25" t="str">
        <f>VLOOKUP(A25,'RM-TRUNG'!A:U,2,0)</f>
        <v>Trần Ly Na</v>
      </c>
      <c r="D25">
        <f>VLOOKUP(A25,'RM-TRUNG'!A:U,3,0)</f>
        <v>36624</v>
      </c>
    </row>
    <row r="26" spans="1:4" x14ac:dyDescent="0.3">
      <c r="A26" t="s">
        <v>442</v>
      </c>
      <c r="B26" t="str">
        <f>VLOOKUP(A26,'RM-TRUNG'!A:U,2,0)</f>
        <v>Trần Quang Hiếu</v>
      </c>
      <c r="D26">
        <f>VLOOKUP(A26,'RM-TRUNG'!A:U,3,0)</f>
        <v>34632</v>
      </c>
    </row>
    <row r="27" spans="1:4" x14ac:dyDescent="0.3">
      <c r="A27" t="s">
        <v>443</v>
      </c>
      <c r="B27" t="str">
        <f>VLOOKUP(A27,'RM-TRUNG'!A:U,2,0)</f>
        <v>HUỲNH KIM HƯNG</v>
      </c>
      <c r="D27">
        <f>VLOOKUP(A27,'RM-TRUNG'!A:U,3,0)</f>
        <v>34325</v>
      </c>
    </row>
    <row r="28" spans="1:4" x14ac:dyDescent="0.3">
      <c r="A28" t="s">
        <v>444</v>
      </c>
      <c r="B28" t="str">
        <f>VLOOKUP(A28,'RM-TRUNG'!A:U,2,0)</f>
        <v>LÊ THỊ PHƯƠNG ANH</v>
      </c>
      <c r="D28">
        <f>VLOOKUP(A28,'RM-TRUNG'!A:U,3,0)</f>
        <v>35891</v>
      </c>
    </row>
    <row r="29" spans="1:4" x14ac:dyDescent="0.3">
      <c r="A29" t="s">
        <v>445</v>
      </c>
      <c r="B29" t="str">
        <f>VLOOKUP(A29,'RM-TRUNG'!A:U,2,0)</f>
        <v>TRƯƠNG QUỐC ANH</v>
      </c>
      <c r="D29" t="str">
        <f>VLOOKUP(A29,'RM-TRUNG'!A:U,3,0)</f>
        <v>15/10/1991</v>
      </c>
    </row>
    <row r="30" spans="1:4" x14ac:dyDescent="0.3">
      <c r="A30" t="s">
        <v>446</v>
      </c>
      <c r="B30" t="str">
        <f>VLOOKUP(A30,'RM-TRUNG'!A:U,2,0)</f>
        <v>anh Trực</v>
      </c>
      <c r="D30">
        <f>VLOOKUP(A30,'RM-TRUNG'!A:U,3,0)</f>
        <v>29221</v>
      </c>
    </row>
    <row r="31" spans="1:4" x14ac:dyDescent="0.3">
      <c r="A31" t="s">
        <v>447</v>
      </c>
      <c r="B31" t="str">
        <f>VLOOKUP(A31,'RM-TRUNG'!A:U,2,0)</f>
        <v>NGUYỄN NHƯ LỰC</v>
      </c>
      <c r="D31" t="str">
        <f>VLOOKUP(A31,'RM-TRUNG'!A:U,3,0)</f>
        <v>22/03/1968</v>
      </c>
    </row>
    <row r="32" spans="1:4" x14ac:dyDescent="0.3">
      <c r="A32" t="s">
        <v>448</v>
      </c>
      <c r="B32" t="str">
        <f>VLOOKUP(A32,'RM-TRUNG'!A:U,2,0)</f>
        <v>Trương Thi Phương Nhã</v>
      </c>
      <c r="D32">
        <f>VLOOKUP(A32,'RM-TRUNG'!A:U,3,0)</f>
        <v>1986</v>
      </c>
    </row>
    <row r="33" spans="1:4" x14ac:dyDescent="0.3">
      <c r="A33" t="s">
        <v>449</v>
      </c>
      <c r="B33" t="str">
        <f>VLOOKUP(A33,'RM-TRUNG'!A:U,2,0)</f>
        <v>Trương Phước Quang</v>
      </c>
      <c r="D33">
        <f>VLOOKUP(A33,'RM-TRUNG'!A:U,3,0)</f>
        <v>1991</v>
      </c>
    </row>
    <row r="34" spans="1:4" x14ac:dyDescent="0.3">
      <c r="A34" t="s">
        <v>450</v>
      </c>
      <c r="B34" t="str">
        <f>VLOOKUP(A34,'RM-TRUNG'!A:U,2,0)</f>
        <v>LÊ THỊ PHƯƠNG HẢI</v>
      </c>
      <c r="D34" t="str">
        <f>VLOOKUP(A34,'RM-TRUNG'!A:U,3,0)</f>
        <v>17/12/1990</v>
      </c>
    </row>
    <row r="35" spans="1:4" x14ac:dyDescent="0.3">
      <c r="A35" t="s">
        <v>451</v>
      </c>
      <c r="B35" t="str">
        <f>VLOOKUP(A35,'RM-TRUNG'!A:U,2,0)</f>
        <v>Anh Lộc</v>
      </c>
      <c r="D35">
        <f>VLOOKUP(A35,'RM-TRUNG'!A:U,3,0)</f>
        <v>0</v>
      </c>
    </row>
    <row r="36" spans="1:4" x14ac:dyDescent="0.3">
      <c r="A36" t="s">
        <v>452</v>
      </c>
      <c r="B36" t="str">
        <f>VLOOKUP(A36,'RM-TRUNG'!A:U,2,0)</f>
        <v>Nguyễn Thị Bích Phượng</v>
      </c>
      <c r="D36">
        <f>VLOOKUP(A36,'RM-TRUNG'!A:U,3,0)</f>
        <v>0</v>
      </c>
    </row>
    <row r="37" spans="1:4" x14ac:dyDescent="0.3">
      <c r="A37" t="s">
        <v>453</v>
      </c>
      <c r="B37" t="str">
        <f>VLOOKUP(A37,'RM-TRUNG'!A:U,2,0)</f>
        <v>Phan Anh Quốc</v>
      </c>
      <c r="D37">
        <f>VLOOKUP(A37,'RM-TRUNG'!A:U,3,0)</f>
        <v>0</v>
      </c>
    </row>
    <row r="38" spans="1:4" x14ac:dyDescent="0.3">
      <c r="A38" t="s">
        <v>454</v>
      </c>
      <c r="B38" t="str">
        <f>VLOOKUP(A38,'RM-TRUNG'!A:U,2,0)</f>
        <v>anh Huy</v>
      </c>
      <c r="D38">
        <f>VLOOKUP(A38,'RM-TRUNG'!A:U,3,0)</f>
        <v>0</v>
      </c>
    </row>
    <row r="39" spans="1:4" x14ac:dyDescent="0.3">
      <c r="A39" t="s">
        <v>455</v>
      </c>
      <c r="B39" t="str">
        <f>VLOOKUP(A39,'RM-TRUNG'!A:U,2,0)</f>
        <v>LÊ THỊ DẦN</v>
      </c>
      <c r="D39">
        <f>VLOOKUP(A39,'RM-TRUNG'!A:U,3,0)</f>
        <v>27405</v>
      </c>
    </row>
    <row r="40" spans="1:4" x14ac:dyDescent="0.3">
      <c r="A40" t="s">
        <v>456</v>
      </c>
      <c r="B40" t="str">
        <f>VLOOKUP(A40,'RM-TRUNG'!A:U,2,0)</f>
        <v>Huỳnh Thị Minh Hiền</v>
      </c>
      <c r="D40">
        <f>VLOOKUP(A40,'RM-TRUNG'!A:U,3,0)</f>
        <v>0</v>
      </c>
    </row>
    <row r="41" spans="1:4" x14ac:dyDescent="0.3">
      <c r="A41" t="s">
        <v>457</v>
      </c>
      <c r="B41" t="str">
        <f>VLOOKUP(A41,'RM-TRUNG'!A:U,2,0)</f>
        <v>LÊ THỊ THÚY</v>
      </c>
      <c r="D41">
        <f>VLOOKUP(A41,'RM-TRUNG'!A:U,3,0)</f>
        <v>34465</v>
      </c>
    </row>
    <row r="42" spans="1:4" x14ac:dyDescent="0.3">
      <c r="A42" t="s">
        <v>458</v>
      </c>
      <c r="B42" t="str">
        <f>VLOOKUP(A42,'RM-TRUNG'!A:U,2,0)</f>
        <v>NGUYỄN VĂN CHÍNH</v>
      </c>
      <c r="D42">
        <f>VLOOKUP(A42,'RM-TRUNG'!A:U,3,0)</f>
        <v>31996</v>
      </c>
    </row>
    <row r="43" spans="1:4" x14ac:dyDescent="0.3">
      <c r="A43" t="s">
        <v>459</v>
      </c>
      <c r="B43" t="str">
        <f>VLOOKUP(A43,'RM-TRUNG'!A:U,2,0)</f>
        <v>Lê Thị Duyên</v>
      </c>
      <c r="D43">
        <f>VLOOKUP(A43,'RM-TRUNG'!A:U,3,0)</f>
        <v>31038</v>
      </c>
    </row>
    <row r="44" spans="1:4" x14ac:dyDescent="0.3">
      <c r="A44" t="s">
        <v>460</v>
      </c>
      <c r="B44" t="str">
        <f>VLOOKUP(A44,'RM-TRUNG'!A:U,2,0)</f>
        <v>Đặng Thị Ánh</v>
      </c>
      <c r="D44">
        <f>VLOOKUP(A44,'RM-TRUNG'!A:U,3,0)</f>
        <v>33970</v>
      </c>
    </row>
    <row r="45" spans="1:4" x14ac:dyDescent="0.3">
      <c r="A45" t="s">
        <v>461</v>
      </c>
      <c r="B45" t="str">
        <f>VLOOKUP(A45,'RM-TRUNG'!A:U,2,0)</f>
        <v>DƯƠNG VIẾT NGÂN TRANG</v>
      </c>
      <c r="D45">
        <f>VLOOKUP(A45,'RM-TRUNG'!A:U,3,0)</f>
        <v>0</v>
      </c>
    </row>
    <row r="46" spans="1:4" x14ac:dyDescent="0.3">
      <c r="A46" t="s">
        <v>462</v>
      </c>
      <c r="B46" t="str">
        <f>VLOOKUP(A46,'RM-TRUNG'!A:U,2,0)</f>
        <v>NGUYỄN LONG</v>
      </c>
      <c r="D46">
        <f>VLOOKUP(A46,'RM-TRUNG'!A:U,3,0)</f>
        <v>0</v>
      </c>
    </row>
    <row r="47" spans="1:4" x14ac:dyDescent="0.3">
      <c r="A47" t="s">
        <v>463</v>
      </c>
      <c r="B47" t="str">
        <f>VLOOKUP(A47,'RM-TRUNG'!A:U,2,0)</f>
        <v>chị Đào</v>
      </c>
      <c r="D47">
        <f>VLOOKUP(A47,'RM-TRUNG'!A:U,3,0)</f>
        <v>34898</v>
      </c>
    </row>
    <row r="48" spans="1:4" x14ac:dyDescent="0.3">
      <c r="A48" t="s">
        <v>464</v>
      </c>
      <c r="B48" t="str">
        <f>VLOOKUP(A48,'RM-TRUNG'!A:U,2,0)</f>
        <v>Trần Thị Nguyệt</v>
      </c>
      <c r="D48">
        <f>VLOOKUP(A48,'RM-TRUNG'!A:U,3,0)</f>
        <v>34924</v>
      </c>
    </row>
    <row r="49" spans="1:4" x14ac:dyDescent="0.3">
      <c r="A49" t="s">
        <v>465</v>
      </c>
      <c r="B49" t="str">
        <f>VLOOKUP(A49,'RM-TRUNG'!A:U,2,0)</f>
        <v>NGUYỄN THỊ THANH NGA</v>
      </c>
      <c r="D49">
        <f>VLOOKUP(A49,'RM-TRUNG'!A:U,3,0)</f>
        <v>29501</v>
      </c>
    </row>
    <row r="50" spans="1:4" x14ac:dyDescent="0.3">
      <c r="A50" t="s">
        <v>466</v>
      </c>
      <c r="B50" t="str">
        <f>VLOOKUP(A50,'RM-TRUNG'!A:U,2,0)</f>
        <v>Nguyễn Hoài Vinh</v>
      </c>
      <c r="D50">
        <f>VLOOKUP(A50,'RM-TRUNG'!A:U,3,0)</f>
        <v>33970</v>
      </c>
    </row>
    <row r="51" spans="1:4" x14ac:dyDescent="0.3">
      <c r="A51" t="s">
        <v>467</v>
      </c>
      <c r="B51" t="str">
        <f>VLOOKUP(A51,'RM-TRUNG'!A:U,2,0)</f>
        <v>Trương Diệp Long</v>
      </c>
      <c r="D51">
        <f>VLOOKUP(A51,'RM-TRUNG'!A:U,3,0)</f>
        <v>34898</v>
      </c>
    </row>
    <row r="52" spans="1:4" x14ac:dyDescent="0.3">
      <c r="A52" t="s">
        <v>468</v>
      </c>
      <c r="B52" t="str">
        <f>VLOOKUP(A52,'RM-TRUNG'!A:U,2,0)</f>
        <v>Nguyễn Thị Xuân Giang</v>
      </c>
      <c r="D52" t="str">
        <f>VLOOKUP(A52,'RM-TRUNG'!A:U,3,0)</f>
        <v>27/5/1999</v>
      </c>
    </row>
    <row r="53" spans="1:4" x14ac:dyDescent="0.3">
      <c r="A53" t="s">
        <v>469</v>
      </c>
      <c r="B53" t="str">
        <f>VLOOKUP(A53,'RM-TRUNG'!A:U,2,0)</f>
        <v>Nguyễn Thanh Vân</v>
      </c>
      <c r="D53" t="str">
        <f>VLOOKUP(A53,'RM-TRUNG'!A:U,3,0)</f>
        <v>20/1/1974</v>
      </c>
    </row>
    <row r="54" spans="1:4" x14ac:dyDescent="0.3">
      <c r="A54" t="s">
        <v>470</v>
      </c>
      <c r="B54" t="str">
        <f>VLOOKUP(A54,'RM-TRUNG'!A:U,2,0)</f>
        <v>Lê Quang Thanh</v>
      </c>
      <c r="D54">
        <f>VLOOKUP(A54,'RM-TRUNG'!A:U,3,0)</f>
        <v>29014</v>
      </c>
    </row>
    <row r="55" spans="1:4" x14ac:dyDescent="0.3">
      <c r="A55" t="s">
        <v>471</v>
      </c>
      <c r="B55" t="str">
        <f>VLOOKUP(A55,'RM-TRUNG'!A:U,2,0)</f>
        <v>Trương Thị Tuyết Sương</v>
      </c>
      <c r="D55">
        <f>VLOOKUP(A55,'RM-TRUNG'!A:U,3,0)</f>
        <v>31038</v>
      </c>
    </row>
    <row r="56" spans="1:4" x14ac:dyDescent="0.3">
      <c r="A56" t="s">
        <v>472</v>
      </c>
      <c r="B56" t="str">
        <f>VLOOKUP(A56,'RM-TRUNG'!A:U,2,0)</f>
        <v>Trương Thị Tuyết Nương</v>
      </c>
      <c r="D56">
        <f>VLOOKUP(A56,'RM-TRUNG'!A:U,3,0)</f>
        <v>34924</v>
      </c>
    </row>
    <row r="57" spans="1:4" x14ac:dyDescent="0.3">
      <c r="A57" t="s">
        <v>473</v>
      </c>
      <c r="B57" t="str">
        <f>VLOOKUP(A57,'RM-TRUNG'!A:U,2,0)</f>
        <v>Nguyễn Trung Hiếu</v>
      </c>
      <c r="D57">
        <f>VLOOKUP(A57,'RM-TRUNG'!A:U,3,0)</f>
        <v>35302</v>
      </c>
    </row>
    <row r="58" spans="1:4" x14ac:dyDescent="0.3">
      <c r="A58" t="s">
        <v>474</v>
      </c>
      <c r="B58" t="str">
        <f>VLOOKUP(A58,'RM-TRUNG'!A:U,2,0)</f>
        <v>NGUYỄN THỊ HẢI TRIỀU</v>
      </c>
      <c r="D58">
        <f>VLOOKUP(A58,'RM-TRUNG'!A:U,3,0)</f>
        <v>34610</v>
      </c>
    </row>
    <row r="59" spans="1:4" x14ac:dyDescent="0.3">
      <c r="A59" t="s">
        <v>475</v>
      </c>
      <c r="B59" t="str">
        <f>VLOOKUP(A59,'RM-TRUNG'!A:U,2,0)</f>
        <v>HOÀNG DIỄM THƯ</v>
      </c>
      <c r="D59" t="str">
        <f>VLOOKUP(A59,'RM-TRUNG'!A:U,3,0)</f>
        <v>25/03/1989</v>
      </c>
    </row>
    <row r="60" spans="1:4" x14ac:dyDescent="0.3">
      <c r="A60" t="s">
        <v>476</v>
      </c>
      <c r="B60" t="str">
        <f>VLOOKUP(A60,'RM-TRUNG'!A:U,2,0)</f>
        <v>ĐINH THỊ QUỲNH CHÂU</v>
      </c>
      <c r="D60">
        <f>VLOOKUP(A60,'RM-TRUNG'!A:U,3,0)</f>
        <v>0</v>
      </c>
    </row>
    <row r="61" spans="1:4" x14ac:dyDescent="0.3">
      <c r="A61" t="s">
        <v>477</v>
      </c>
      <c r="B61" t="str">
        <f>VLOOKUP(A61,'RM-TRUNG'!A:U,2,0)</f>
        <v>Lê Hà Tuấn</v>
      </c>
      <c r="D61">
        <f>VLOOKUP(A61,'RM-TRUNG'!A:U,3,0)</f>
        <v>30529</v>
      </c>
    </row>
    <row r="62" spans="1:4" x14ac:dyDescent="0.3">
      <c r="A62" t="s">
        <v>478</v>
      </c>
      <c r="B62" t="str">
        <f>VLOOKUP(A62,'RM-TRUNG'!A:U,2,0)</f>
        <v>Nguyễn Quang Trung</v>
      </c>
      <c r="D62">
        <f>VLOOKUP(A62,'RM-TRUNG'!A:U,3,0)</f>
        <v>31244</v>
      </c>
    </row>
    <row r="63" spans="1:4" x14ac:dyDescent="0.3">
      <c r="A63" t="s">
        <v>479</v>
      </c>
      <c r="B63" t="str">
        <f>VLOOKUP(A63,'RM-TRUNG'!A:U,2,0)</f>
        <v>NGUYỄN THỊ THU HÀ</v>
      </c>
      <c r="D63">
        <f>VLOOKUP(A63,'RM-TRUNG'!A:U,3,0)</f>
        <v>27986</v>
      </c>
    </row>
    <row r="64" spans="1:4" x14ac:dyDescent="0.3">
      <c r="A64" t="s">
        <v>480</v>
      </c>
      <c r="B64" t="str">
        <f>VLOOKUP(A64,'RM-TRUNG'!A:U,2,0)</f>
        <v>TỐNG PHƯỚC TÍCH</v>
      </c>
      <c r="D64">
        <f>VLOOKUP(A64,'RM-TRUNG'!A:U,3,0)</f>
        <v>27041</v>
      </c>
    </row>
    <row r="65" spans="1:4" x14ac:dyDescent="0.3">
      <c r="A65" t="s">
        <v>481</v>
      </c>
      <c r="B65" t="str">
        <f>VLOOKUP(A65,'RM-TRUNG'!A:U,2,0)</f>
        <v>Nguyễn Thị Thu Thuỷ</v>
      </c>
      <c r="D65">
        <f>VLOOKUP(A65,'RM-TRUNG'!A:U,3,0)</f>
        <v>0</v>
      </c>
    </row>
    <row r="66" spans="1:4" x14ac:dyDescent="0.3">
      <c r="A66" t="s">
        <v>482</v>
      </c>
      <c r="B66" t="str">
        <f>VLOOKUP(A66,'RM-TRUNG'!A:U,2,0)</f>
        <v>Nguyễn Đặng Xuân Tú</v>
      </c>
      <c r="D66">
        <f>VLOOKUP(A66,'RM-TRUNG'!A:U,3,0)</f>
        <v>0</v>
      </c>
    </row>
    <row r="67" spans="1:4" x14ac:dyDescent="0.3">
      <c r="A67" t="s">
        <v>483</v>
      </c>
      <c r="B67" t="str">
        <f>VLOOKUP(A67,'RM-TRUNG'!A:U,2,0)</f>
        <v>Nguyễn Trung Hiếu</v>
      </c>
      <c r="D67">
        <f>VLOOKUP(A67,'RM-TRUNG'!A:U,3,0)</f>
        <v>0</v>
      </c>
    </row>
    <row r="68" spans="1:4" x14ac:dyDescent="0.3">
      <c r="A68" t="s">
        <v>485</v>
      </c>
      <c r="B68" t="e">
        <f>VLOOKUP(A68,'RM-TRUNG'!A:U,2,0)</f>
        <v>#N/A</v>
      </c>
      <c r="D68" t="e">
        <f>VLOOKUP(A68,'RM-TRUNG'!A:U,3,0)</f>
        <v>#N/A</v>
      </c>
    </row>
    <row r="69" spans="1:4" x14ac:dyDescent="0.3">
      <c r="A69" t="s">
        <v>486</v>
      </c>
      <c r="B69" t="e">
        <f>VLOOKUP(A69,'RM-TRUNG'!A:U,2,0)</f>
        <v>#N/A</v>
      </c>
      <c r="D69" t="e">
        <f>VLOOKUP(A69,'RM-TRUNG'!A:U,3,0)</f>
        <v>#N/A</v>
      </c>
    </row>
    <row r="70" spans="1:4" x14ac:dyDescent="0.3">
      <c r="A70" t="s">
        <v>487</v>
      </c>
      <c r="B70" t="e">
        <f>VLOOKUP(A70,'RM-TRUNG'!A:U,2,0)</f>
        <v>#N/A</v>
      </c>
      <c r="D70" t="e">
        <f>VLOOKUP(A70,'RM-TRUNG'!A:U,3,0)</f>
        <v>#N/A</v>
      </c>
    </row>
    <row r="71" spans="1:4" x14ac:dyDescent="0.3">
      <c r="A71" t="s">
        <v>488</v>
      </c>
      <c r="B71" t="e">
        <f>VLOOKUP(A71,'RM-TRUNG'!A:U,2,0)</f>
        <v>#N/A</v>
      </c>
      <c r="D71" t="e">
        <f>VLOOKUP(A71,'RM-TRUNG'!A:U,3,0)</f>
        <v>#N/A</v>
      </c>
    </row>
    <row r="72" spans="1:4" x14ac:dyDescent="0.3">
      <c r="A72" t="s">
        <v>489</v>
      </c>
      <c r="B72" t="e">
        <f>VLOOKUP(A72,'RM-TRUNG'!A:U,2,0)</f>
        <v>#N/A</v>
      </c>
      <c r="D72" t="e">
        <f>VLOOKUP(A72,'RM-TRUNG'!A:U,3,0)</f>
        <v>#N/A</v>
      </c>
    </row>
    <row r="73" spans="1:4" x14ac:dyDescent="0.3">
      <c r="A73" t="s">
        <v>490</v>
      </c>
      <c r="B73" t="e">
        <f>VLOOKUP(A73,'RM-TRUNG'!A:U,2,0)</f>
        <v>#N/A</v>
      </c>
      <c r="D73" t="e">
        <f>VLOOKUP(A73,'RM-TRUNG'!A:U,3,0)</f>
        <v>#N/A</v>
      </c>
    </row>
    <row r="74" spans="1:4" x14ac:dyDescent="0.3">
      <c r="A74" t="s">
        <v>491</v>
      </c>
      <c r="B74" t="e">
        <f>VLOOKUP(A74,'RM-TRUNG'!A:U,2,0)</f>
        <v>#N/A</v>
      </c>
      <c r="D74" t="e">
        <f>VLOOKUP(A74,'RM-TRUNG'!A:U,3,0)</f>
        <v>#N/A</v>
      </c>
    </row>
    <row r="75" spans="1:4" x14ac:dyDescent="0.3">
      <c r="A75" t="s">
        <v>492</v>
      </c>
      <c r="B75" t="e">
        <f>VLOOKUP(A75,'RM-TRUNG'!A:U,2,0)</f>
        <v>#N/A</v>
      </c>
      <c r="D75" t="e">
        <f>VLOOKUP(A75,'RM-TRUNG'!A:U,3,0)</f>
        <v>#N/A</v>
      </c>
    </row>
    <row r="76" spans="1:4" x14ac:dyDescent="0.3">
      <c r="A76" t="s">
        <v>493</v>
      </c>
      <c r="B76" t="e">
        <f>VLOOKUP(A76,'RM-TRUNG'!A:U,2,0)</f>
        <v>#N/A</v>
      </c>
      <c r="D76" t="e">
        <f>VLOOKUP(A76,'RM-TRUNG'!A:U,3,0)</f>
        <v>#N/A</v>
      </c>
    </row>
    <row r="77" spans="1:4" x14ac:dyDescent="0.3">
      <c r="A77" t="s">
        <v>494</v>
      </c>
      <c r="B77" t="e">
        <f>VLOOKUP(A77,'RM-TRUNG'!A:U,2,0)</f>
        <v>#N/A</v>
      </c>
      <c r="D77" t="e">
        <f>VLOOKUP(A77,'RM-TRUNG'!A:U,3,0)</f>
        <v>#N/A</v>
      </c>
    </row>
    <row r="78" spans="1:4" x14ac:dyDescent="0.3">
      <c r="A78" t="s">
        <v>495</v>
      </c>
      <c r="B78" t="e">
        <f>VLOOKUP(A78,'RM-TRUNG'!A:U,2,0)</f>
        <v>#N/A</v>
      </c>
      <c r="D78" t="e">
        <f>VLOOKUP(A78,'RM-TRUNG'!A:U,3,0)</f>
        <v>#N/A</v>
      </c>
    </row>
    <row r="79" spans="1:4" x14ac:dyDescent="0.3">
      <c r="A79" t="s">
        <v>496</v>
      </c>
      <c r="B79" t="e">
        <f>VLOOKUP(A79,'RM-TRUNG'!A:U,2,0)</f>
        <v>#N/A</v>
      </c>
      <c r="D79" t="e">
        <f>VLOOKUP(A79,'RM-TRUNG'!A:U,3,0)</f>
        <v>#N/A</v>
      </c>
    </row>
    <row r="80" spans="1:4" x14ac:dyDescent="0.3">
      <c r="A80" t="s">
        <v>497</v>
      </c>
      <c r="B80" t="e">
        <f>VLOOKUP(A80,'RM-TRUNG'!A:U,2,0)</f>
        <v>#N/A</v>
      </c>
      <c r="D80" t="e">
        <f>VLOOKUP(A80,'RM-TRUNG'!A:U,3,0)</f>
        <v>#N/A</v>
      </c>
    </row>
    <row r="81" spans="1:4" x14ac:dyDescent="0.3">
      <c r="A81" t="s">
        <v>498</v>
      </c>
      <c r="B81" t="e">
        <f>VLOOKUP(A81,'RM-TRUNG'!A:U,2,0)</f>
        <v>#N/A</v>
      </c>
      <c r="D81" t="e">
        <f>VLOOKUP(A81,'RM-TRUNG'!A:U,3,0)</f>
        <v>#N/A</v>
      </c>
    </row>
    <row r="82" spans="1:4" x14ac:dyDescent="0.3">
      <c r="A82" t="s">
        <v>499</v>
      </c>
      <c r="B82" t="e">
        <f>VLOOKUP(A82,'RM-TRUNG'!A:U,2,0)</f>
        <v>#N/A</v>
      </c>
      <c r="D82" t="e">
        <f>VLOOKUP(A82,'RM-TRUNG'!A:U,3,0)</f>
        <v>#N/A</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0132BF0-AB9E-4D8D-9A12-7DBC40F7B8EF}">
          <x14:formula1>
            <xm:f>Chung!$A$2:$A$3</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6E4B1-6A5F-4978-AE6B-939DCBE69817}">
  <dimension ref="A1:R9"/>
  <sheetViews>
    <sheetView workbookViewId="0">
      <selection activeCell="N8" sqref="N8"/>
    </sheetView>
  </sheetViews>
  <sheetFormatPr defaultRowHeight="14.4" x14ac:dyDescent="0.3"/>
  <cols>
    <col min="3" max="3" width="12.21875" bestFit="1" customWidth="1"/>
    <col min="5" max="5" width="12.77734375" bestFit="1" customWidth="1"/>
    <col min="7" max="7" width="19" bestFit="1" customWidth="1"/>
    <col min="9" max="9" width="15" customWidth="1"/>
    <col min="14" max="14" width="14" bestFit="1" customWidth="1"/>
  </cols>
  <sheetData>
    <row r="1" spans="1:18" s="1" customFormat="1" x14ac:dyDescent="0.3">
      <c r="A1" s="1" t="s">
        <v>12</v>
      </c>
      <c r="C1" s="1" t="s">
        <v>9</v>
      </c>
      <c r="E1" s="1" t="s">
        <v>10</v>
      </c>
      <c r="G1" s="1" t="s">
        <v>4</v>
      </c>
      <c r="I1" s="2" t="s">
        <v>29</v>
      </c>
      <c r="L1" s="1" t="s">
        <v>27</v>
      </c>
      <c r="N1" s="1" t="s">
        <v>53</v>
      </c>
      <c r="P1" s="1" t="s">
        <v>223</v>
      </c>
      <c r="R1" s="1" t="s">
        <v>52</v>
      </c>
    </row>
    <row r="2" spans="1:18" x14ac:dyDescent="0.3">
      <c r="A2" t="s">
        <v>13</v>
      </c>
      <c r="C2" t="s">
        <v>15</v>
      </c>
      <c r="I2" s="3" t="s">
        <v>31</v>
      </c>
      <c r="L2" t="s">
        <v>87</v>
      </c>
      <c r="N2" t="s">
        <v>217</v>
      </c>
      <c r="P2" t="s">
        <v>215</v>
      </c>
      <c r="R2" t="s">
        <v>82</v>
      </c>
    </row>
    <row r="3" spans="1:18" x14ac:dyDescent="0.3">
      <c r="A3" t="s">
        <v>14</v>
      </c>
      <c r="C3" t="s">
        <v>17</v>
      </c>
      <c r="I3" s="3" t="s">
        <v>32</v>
      </c>
      <c r="L3" t="s">
        <v>88</v>
      </c>
      <c r="N3" t="s">
        <v>218</v>
      </c>
      <c r="P3" t="s">
        <v>214</v>
      </c>
      <c r="R3" t="s">
        <v>83</v>
      </c>
    </row>
    <row r="4" spans="1:18" x14ac:dyDescent="0.3">
      <c r="C4" t="s">
        <v>18</v>
      </c>
      <c r="I4" s="3" t="s">
        <v>33</v>
      </c>
      <c r="L4" t="s">
        <v>89</v>
      </c>
      <c r="N4" t="s">
        <v>219</v>
      </c>
      <c r="R4" t="s">
        <v>85</v>
      </c>
    </row>
    <row r="5" spans="1:18" x14ac:dyDescent="0.3">
      <c r="C5" t="s">
        <v>19</v>
      </c>
      <c r="I5" s="3" t="s">
        <v>34</v>
      </c>
      <c r="L5" t="s">
        <v>90</v>
      </c>
      <c r="N5" t="s">
        <v>220</v>
      </c>
      <c r="R5" t="s">
        <v>79</v>
      </c>
    </row>
    <row r="6" spans="1:18" x14ac:dyDescent="0.3">
      <c r="C6" t="s">
        <v>20</v>
      </c>
      <c r="L6" t="s">
        <v>91</v>
      </c>
      <c r="N6" t="s">
        <v>221</v>
      </c>
      <c r="R6" t="s">
        <v>226</v>
      </c>
    </row>
    <row r="7" spans="1:18" x14ac:dyDescent="0.3">
      <c r="C7" t="s">
        <v>21</v>
      </c>
      <c r="N7" t="s">
        <v>224</v>
      </c>
      <c r="R7" t="s">
        <v>227</v>
      </c>
    </row>
    <row r="8" spans="1:18" x14ac:dyDescent="0.3">
      <c r="R8" t="s">
        <v>228</v>
      </c>
    </row>
    <row r="9" spans="1:18" x14ac:dyDescent="0.3">
      <c r="R9"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7A53-3247-48AF-8D78-171422CA9B4C}">
  <dimension ref="A1:D1"/>
  <sheetViews>
    <sheetView workbookViewId="0">
      <selection activeCell="C2" sqref="C2"/>
    </sheetView>
  </sheetViews>
  <sheetFormatPr defaultRowHeight="14.4" x14ac:dyDescent="0.3"/>
  <cols>
    <col min="2" max="2" width="14.21875" customWidth="1"/>
    <col min="3" max="3" width="13.33203125" customWidth="1"/>
    <col min="4" max="4" width="17.33203125" customWidth="1"/>
  </cols>
  <sheetData>
    <row r="1" spans="1:4" s="1" customFormat="1" x14ac:dyDescent="0.3">
      <c r="A1" s="1" t="s">
        <v>0</v>
      </c>
      <c r="B1" s="1" t="s">
        <v>46</v>
      </c>
      <c r="C1" s="1" t="s">
        <v>47</v>
      </c>
      <c r="D1" s="1"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C355-158B-4291-967E-E72E451CF2C5}">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2B753-8E58-4551-9337-DA65CE180ACE}">
  <dimension ref="A1"/>
  <sheetViews>
    <sheetView workbookViewId="0">
      <selection activeCell="B1" sqref="B1"/>
    </sheetView>
  </sheetViews>
  <sheetFormatPr defaultRowHeight="14.4" x14ac:dyDescent="0.3"/>
  <sheetData>
    <row r="1" spans="1:1" x14ac:dyDescent="0.3">
      <c r="A1"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E2D23-AA3D-423C-89A2-5CCFA1B7414D}">
  <dimension ref="A1:B5"/>
  <sheetViews>
    <sheetView workbookViewId="0"/>
  </sheetViews>
  <sheetFormatPr defaultRowHeight="14.4" x14ac:dyDescent="0.3"/>
  <cols>
    <col min="1" max="1" width="8.88671875" customWidth="1"/>
    <col min="2" max="2" width="19.33203125" customWidth="1"/>
    <col min="3" max="3" width="15.33203125" customWidth="1"/>
  </cols>
  <sheetData>
    <row r="1" spans="1:2" s="1" customFormat="1" x14ac:dyDescent="0.3">
      <c r="A1" s="1" t="s">
        <v>1</v>
      </c>
      <c r="B1" s="1" t="s">
        <v>11</v>
      </c>
    </row>
    <row r="2" spans="1:2" x14ac:dyDescent="0.3">
      <c r="A2" t="s">
        <v>57</v>
      </c>
      <c r="B2" t="s">
        <v>229</v>
      </c>
    </row>
    <row r="3" spans="1:2" x14ac:dyDescent="0.3">
      <c r="A3" t="s">
        <v>58</v>
      </c>
      <c r="B3" t="s">
        <v>230</v>
      </c>
    </row>
    <row r="4" spans="1:2" x14ac:dyDescent="0.3">
      <c r="A4" t="s">
        <v>59</v>
      </c>
      <c r="B4" t="s">
        <v>231</v>
      </c>
    </row>
    <row r="5" spans="1:2" x14ac:dyDescent="0.3">
      <c r="A5" t="s">
        <v>60</v>
      </c>
      <c r="B5" t="s">
        <v>232</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20467-B4EC-405E-9BFF-65DB0F4C0BDE}">
  <dimension ref="A1:X69"/>
  <sheetViews>
    <sheetView workbookViewId="0">
      <selection activeCell="P9" sqref="P9"/>
    </sheetView>
  </sheetViews>
  <sheetFormatPr defaultColWidth="11.77734375" defaultRowHeight="15.6" x14ac:dyDescent="0.3"/>
  <cols>
    <col min="1" max="1" width="11.77734375" style="184"/>
    <col min="2" max="2" width="28" style="184" bestFit="1" customWidth="1"/>
    <col min="3" max="4" width="12.21875" style="177" bestFit="1" customWidth="1"/>
    <col min="5" max="5" width="16.109375" style="177" customWidth="1"/>
    <col min="6" max="6" width="12.109375" style="177" bestFit="1" customWidth="1"/>
    <col min="7" max="7" width="14.77734375" style="184" bestFit="1" customWidth="1"/>
    <col min="8" max="8" width="16.33203125" style="178" bestFit="1" customWidth="1"/>
    <col min="9" max="9" width="23.77734375" style="176" bestFit="1" customWidth="1"/>
    <col min="10" max="10" width="126.6640625" style="184" customWidth="1"/>
    <col min="11" max="11" width="42.77734375" style="184" bestFit="1" customWidth="1"/>
    <col min="12" max="12" width="20.33203125" style="184" customWidth="1"/>
    <col min="13" max="13" width="21.21875" style="184" customWidth="1"/>
    <col min="14" max="14" width="15.44140625" style="175" bestFit="1" customWidth="1"/>
    <col min="15" max="15" width="21.77734375" style="176" bestFit="1" customWidth="1"/>
    <col min="16" max="16" width="20.77734375" style="184" bestFit="1" customWidth="1"/>
    <col min="17" max="17" width="24.21875" style="184" bestFit="1" customWidth="1"/>
    <col min="18" max="18" width="33.77734375" style="184" bestFit="1" customWidth="1"/>
    <col min="19" max="19" width="14" style="184" bestFit="1" customWidth="1"/>
    <col min="20" max="20" width="26.21875" style="184" bestFit="1" customWidth="1"/>
    <col min="21" max="21" width="17.6640625" style="184" bestFit="1" customWidth="1"/>
    <col min="22" max="16384" width="11.77734375" style="184"/>
  </cols>
  <sheetData>
    <row r="1" spans="1:22" ht="30" customHeight="1" x14ac:dyDescent="0.3">
      <c r="B1" s="179"/>
      <c r="C1" s="179"/>
      <c r="D1" s="179"/>
      <c r="E1" s="179"/>
      <c r="F1" s="179"/>
      <c r="G1" s="179"/>
      <c r="H1" s="179"/>
      <c r="I1" s="179"/>
      <c r="J1" s="179"/>
      <c r="K1" s="179"/>
      <c r="L1" s="179"/>
      <c r="M1" s="179"/>
      <c r="N1" s="179"/>
      <c r="O1" s="179"/>
      <c r="P1" s="179"/>
      <c r="Q1" s="179"/>
      <c r="R1" s="179"/>
      <c r="S1" s="179"/>
      <c r="T1" s="179"/>
      <c r="U1" s="179"/>
    </row>
    <row r="2" spans="1:22" ht="21" customHeight="1" x14ac:dyDescent="0.3">
      <c r="B2" s="181" t="s">
        <v>61</v>
      </c>
      <c r="C2" s="181"/>
      <c r="D2" s="182" t="s">
        <v>62</v>
      </c>
      <c r="E2" s="182"/>
      <c r="F2" s="182"/>
      <c r="G2" s="182"/>
      <c r="H2" s="182"/>
      <c r="I2" s="182"/>
      <c r="J2" s="183" t="s">
        <v>44</v>
      </c>
      <c r="K2" s="183"/>
      <c r="L2" s="183"/>
      <c r="M2" s="183"/>
      <c r="N2" s="180" t="s">
        <v>45</v>
      </c>
      <c r="O2" s="180"/>
      <c r="P2" s="180"/>
      <c r="Q2" s="180"/>
      <c r="R2" s="180"/>
      <c r="S2" s="180"/>
      <c r="T2" s="180"/>
      <c r="U2" s="180"/>
    </row>
    <row r="3" spans="1:22" ht="46.8" x14ac:dyDescent="0.3">
      <c r="A3" s="184" t="s">
        <v>24</v>
      </c>
      <c r="B3" s="45" t="s">
        <v>67</v>
      </c>
      <c r="C3" s="46" t="s">
        <v>68</v>
      </c>
      <c r="D3" s="47" t="s">
        <v>69</v>
      </c>
      <c r="E3" s="47" t="s">
        <v>70</v>
      </c>
      <c r="F3" s="47" t="s">
        <v>484</v>
      </c>
      <c r="G3" s="48" t="s">
        <v>71</v>
      </c>
      <c r="H3" s="49" t="s">
        <v>72</v>
      </c>
      <c r="I3" s="50" t="s">
        <v>73</v>
      </c>
      <c r="J3" s="51" t="s">
        <v>74</v>
      </c>
      <c r="K3" s="51" t="s">
        <v>75</v>
      </c>
      <c r="L3" s="51" t="s">
        <v>76</v>
      </c>
      <c r="M3" s="52" t="s">
        <v>77</v>
      </c>
      <c r="N3" s="41" t="s">
        <v>45</v>
      </c>
      <c r="O3" s="42" t="s">
        <v>233</v>
      </c>
      <c r="P3" s="43" t="s">
        <v>63</v>
      </c>
      <c r="Q3" s="44" t="s">
        <v>81</v>
      </c>
      <c r="R3" s="44" t="s">
        <v>234</v>
      </c>
      <c r="S3" s="41" t="s">
        <v>64</v>
      </c>
      <c r="T3" s="43" t="s">
        <v>65</v>
      </c>
      <c r="U3" s="43" t="s">
        <v>66</v>
      </c>
    </row>
    <row r="4" spans="1:22" s="64" customFormat="1" ht="30" x14ac:dyDescent="0.3">
      <c r="A4" s="64" t="s">
        <v>418</v>
      </c>
      <c r="B4" s="58" t="s">
        <v>239</v>
      </c>
      <c r="C4" s="59">
        <v>33652</v>
      </c>
      <c r="D4" s="60">
        <v>2</v>
      </c>
      <c r="E4" s="60">
        <v>6</v>
      </c>
      <c r="F4" s="189">
        <f>DATEVALUE(CONCATENATE(D4,"/",E4, "/",2023))</f>
        <v>45079</v>
      </c>
      <c r="G4" s="55" t="s">
        <v>84</v>
      </c>
      <c r="H4" s="61">
        <v>70000000</v>
      </c>
      <c r="I4" s="62" t="s">
        <v>30</v>
      </c>
      <c r="J4" s="56" t="s">
        <v>240</v>
      </c>
      <c r="K4" s="56"/>
      <c r="L4" s="53"/>
      <c r="M4" s="53"/>
      <c r="N4" s="54">
        <v>9355</v>
      </c>
      <c r="O4" s="55" t="s">
        <v>235</v>
      </c>
      <c r="P4" s="55" t="s">
        <v>220</v>
      </c>
      <c r="Q4" s="53" t="s">
        <v>236</v>
      </c>
      <c r="R4" s="53" t="s">
        <v>237</v>
      </c>
      <c r="S4" s="56">
        <v>11405404</v>
      </c>
      <c r="T4" s="56" t="s">
        <v>238</v>
      </c>
      <c r="U4" s="57" t="s">
        <v>79</v>
      </c>
      <c r="V4" s="63"/>
    </row>
    <row r="5" spans="1:22" x14ac:dyDescent="0.3">
      <c r="A5" s="64" t="s">
        <v>419</v>
      </c>
      <c r="B5" s="68" t="s">
        <v>243</v>
      </c>
      <c r="C5" s="69"/>
      <c r="D5" s="70">
        <v>2</v>
      </c>
      <c r="E5" s="71">
        <v>6</v>
      </c>
      <c r="F5" s="189">
        <f>DATEVALUE(CONCATENATE(D5,"/",E5, "/",2023))</f>
        <v>45079</v>
      </c>
      <c r="G5" s="65" t="s">
        <v>80</v>
      </c>
      <c r="H5" s="72">
        <v>20000000</v>
      </c>
      <c r="I5" s="73" t="s">
        <v>30</v>
      </c>
      <c r="J5" s="74" t="s">
        <v>244</v>
      </c>
      <c r="K5" s="75"/>
      <c r="L5" s="57"/>
      <c r="M5" s="57"/>
      <c r="N5" s="65">
        <v>9360</v>
      </c>
      <c r="O5" s="53" t="str">
        <f>IFERROR(VLOOKUP(N5,[4]DSML!E:J,6,0),"")</f>
        <v>CN Hòa Xuân</v>
      </c>
      <c r="P5" s="65" t="str">
        <f>IFERROR(VLOOKUP(N5,[4]DSML!E:G,3,0),"")</f>
        <v>Khu vực Miền Trung</v>
      </c>
      <c r="Q5" s="57" t="s">
        <v>236</v>
      </c>
      <c r="R5" s="57" t="s">
        <v>241</v>
      </c>
      <c r="S5" s="66">
        <v>10034813</v>
      </c>
      <c r="T5" s="67" t="s">
        <v>242</v>
      </c>
      <c r="U5" s="57" t="s">
        <v>79</v>
      </c>
      <c r="V5" s="76"/>
    </row>
    <row r="6" spans="1:22" x14ac:dyDescent="0.3">
      <c r="A6" s="64" t="s">
        <v>420</v>
      </c>
      <c r="B6" s="77" t="s">
        <v>245</v>
      </c>
      <c r="C6" s="78"/>
      <c r="D6" s="70">
        <v>2</v>
      </c>
      <c r="E6" s="71">
        <v>6</v>
      </c>
      <c r="F6" s="189">
        <f t="shared" ref="F6:F69" si="0">DATEVALUE(CONCATENATE(D6,"/",E6, "/",2023))</f>
        <v>45079</v>
      </c>
      <c r="G6" s="65" t="s">
        <v>80</v>
      </c>
      <c r="H6" s="72">
        <v>20000000</v>
      </c>
      <c r="I6" s="73" t="s">
        <v>30</v>
      </c>
      <c r="J6" s="74" t="s">
        <v>246</v>
      </c>
      <c r="K6" s="79"/>
      <c r="L6" s="57"/>
      <c r="M6" s="57"/>
      <c r="N6" s="65">
        <v>9360</v>
      </c>
      <c r="O6" s="53" t="str">
        <f>IFERROR(VLOOKUP(N6,[4]DSML!E:J,6,0),"")</f>
        <v>CN Hòa Xuân</v>
      </c>
      <c r="P6" s="65" t="str">
        <f>IFERROR(VLOOKUP(N6,[4]DSML!E:G,3,0),"")</f>
        <v>Khu vực Miền Trung</v>
      </c>
      <c r="Q6" s="57" t="s">
        <v>236</v>
      </c>
      <c r="R6" s="57" t="s">
        <v>241</v>
      </c>
      <c r="S6" s="66">
        <v>10034813</v>
      </c>
      <c r="T6" s="67" t="s">
        <v>242</v>
      </c>
      <c r="U6" s="57" t="s">
        <v>79</v>
      </c>
      <c r="V6" s="80"/>
    </row>
    <row r="7" spans="1:22" x14ac:dyDescent="0.3">
      <c r="A7" s="64" t="s">
        <v>421</v>
      </c>
      <c r="B7" s="53" t="s">
        <v>247</v>
      </c>
      <c r="C7" s="69"/>
      <c r="D7" s="70">
        <v>2</v>
      </c>
      <c r="E7" s="71">
        <v>6</v>
      </c>
      <c r="F7" s="189">
        <f t="shared" si="0"/>
        <v>45079</v>
      </c>
      <c r="G7" s="65" t="s">
        <v>80</v>
      </c>
      <c r="H7" s="72">
        <v>20000000</v>
      </c>
      <c r="I7" s="73" t="s">
        <v>30</v>
      </c>
      <c r="J7" s="74" t="s">
        <v>248</v>
      </c>
      <c r="K7" s="75" t="s">
        <v>249</v>
      </c>
      <c r="L7" s="57" t="s">
        <v>250</v>
      </c>
      <c r="M7" s="57"/>
      <c r="N7" s="65">
        <v>9360</v>
      </c>
      <c r="O7" s="53" t="str">
        <f>IFERROR(VLOOKUP(N7,[4]DSML!E:J,6,0),"")</f>
        <v>CN Hòa Xuân</v>
      </c>
      <c r="P7" s="65" t="str">
        <f>IFERROR(VLOOKUP(N7,[4]DSML!E:G,3,0),"")</f>
        <v>Khu vực Miền Trung</v>
      </c>
      <c r="Q7" s="57" t="s">
        <v>236</v>
      </c>
      <c r="R7" s="57" t="s">
        <v>241</v>
      </c>
      <c r="S7" s="66">
        <v>10034813</v>
      </c>
      <c r="T7" s="67" t="s">
        <v>242</v>
      </c>
      <c r="U7" s="57" t="s">
        <v>79</v>
      </c>
    </row>
    <row r="8" spans="1:22" x14ac:dyDescent="0.3">
      <c r="A8" s="64" t="s">
        <v>422</v>
      </c>
      <c r="B8" s="82" t="s">
        <v>253</v>
      </c>
      <c r="C8" s="83" t="s">
        <v>254</v>
      </c>
      <c r="D8" s="71">
        <v>2</v>
      </c>
      <c r="E8" s="71">
        <v>6</v>
      </c>
      <c r="F8" s="189">
        <f t="shared" si="0"/>
        <v>45079</v>
      </c>
      <c r="G8" s="65" t="s">
        <v>84</v>
      </c>
      <c r="H8" s="72">
        <v>21000000</v>
      </c>
      <c r="I8" s="73" t="s">
        <v>30</v>
      </c>
      <c r="J8" s="75" t="s">
        <v>255</v>
      </c>
      <c r="K8" s="75" t="s">
        <v>249</v>
      </c>
      <c r="L8" s="57" t="s">
        <v>250</v>
      </c>
      <c r="M8" s="57"/>
      <c r="N8" s="65">
        <v>9366</v>
      </c>
      <c r="O8" s="53" t="str">
        <f>IFERROR(VLOOKUP(N8,[5]DSML!E:J,6,0),"")</f>
        <v>CN Thừa Thiên Huế</v>
      </c>
      <c r="P8" s="53" t="str">
        <f>IFERROR(VLOOKUP(N8,[5]DSML!E:G,3,0),"")</f>
        <v>Khu vực Miền Trung</v>
      </c>
      <c r="Q8" s="57" t="s">
        <v>236</v>
      </c>
      <c r="R8" s="57" t="s">
        <v>251</v>
      </c>
      <c r="S8" s="81">
        <v>10168561</v>
      </c>
      <c r="T8" s="67" t="s">
        <v>252</v>
      </c>
      <c r="U8" s="57" t="s">
        <v>82</v>
      </c>
    </row>
    <row r="9" spans="1:22" s="185" customFormat="1" x14ac:dyDescent="0.3">
      <c r="A9" s="64" t="s">
        <v>423</v>
      </c>
      <c r="B9" s="82" t="s">
        <v>257</v>
      </c>
      <c r="C9" s="83" t="s">
        <v>258</v>
      </c>
      <c r="D9" s="85">
        <v>2</v>
      </c>
      <c r="E9" s="85">
        <v>6</v>
      </c>
      <c r="F9" s="189">
        <f t="shared" si="0"/>
        <v>45079</v>
      </c>
      <c r="G9" s="53" t="s">
        <v>80</v>
      </c>
      <c r="H9" s="86">
        <v>20000000</v>
      </c>
      <c r="I9" s="73" t="s">
        <v>30</v>
      </c>
      <c r="J9" s="79" t="s">
        <v>259</v>
      </c>
      <c r="K9" s="87"/>
      <c r="L9" s="87"/>
      <c r="M9" s="87"/>
      <c r="N9" s="65">
        <v>9366</v>
      </c>
      <c r="O9" s="53" t="str">
        <f>IFERROR(VLOOKUP(N9,[5]DSML!E:J,6,0),"")</f>
        <v>CN Thừa Thiên Huế</v>
      </c>
      <c r="P9" s="53" t="str">
        <f>IFERROR(VLOOKUP(N9,[5]DSML!E:G,3,0),"")</f>
        <v>Khu vực Miền Trung</v>
      </c>
      <c r="Q9" s="57" t="s">
        <v>236</v>
      </c>
      <c r="R9" s="57" t="s">
        <v>251</v>
      </c>
      <c r="S9" s="66">
        <v>10970349</v>
      </c>
      <c r="T9" s="77" t="s">
        <v>256</v>
      </c>
      <c r="U9" s="53" t="s">
        <v>79</v>
      </c>
    </row>
    <row r="10" spans="1:22" x14ac:dyDescent="0.3">
      <c r="A10" s="64" t="s">
        <v>424</v>
      </c>
      <c r="B10" s="90" t="s">
        <v>261</v>
      </c>
      <c r="C10" s="91">
        <v>30722</v>
      </c>
      <c r="D10" s="92">
        <v>5</v>
      </c>
      <c r="E10" s="92">
        <v>6</v>
      </c>
      <c r="F10" s="189">
        <f t="shared" si="0"/>
        <v>45082</v>
      </c>
      <c r="G10" s="65" t="s">
        <v>78</v>
      </c>
      <c r="H10" s="72">
        <v>10000000</v>
      </c>
      <c r="I10" s="62" t="s">
        <v>30</v>
      </c>
      <c r="J10" s="75" t="s">
        <v>262</v>
      </c>
      <c r="K10" s="57"/>
      <c r="L10" s="57"/>
      <c r="M10" s="57"/>
      <c r="N10" s="54">
        <v>9355</v>
      </c>
      <c r="O10" s="55" t="s">
        <v>235</v>
      </c>
      <c r="P10" s="53" t="str">
        <f>IFERROR(VLOOKUP(N10,[6]DSML!E:G,3,0),"")</f>
        <v>Khu vực Miền Trung</v>
      </c>
      <c r="Q10" s="53" t="s">
        <v>236</v>
      </c>
      <c r="R10" s="53" t="s">
        <v>237</v>
      </c>
      <c r="S10" s="88">
        <v>11115202</v>
      </c>
      <c r="T10" s="89" t="s">
        <v>260</v>
      </c>
      <c r="U10" s="75" t="s">
        <v>83</v>
      </c>
    </row>
    <row r="11" spans="1:22" x14ac:dyDescent="0.3">
      <c r="A11" s="64" t="s">
        <v>425</v>
      </c>
      <c r="B11" s="90" t="s">
        <v>264</v>
      </c>
      <c r="C11" s="91">
        <v>33895</v>
      </c>
      <c r="D11" s="92">
        <v>5</v>
      </c>
      <c r="E11" s="92">
        <v>6</v>
      </c>
      <c r="F11" s="189">
        <f t="shared" si="0"/>
        <v>45082</v>
      </c>
      <c r="G11" s="65" t="s">
        <v>78</v>
      </c>
      <c r="H11" s="72">
        <v>12000000</v>
      </c>
      <c r="I11" s="62" t="s">
        <v>265</v>
      </c>
      <c r="J11" s="75" t="s">
        <v>266</v>
      </c>
      <c r="K11" s="57" t="s">
        <v>250</v>
      </c>
      <c r="L11" s="57"/>
      <c r="M11" s="57"/>
      <c r="N11" s="54">
        <v>9355</v>
      </c>
      <c r="O11" s="55" t="s">
        <v>235</v>
      </c>
      <c r="P11" s="53" t="str">
        <f>IFERROR(VLOOKUP(N11,[6]DSML!E:G,3,0),"")</f>
        <v>Khu vực Miền Trung</v>
      </c>
      <c r="Q11" s="53" t="s">
        <v>236</v>
      </c>
      <c r="R11" s="53" t="s">
        <v>237</v>
      </c>
      <c r="S11" s="88">
        <v>11092762</v>
      </c>
      <c r="T11" s="75" t="s">
        <v>263</v>
      </c>
      <c r="U11" s="57" t="s">
        <v>79</v>
      </c>
    </row>
    <row r="12" spans="1:22" x14ac:dyDescent="0.3">
      <c r="A12" s="64" t="s">
        <v>426</v>
      </c>
      <c r="B12" s="67" t="s">
        <v>270</v>
      </c>
      <c r="C12" s="95" t="s">
        <v>271</v>
      </c>
      <c r="D12" s="96">
        <v>5</v>
      </c>
      <c r="E12" s="85">
        <v>6</v>
      </c>
      <c r="F12" s="189">
        <f t="shared" si="0"/>
        <v>45082</v>
      </c>
      <c r="G12" s="65" t="s">
        <v>80</v>
      </c>
      <c r="H12" s="86">
        <v>21000000</v>
      </c>
      <c r="I12" s="73" t="s">
        <v>265</v>
      </c>
      <c r="J12" s="74" t="s">
        <v>272</v>
      </c>
      <c r="K12" s="57" t="s">
        <v>250</v>
      </c>
      <c r="L12" s="57"/>
      <c r="M12" s="57"/>
      <c r="N12" s="54">
        <v>9368</v>
      </c>
      <c r="O12" s="55" t="s">
        <v>267</v>
      </c>
      <c r="P12" s="55" t="s">
        <v>220</v>
      </c>
      <c r="Q12" s="53" t="s">
        <v>236</v>
      </c>
      <c r="R12" s="57" t="s">
        <v>268</v>
      </c>
      <c r="S12" s="93">
        <v>10109415</v>
      </c>
      <c r="T12" s="94" t="s">
        <v>269</v>
      </c>
      <c r="U12" s="57" t="s">
        <v>79</v>
      </c>
    </row>
    <row r="13" spans="1:22" x14ac:dyDescent="0.3">
      <c r="A13" s="64" t="s">
        <v>427</v>
      </c>
      <c r="B13" s="90" t="s">
        <v>274</v>
      </c>
      <c r="C13" s="91">
        <v>35181</v>
      </c>
      <c r="D13" s="92">
        <v>6</v>
      </c>
      <c r="E13" s="92">
        <v>6</v>
      </c>
      <c r="F13" s="189">
        <f t="shared" si="0"/>
        <v>45083</v>
      </c>
      <c r="G13" s="65" t="s">
        <v>84</v>
      </c>
      <c r="H13" s="86">
        <v>20000000</v>
      </c>
      <c r="I13" s="62" t="s">
        <v>265</v>
      </c>
      <c r="J13" s="75" t="s">
        <v>275</v>
      </c>
      <c r="K13" s="57" t="s">
        <v>276</v>
      </c>
      <c r="L13" s="75"/>
      <c r="M13" s="186"/>
      <c r="N13" s="54">
        <v>9355</v>
      </c>
      <c r="O13" s="55" t="s">
        <v>235</v>
      </c>
      <c r="P13" s="53" t="str">
        <f>IFERROR(VLOOKUP(N13,[7]DSML!E:G,3,0),"")</f>
        <v>Khu vực Miền Trung</v>
      </c>
      <c r="Q13" s="53" t="s">
        <v>236</v>
      </c>
      <c r="R13" s="53" t="s">
        <v>237</v>
      </c>
      <c r="S13" s="88">
        <v>10694630</v>
      </c>
      <c r="T13" s="75" t="s">
        <v>273</v>
      </c>
      <c r="U13" s="57" t="s">
        <v>79</v>
      </c>
    </row>
    <row r="14" spans="1:22" x14ac:dyDescent="0.3">
      <c r="A14" s="64" t="s">
        <v>428</v>
      </c>
      <c r="B14" s="90" t="s">
        <v>277</v>
      </c>
      <c r="C14" s="91">
        <v>35590</v>
      </c>
      <c r="D14" s="92">
        <v>6</v>
      </c>
      <c r="E14" s="92">
        <v>6</v>
      </c>
      <c r="F14" s="189">
        <f t="shared" si="0"/>
        <v>45083</v>
      </c>
      <c r="G14" s="65" t="s">
        <v>84</v>
      </c>
      <c r="H14" s="86">
        <v>20000000</v>
      </c>
      <c r="I14" s="62" t="s">
        <v>265</v>
      </c>
      <c r="J14" s="75" t="s">
        <v>278</v>
      </c>
      <c r="K14" s="57" t="s">
        <v>276</v>
      </c>
      <c r="L14" s="75"/>
      <c r="M14" s="186"/>
      <c r="N14" s="54">
        <v>9355</v>
      </c>
      <c r="O14" s="55" t="s">
        <v>235</v>
      </c>
      <c r="P14" s="53" t="str">
        <f>IFERROR(VLOOKUP(N14,[7]DSML!E:G,3,0),"")</f>
        <v>Khu vực Miền Trung</v>
      </c>
      <c r="Q14" s="53" t="s">
        <v>236</v>
      </c>
      <c r="R14" s="53" t="s">
        <v>237</v>
      </c>
      <c r="S14" s="88">
        <v>11092762</v>
      </c>
      <c r="T14" s="75" t="s">
        <v>263</v>
      </c>
      <c r="U14" s="57" t="s">
        <v>79</v>
      </c>
    </row>
    <row r="15" spans="1:22" x14ac:dyDescent="0.3">
      <c r="A15" s="64" t="s">
        <v>429</v>
      </c>
      <c r="B15" s="90" t="s">
        <v>280</v>
      </c>
      <c r="C15" s="91">
        <v>34436</v>
      </c>
      <c r="D15" s="92">
        <v>6</v>
      </c>
      <c r="E15" s="92">
        <v>6</v>
      </c>
      <c r="F15" s="189">
        <f t="shared" si="0"/>
        <v>45083</v>
      </c>
      <c r="G15" s="65" t="s">
        <v>84</v>
      </c>
      <c r="H15" s="86">
        <v>20000000</v>
      </c>
      <c r="I15" s="62" t="s">
        <v>30</v>
      </c>
      <c r="J15" s="75" t="s">
        <v>281</v>
      </c>
      <c r="K15" s="57" t="s">
        <v>250</v>
      </c>
      <c r="L15" s="75"/>
      <c r="M15" s="186"/>
      <c r="N15" s="54">
        <v>9355</v>
      </c>
      <c r="O15" s="55" t="s">
        <v>235</v>
      </c>
      <c r="P15" s="53" t="str">
        <f>IFERROR(VLOOKUP(N15,[7]DSML!E:G,3,0),"")</f>
        <v>Khu vực Miền Trung</v>
      </c>
      <c r="Q15" s="53" t="s">
        <v>236</v>
      </c>
      <c r="R15" s="53" t="s">
        <v>237</v>
      </c>
      <c r="S15" s="65">
        <v>11023108</v>
      </c>
      <c r="T15" s="89" t="s">
        <v>279</v>
      </c>
      <c r="U15" s="57" t="s">
        <v>79</v>
      </c>
    </row>
    <row r="16" spans="1:22" s="185" customFormat="1" x14ac:dyDescent="0.3">
      <c r="A16" s="64" t="s">
        <v>430</v>
      </c>
      <c r="B16" s="100" t="s">
        <v>284</v>
      </c>
      <c r="C16" s="101">
        <v>34613</v>
      </c>
      <c r="D16" s="102">
        <v>6</v>
      </c>
      <c r="E16" s="103">
        <v>6</v>
      </c>
      <c r="F16" s="189">
        <f t="shared" si="0"/>
        <v>45083</v>
      </c>
      <c r="G16" s="104" t="s">
        <v>80</v>
      </c>
      <c r="H16" s="105">
        <v>13761000</v>
      </c>
      <c r="I16" s="106" t="s">
        <v>285</v>
      </c>
      <c r="J16" s="107" t="s">
        <v>286</v>
      </c>
      <c r="K16" s="84" t="s">
        <v>250</v>
      </c>
      <c r="L16" s="87"/>
      <c r="M16" s="187"/>
      <c r="N16" s="97">
        <v>9367</v>
      </c>
      <c r="O16" s="98" t="str">
        <f>IFERROR(VLOOKUP(N16,[8]DSML!E:J,6,0),"")</f>
        <v>CN Đông Ba</v>
      </c>
      <c r="P16" s="97" t="str">
        <f>IFERROR(VLOOKUP(N16,[8]DSML!E:G,3,0),"")</f>
        <v>Khu vực Miền Trung</v>
      </c>
      <c r="Q16" s="84" t="s">
        <v>236</v>
      </c>
      <c r="R16" s="98" t="s">
        <v>282</v>
      </c>
      <c r="S16" s="99"/>
      <c r="T16" s="100" t="s">
        <v>283</v>
      </c>
      <c r="U16" s="100" t="s">
        <v>79</v>
      </c>
    </row>
    <row r="17" spans="1:24" s="185" customFormat="1" x14ac:dyDescent="0.3">
      <c r="A17" s="64" t="s">
        <v>431</v>
      </c>
      <c r="B17" s="100" t="s">
        <v>289</v>
      </c>
      <c r="C17" s="101">
        <v>35920</v>
      </c>
      <c r="D17" s="102">
        <v>6</v>
      </c>
      <c r="E17" s="103">
        <v>6</v>
      </c>
      <c r="F17" s="189">
        <f t="shared" si="0"/>
        <v>45083</v>
      </c>
      <c r="G17" s="104" t="s">
        <v>80</v>
      </c>
      <c r="H17" s="105">
        <v>12765000</v>
      </c>
      <c r="I17" s="106" t="s">
        <v>285</v>
      </c>
      <c r="J17" s="107" t="s">
        <v>286</v>
      </c>
      <c r="K17" s="87" t="s">
        <v>290</v>
      </c>
      <c r="L17" s="87"/>
      <c r="M17" s="187"/>
      <c r="N17" s="97">
        <v>9367</v>
      </c>
      <c r="O17" s="98" t="s">
        <v>287</v>
      </c>
      <c r="P17" s="97" t="str">
        <f>IFERROR(VLOOKUP(N17,[8]DSML!E:G,3,0),"")</f>
        <v>Khu vực Miền Trung</v>
      </c>
      <c r="Q17" s="84" t="s">
        <v>236</v>
      </c>
      <c r="R17" s="98" t="s">
        <v>282</v>
      </c>
      <c r="S17" s="99">
        <v>11410698</v>
      </c>
      <c r="T17" s="100" t="s">
        <v>288</v>
      </c>
      <c r="U17" s="100" t="s">
        <v>79</v>
      </c>
    </row>
    <row r="18" spans="1:24" ht="30" x14ac:dyDescent="0.3">
      <c r="A18" s="64" t="s">
        <v>432</v>
      </c>
      <c r="B18" s="108" t="s">
        <v>292</v>
      </c>
      <c r="C18" s="190">
        <v>31172</v>
      </c>
      <c r="D18" s="71">
        <v>6</v>
      </c>
      <c r="E18" s="71">
        <v>6</v>
      </c>
      <c r="F18" s="189">
        <f t="shared" si="0"/>
        <v>45083</v>
      </c>
      <c r="G18" s="65" t="s">
        <v>84</v>
      </c>
      <c r="H18" s="72">
        <v>18827000</v>
      </c>
      <c r="I18" s="73" t="s">
        <v>30</v>
      </c>
      <c r="J18" s="75" t="s">
        <v>293</v>
      </c>
      <c r="K18" s="186"/>
      <c r="L18" s="186"/>
      <c r="M18" s="186"/>
      <c r="N18" s="65">
        <v>9366</v>
      </c>
      <c r="O18" s="53" t="str">
        <f>IFERROR(VLOOKUP(N18,[9]DSML!E:J,6,0),"")</f>
        <v>CN Thừa Thiên Huế</v>
      </c>
      <c r="P18" s="53" t="str">
        <f>IFERROR(VLOOKUP(N18,[9]DSML!E:G,3,0),"")</f>
        <v>Khu vực Miền Trung</v>
      </c>
      <c r="Q18" s="57" t="s">
        <v>236</v>
      </c>
      <c r="R18" s="57" t="s">
        <v>251</v>
      </c>
      <c r="S18" s="81">
        <v>10512164</v>
      </c>
      <c r="T18" s="67" t="s">
        <v>291</v>
      </c>
      <c r="U18" s="186" t="s">
        <v>79</v>
      </c>
    </row>
    <row r="19" spans="1:24" x14ac:dyDescent="0.3">
      <c r="A19" s="64" t="s">
        <v>433</v>
      </c>
      <c r="B19" s="109" t="s">
        <v>295</v>
      </c>
      <c r="C19" s="110" t="s">
        <v>296</v>
      </c>
      <c r="D19" s="71">
        <v>6</v>
      </c>
      <c r="E19" s="71">
        <v>6</v>
      </c>
      <c r="F19" s="189">
        <f t="shared" si="0"/>
        <v>45083</v>
      </c>
      <c r="G19" s="65" t="s">
        <v>84</v>
      </c>
      <c r="H19" s="72">
        <v>15500000</v>
      </c>
      <c r="I19" s="73" t="s">
        <v>30</v>
      </c>
      <c r="J19" s="75" t="s">
        <v>297</v>
      </c>
      <c r="K19" s="186"/>
      <c r="L19" s="186"/>
      <c r="M19" s="186"/>
      <c r="N19" s="65">
        <v>9366</v>
      </c>
      <c r="O19" s="53" t="str">
        <f>IFERROR(VLOOKUP(N19,[9]DSML!E:J,6,0),"")</f>
        <v>CN Thừa Thiên Huế</v>
      </c>
      <c r="P19" s="53" t="str">
        <f>IFERROR(VLOOKUP(N19,[9]DSML!E:G,3,0),"")</f>
        <v>Khu vực Miền Trung</v>
      </c>
      <c r="Q19" s="57" t="s">
        <v>236</v>
      </c>
      <c r="R19" s="57" t="s">
        <v>251</v>
      </c>
      <c r="S19" s="81">
        <v>11362598</v>
      </c>
      <c r="T19" s="67" t="s">
        <v>294</v>
      </c>
      <c r="U19" s="186" t="s">
        <v>79</v>
      </c>
    </row>
    <row r="20" spans="1:24" x14ac:dyDescent="0.3">
      <c r="A20" s="64" t="s">
        <v>434</v>
      </c>
      <c r="B20" s="90" t="s">
        <v>280</v>
      </c>
      <c r="C20" s="91">
        <v>34436</v>
      </c>
      <c r="D20" s="92">
        <v>7</v>
      </c>
      <c r="E20" s="92">
        <v>6</v>
      </c>
      <c r="F20" s="189">
        <f t="shared" si="0"/>
        <v>45084</v>
      </c>
      <c r="G20" s="65" t="s">
        <v>84</v>
      </c>
      <c r="H20" s="72">
        <v>15000000</v>
      </c>
      <c r="I20" s="62" t="s">
        <v>30</v>
      </c>
      <c r="J20" s="75" t="s">
        <v>281</v>
      </c>
      <c r="K20" s="57" t="s">
        <v>250</v>
      </c>
      <c r="L20" s="186"/>
      <c r="M20" s="186"/>
      <c r="N20" s="54">
        <v>9355</v>
      </c>
      <c r="O20" s="55" t="s">
        <v>235</v>
      </c>
      <c r="P20" s="53" t="str">
        <f>IFERROR(VLOOKUP(N20,[10]DSML!E:G,3,0),"")</f>
        <v>Khu vực Miền Trung</v>
      </c>
      <c r="Q20" s="53" t="s">
        <v>236</v>
      </c>
      <c r="R20" s="53" t="s">
        <v>237</v>
      </c>
      <c r="S20" s="65">
        <v>11023108</v>
      </c>
      <c r="T20" s="89" t="s">
        <v>279</v>
      </c>
      <c r="U20" s="57" t="s">
        <v>79</v>
      </c>
    </row>
    <row r="21" spans="1:24" x14ac:dyDescent="0.3">
      <c r="A21" s="64" t="s">
        <v>435</v>
      </c>
      <c r="B21" s="90" t="s">
        <v>298</v>
      </c>
      <c r="C21" s="91">
        <v>33541</v>
      </c>
      <c r="D21" s="92">
        <v>7</v>
      </c>
      <c r="E21" s="92">
        <v>6</v>
      </c>
      <c r="F21" s="189">
        <f t="shared" si="0"/>
        <v>45084</v>
      </c>
      <c r="G21" s="65" t="s">
        <v>84</v>
      </c>
      <c r="H21" s="72">
        <v>12000000</v>
      </c>
      <c r="I21" s="62" t="s">
        <v>265</v>
      </c>
      <c r="J21" s="75" t="s">
        <v>299</v>
      </c>
      <c r="K21" s="57" t="s">
        <v>250</v>
      </c>
      <c r="L21" s="186"/>
      <c r="M21" s="186"/>
      <c r="N21" s="54">
        <v>9355</v>
      </c>
      <c r="O21" s="55" t="s">
        <v>235</v>
      </c>
      <c r="P21" s="53" t="str">
        <f>IFERROR(VLOOKUP(N21,[10]DSML!E:G,3,0),"")</f>
        <v>Khu vực Miền Trung</v>
      </c>
      <c r="Q21" s="53" t="s">
        <v>236</v>
      </c>
      <c r="R21" s="53" t="s">
        <v>237</v>
      </c>
      <c r="S21" s="65">
        <v>11023108</v>
      </c>
      <c r="T21" s="89" t="s">
        <v>279</v>
      </c>
      <c r="U21" s="57" t="s">
        <v>79</v>
      </c>
    </row>
    <row r="22" spans="1:24" x14ac:dyDescent="0.3">
      <c r="A22" s="64" t="s">
        <v>436</v>
      </c>
      <c r="B22" s="90" t="s">
        <v>300</v>
      </c>
      <c r="C22" s="91">
        <v>34413</v>
      </c>
      <c r="D22" s="92">
        <v>7</v>
      </c>
      <c r="E22" s="92">
        <v>6</v>
      </c>
      <c r="F22" s="189">
        <f t="shared" si="0"/>
        <v>45084</v>
      </c>
      <c r="G22" s="65" t="s">
        <v>84</v>
      </c>
      <c r="H22" s="72">
        <v>12000000</v>
      </c>
      <c r="I22" s="62" t="s">
        <v>265</v>
      </c>
      <c r="J22" s="75" t="s">
        <v>299</v>
      </c>
      <c r="K22" s="57" t="s">
        <v>250</v>
      </c>
      <c r="L22" s="186"/>
      <c r="M22" s="186"/>
      <c r="N22" s="54">
        <v>9355</v>
      </c>
      <c r="O22" s="55" t="s">
        <v>235</v>
      </c>
      <c r="P22" s="53" t="str">
        <f>IFERROR(VLOOKUP(N22,[10]DSML!E:G,3,0),"")</f>
        <v>Khu vực Miền Trung</v>
      </c>
      <c r="Q22" s="53" t="s">
        <v>236</v>
      </c>
      <c r="R22" s="53" t="s">
        <v>237</v>
      </c>
      <c r="S22" s="88">
        <v>11092762</v>
      </c>
      <c r="T22" s="75" t="s">
        <v>263</v>
      </c>
      <c r="U22" s="57" t="s">
        <v>79</v>
      </c>
    </row>
    <row r="23" spans="1:24" x14ac:dyDescent="0.3">
      <c r="A23" s="64" t="s">
        <v>437</v>
      </c>
      <c r="B23" s="53" t="s">
        <v>302</v>
      </c>
      <c r="C23" s="83">
        <v>36666</v>
      </c>
      <c r="D23" s="70">
        <v>7</v>
      </c>
      <c r="E23" s="71">
        <v>6</v>
      </c>
      <c r="F23" s="189">
        <f t="shared" si="0"/>
        <v>45084</v>
      </c>
      <c r="G23" s="65" t="s">
        <v>78</v>
      </c>
      <c r="H23" s="72">
        <v>15000000</v>
      </c>
      <c r="I23" s="73" t="s">
        <v>265</v>
      </c>
      <c r="J23" s="75" t="s">
        <v>303</v>
      </c>
      <c r="K23" s="57" t="s">
        <v>250</v>
      </c>
      <c r="L23" s="186"/>
      <c r="M23" s="186"/>
      <c r="N23" s="65">
        <v>9360</v>
      </c>
      <c r="O23" s="53" t="str">
        <f>IFERROR(VLOOKUP(N23,[4]DSML!E:J,6,0),"")</f>
        <v>CN Hòa Xuân</v>
      </c>
      <c r="P23" s="65" t="str">
        <f>IFERROR(VLOOKUP(N23,[4]DSML!E:G,3,0),"")</f>
        <v>Khu vực Miền Trung</v>
      </c>
      <c r="Q23" s="57" t="s">
        <v>236</v>
      </c>
      <c r="R23" s="57" t="s">
        <v>241</v>
      </c>
      <c r="S23" s="66">
        <v>11402041</v>
      </c>
      <c r="T23" s="67" t="s">
        <v>301</v>
      </c>
      <c r="U23" s="57" t="s">
        <v>82</v>
      </c>
    </row>
    <row r="24" spans="1:24" x14ac:dyDescent="0.3">
      <c r="A24" s="64" t="s">
        <v>438</v>
      </c>
      <c r="B24" s="90" t="s">
        <v>305</v>
      </c>
      <c r="C24" s="110" t="s">
        <v>306</v>
      </c>
      <c r="D24" s="92">
        <v>7</v>
      </c>
      <c r="E24" s="92">
        <v>6</v>
      </c>
      <c r="F24" s="189">
        <f t="shared" si="0"/>
        <v>45084</v>
      </c>
      <c r="G24" s="65" t="s">
        <v>84</v>
      </c>
      <c r="H24" s="111">
        <v>20000000</v>
      </c>
      <c r="I24" s="73" t="s">
        <v>30</v>
      </c>
      <c r="J24" s="75" t="s">
        <v>299</v>
      </c>
      <c r="K24" s="186"/>
      <c r="L24" s="186"/>
      <c r="M24" s="186"/>
      <c r="N24" s="54">
        <v>9368</v>
      </c>
      <c r="O24" s="55" t="s">
        <v>267</v>
      </c>
      <c r="P24" s="55" t="s">
        <v>220</v>
      </c>
      <c r="Q24" s="53" t="s">
        <v>236</v>
      </c>
      <c r="R24" s="57" t="s">
        <v>268</v>
      </c>
      <c r="S24" s="186"/>
      <c r="T24" s="186" t="s">
        <v>304</v>
      </c>
      <c r="U24" s="57" t="s">
        <v>82</v>
      </c>
    </row>
    <row r="25" spans="1:24" ht="30" x14ac:dyDescent="0.3">
      <c r="A25" s="64" t="s">
        <v>439</v>
      </c>
      <c r="B25" s="90" t="s">
        <v>308</v>
      </c>
      <c r="C25" s="91">
        <v>32952</v>
      </c>
      <c r="D25" s="92">
        <v>8</v>
      </c>
      <c r="E25" s="92">
        <v>6</v>
      </c>
      <c r="F25" s="189">
        <f t="shared" si="0"/>
        <v>45085</v>
      </c>
      <c r="G25" s="65" t="s">
        <v>84</v>
      </c>
      <c r="H25" s="72">
        <v>20000000</v>
      </c>
      <c r="I25" s="112" t="s">
        <v>309</v>
      </c>
      <c r="J25" s="75" t="s">
        <v>310</v>
      </c>
      <c r="K25" s="186"/>
      <c r="L25" s="186"/>
      <c r="M25" s="186"/>
      <c r="N25" s="54">
        <v>9355</v>
      </c>
      <c r="O25" s="55" t="s">
        <v>235</v>
      </c>
      <c r="P25" s="53" t="str">
        <f>IFERROR(VLOOKUP(N25,[11]DSML!E:G,3,0),"")</f>
        <v>Khu vực Miền Trung</v>
      </c>
      <c r="Q25" s="53" t="s">
        <v>236</v>
      </c>
      <c r="R25" s="53" t="s">
        <v>237</v>
      </c>
      <c r="S25" s="65">
        <v>11023701</v>
      </c>
      <c r="T25" s="89" t="s">
        <v>307</v>
      </c>
      <c r="U25" s="79" t="s">
        <v>83</v>
      </c>
    </row>
    <row r="26" spans="1:24" x14ac:dyDescent="0.3">
      <c r="A26" s="64" t="s">
        <v>440</v>
      </c>
      <c r="B26" s="90" t="s">
        <v>312</v>
      </c>
      <c r="C26" s="91">
        <v>33864</v>
      </c>
      <c r="D26" s="92">
        <v>8</v>
      </c>
      <c r="E26" s="92">
        <v>6</v>
      </c>
      <c r="F26" s="189">
        <f t="shared" si="0"/>
        <v>45085</v>
      </c>
      <c r="G26" s="65" t="s">
        <v>84</v>
      </c>
      <c r="H26" s="72">
        <v>10000000</v>
      </c>
      <c r="I26" s="62" t="s">
        <v>30</v>
      </c>
      <c r="J26" s="75" t="s">
        <v>313</v>
      </c>
      <c r="K26" s="186"/>
      <c r="L26" s="186"/>
      <c r="M26" s="186"/>
      <c r="N26" s="54">
        <v>9355</v>
      </c>
      <c r="O26" s="55" t="s">
        <v>235</v>
      </c>
      <c r="P26" s="53" t="str">
        <f>IFERROR(VLOOKUP(N26,[11]DSML!E:G,3,0),"")</f>
        <v>Khu vực Miền Trung</v>
      </c>
      <c r="Q26" s="53" t="s">
        <v>236</v>
      </c>
      <c r="R26" s="53" t="s">
        <v>237</v>
      </c>
      <c r="S26" s="65">
        <v>10761472</v>
      </c>
      <c r="T26" s="89" t="s">
        <v>311</v>
      </c>
      <c r="U26" s="79" t="s">
        <v>82</v>
      </c>
    </row>
    <row r="27" spans="1:24" x14ac:dyDescent="0.3">
      <c r="A27" s="64" t="s">
        <v>441</v>
      </c>
      <c r="B27" s="90" t="s">
        <v>314</v>
      </c>
      <c r="C27" s="91">
        <v>36624</v>
      </c>
      <c r="D27" s="92">
        <v>8</v>
      </c>
      <c r="E27" s="92">
        <v>6</v>
      </c>
      <c r="F27" s="189">
        <f t="shared" si="0"/>
        <v>45085</v>
      </c>
      <c r="G27" s="65" t="s">
        <v>84</v>
      </c>
      <c r="H27" s="72">
        <v>10000000</v>
      </c>
      <c r="I27" s="62" t="s">
        <v>265</v>
      </c>
      <c r="J27" s="75" t="s">
        <v>299</v>
      </c>
      <c r="K27" s="186"/>
      <c r="L27" s="186"/>
      <c r="M27" s="186"/>
      <c r="N27" s="54">
        <v>9355</v>
      </c>
      <c r="O27" s="55" t="s">
        <v>235</v>
      </c>
      <c r="P27" s="53" t="str">
        <f>IFERROR(VLOOKUP(N27,[11]DSML!E:G,3,0),"")</f>
        <v>Khu vực Miền Trung</v>
      </c>
      <c r="Q27" s="53" t="s">
        <v>236</v>
      </c>
      <c r="R27" s="53" t="s">
        <v>237</v>
      </c>
      <c r="S27" s="88">
        <v>11092762</v>
      </c>
      <c r="T27" s="75" t="s">
        <v>263</v>
      </c>
      <c r="U27" s="57" t="s">
        <v>79</v>
      </c>
    </row>
    <row r="28" spans="1:24" x14ac:dyDescent="0.3">
      <c r="A28" s="64" t="s">
        <v>442</v>
      </c>
      <c r="B28" s="90" t="s">
        <v>315</v>
      </c>
      <c r="C28" s="91">
        <v>34632</v>
      </c>
      <c r="D28" s="92">
        <v>8</v>
      </c>
      <c r="E28" s="92">
        <v>6</v>
      </c>
      <c r="F28" s="189">
        <f t="shared" si="0"/>
        <v>45085</v>
      </c>
      <c r="G28" s="65" t="s">
        <v>84</v>
      </c>
      <c r="H28" s="72">
        <v>10000000</v>
      </c>
      <c r="I28" s="62" t="s">
        <v>265</v>
      </c>
      <c r="J28" s="75" t="s">
        <v>299</v>
      </c>
      <c r="K28" s="186"/>
      <c r="L28" s="186"/>
      <c r="M28" s="186"/>
      <c r="N28" s="54">
        <v>9355</v>
      </c>
      <c r="O28" s="55" t="s">
        <v>235</v>
      </c>
      <c r="P28" s="53" t="str">
        <f>IFERROR(VLOOKUP(N28,[11]DSML!E:G,3,0),"")</f>
        <v>Khu vực Miền Trung</v>
      </c>
      <c r="Q28" s="53" t="s">
        <v>236</v>
      </c>
      <c r="R28" s="53" t="s">
        <v>237</v>
      </c>
      <c r="S28" s="88">
        <v>11405404</v>
      </c>
      <c r="T28" s="75" t="s">
        <v>238</v>
      </c>
      <c r="U28" s="57" t="s">
        <v>79</v>
      </c>
    </row>
    <row r="29" spans="1:24" s="185" customFormat="1" x14ac:dyDescent="0.3">
      <c r="A29" s="64" t="s">
        <v>443</v>
      </c>
      <c r="B29" s="115" t="s">
        <v>317</v>
      </c>
      <c r="C29" s="116">
        <v>34325</v>
      </c>
      <c r="D29" s="117">
        <v>8</v>
      </c>
      <c r="E29" s="103">
        <v>6</v>
      </c>
      <c r="F29" s="189">
        <f t="shared" si="0"/>
        <v>45085</v>
      </c>
      <c r="G29" s="97" t="s">
        <v>78</v>
      </c>
      <c r="H29" s="105">
        <v>10086000</v>
      </c>
      <c r="I29" s="106" t="s">
        <v>285</v>
      </c>
      <c r="J29" s="87" t="s">
        <v>249</v>
      </c>
      <c r="K29" s="187" t="s">
        <v>318</v>
      </c>
      <c r="L29" s="187"/>
      <c r="M29" s="187"/>
      <c r="N29" s="97">
        <v>9360</v>
      </c>
      <c r="O29" s="98" t="str">
        <f>IFERROR(VLOOKUP(N29,[4]DSML!E:J,6,0),"")</f>
        <v>CN Hòa Xuân</v>
      </c>
      <c r="P29" s="97" t="str">
        <f>IFERROR(VLOOKUP(N29,[4]DSML!E:G,3,0),"")</f>
        <v>Khu vực Miền Trung</v>
      </c>
      <c r="Q29" s="84" t="s">
        <v>236</v>
      </c>
      <c r="R29" s="84" t="s">
        <v>241</v>
      </c>
      <c r="S29" s="113">
        <v>11405010</v>
      </c>
      <c r="T29" s="114" t="s">
        <v>316</v>
      </c>
      <c r="U29" s="84" t="s">
        <v>82</v>
      </c>
    </row>
    <row r="30" spans="1:24" x14ac:dyDescent="0.3">
      <c r="A30" s="64" t="s">
        <v>444</v>
      </c>
      <c r="B30" s="55" t="s">
        <v>320</v>
      </c>
      <c r="C30" s="83">
        <v>35891</v>
      </c>
      <c r="D30" s="85">
        <v>8</v>
      </c>
      <c r="E30" s="85">
        <v>6</v>
      </c>
      <c r="F30" s="189">
        <f t="shared" si="0"/>
        <v>45085</v>
      </c>
      <c r="G30" s="65" t="s">
        <v>80</v>
      </c>
      <c r="H30" s="86">
        <v>14200000</v>
      </c>
      <c r="I30" s="73" t="s">
        <v>30</v>
      </c>
      <c r="J30" s="75" t="s">
        <v>321</v>
      </c>
      <c r="K30" s="186"/>
      <c r="L30" s="186"/>
      <c r="M30" s="186"/>
      <c r="N30" s="65">
        <v>9366</v>
      </c>
      <c r="O30" s="53" t="str">
        <f>IFERROR(VLOOKUP(N30,[12]DSML!E:J,6,0),"")</f>
        <v>CN Thừa Thiên Huế</v>
      </c>
      <c r="P30" s="53" t="str">
        <f>IFERROR(VLOOKUP(N30,[12]DSML!E:G,3,0),"")</f>
        <v>Khu vực Miền Trung</v>
      </c>
      <c r="Q30" s="57" t="s">
        <v>236</v>
      </c>
      <c r="R30" s="57" t="s">
        <v>251</v>
      </c>
      <c r="S30" s="66">
        <v>10973196</v>
      </c>
      <c r="T30" s="67" t="s">
        <v>319</v>
      </c>
      <c r="U30" s="88" t="s">
        <v>79</v>
      </c>
    </row>
    <row r="31" spans="1:24" s="185" customFormat="1" x14ac:dyDescent="0.3">
      <c r="A31" s="64" t="s">
        <v>445</v>
      </c>
      <c r="B31" s="53" t="s">
        <v>322</v>
      </c>
      <c r="C31" s="118" t="s">
        <v>323</v>
      </c>
      <c r="D31" s="85">
        <v>8</v>
      </c>
      <c r="E31" s="85">
        <v>6</v>
      </c>
      <c r="F31" s="189">
        <f t="shared" si="0"/>
        <v>45085</v>
      </c>
      <c r="G31" s="65" t="s">
        <v>84</v>
      </c>
      <c r="H31" s="86">
        <v>12000000</v>
      </c>
      <c r="I31" s="112" t="s">
        <v>309</v>
      </c>
      <c r="J31" s="75" t="s">
        <v>324</v>
      </c>
      <c r="K31" s="87" t="s">
        <v>325</v>
      </c>
      <c r="L31" s="187"/>
      <c r="M31" s="187"/>
      <c r="N31" s="65">
        <v>9366</v>
      </c>
      <c r="O31" s="53" t="str">
        <f>IFERROR(VLOOKUP(N31,[12]DSML!E:J,6,0),"")</f>
        <v>CN Thừa Thiên Huế</v>
      </c>
      <c r="P31" s="53" t="str">
        <f>IFERROR(VLOOKUP(N31,[12]DSML!E:G,3,0),"")</f>
        <v>Khu vực Miền Trung</v>
      </c>
      <c r="Q31" s="57" t="s">
        <v>236</v>
      </c>
      <c r="R31" s="57" t="s">
        <v>251</v>
      </c>
      <c r="S31" s="66">
        <v>10970349</v>
      </c>
      <c r="T31" s="53" t="s">
        <v>256</v>
      </c>
      <c r="U31" s="88" t="s">
        <v>79</v>
      </c>
    </row>
    <row r="32" spans="1:24" s="185" customFormat="1" x14ac:dyDescent="0.3">
      <c r="A32" s="64" t="s">
        <v>446</v>
      </c>
      <c r="B32" s="121" t="s">
        <v>327</v>
      </c>
      <c r="C32" s="122">
        <v>29221</v>
      </c>
      <c r="D32" s="123">
        <v>9</v>
      </c>
      <c r="E32" s="123">
        <v>6</v>
      </c>
      <c r="F32" s="189">
        <f t="shared" si="0"/>
        <v>45086</v>
      </c>
      <c r="G32" s="97" t="s">
        <v>84</v>
      </c>
      <c r="H32" s="105">
        <v>8019000</v>
      </c>
      <c r="I32" s="106" t="s">
        <v>285</v>
      </c>
      <c r="J32" s="87" t="s">
        <v>328</v>
      </c>
      <c r="K32" s="187" t="s">
        <v>318</v>
      </c>
      <c r="L32" s="187"/>
      <c r="M32" s="187"/>
      <c r="N32" s="119">
        <v>9355</v>
      </c>
      <c r="O32" s="120" t="s">
        <v>235</v>
      </c>
      <c r="P32" s="98" t="str">
        <f>IFERROR(VLOOKUP(N32,[13]DSML!E:G,3,0),"")</f>
        <v>Khu vực Miền Trung</v>
      </c>
      <c r="Q32" s="98" t="s">
        <v>236</v>
      </c>
      <c r="R32" s="98" t="s">
        <v>237</v>
      </c>
      <c r="S32" s="107">
        <v>11137691</v>
      </c>
      <c r="T32" s="87" t="s">
        <v>326</v>
      </c>
      <c r="U32" s="87" t="s">
        <v>83</v>
      </c>
      <c r="V32" s="124"/>
      <c r="W32" s="125"/>
      <c r="X32" s="126"/>
    </row>
    <row r="33" spans="1:21" x14ac:dyDescent="0.3">
      <c r="A33" s="64" t="s">
        <v>447</v>
      </c>
      <c r="B33" s="53" t="s">
        <v>330</v>
      </c>
      <c r="C33" s="83" t="s">
        <v>331</v>
      </c>
      <c r="D33" s="85">
        <v>9</v>
      </c>
      <c r="E33" s="85">
        <v>6</v>
      </c>
      <c r="F33" s="189">
        <f t="shared" si="0"/>
        <v>45086</v>
      </c>
      <c r="G33" s="65" t="s">
        <v>84</v>
      </c>
      <c r="H33" s="86">
        <v>50400000</v>
      </c>
      <c r="I33" s="62" t="s">
        <v>265</v>
      </c>
      <c r="J33" s="75" t="s">
        <v>332</v>
      </c>
      <c r="K33" s="186"/>
      <c r="L33" s="186"/>
      <c r="M33" s="186"/>
      <c r="N33" s="65">
        <v>9366</v>
      </c>
      <c r="O33" s="53" t="str">
        <f>IFERROR(VLOOKUP(N33,[14]DSML!E:J,6,0),"")</f>
        <v>CN Thừa Thiên Huế</v>
      </c>
      <c r="P33" s="53" t="str">
        <f>IFERROR(VLOOKUP(N33,[14]DSML!E:G,3,0),"")</f>
        <v>Khu vực Miền Trung</v>
      </c>
      <c r="Q33" s="57" t="s">
        <v>236</v>
      </c>
      <c r="R33" s="57" t="s">
        <v>251</v>
      </c>
      <c r="S33" s="81">
        <v>11136157</v>
      </c>
      <c r="T33" s="67" t="s">
        <v>329</v>
      </c>
      <c r="U33" s="88" t="s">
        <v>82</v>
      </c>
    </row>
    <row r="34" spans="1:21" x14ac:dyDescent="0.3">
      <c r="A34" s="64" t="s">
        <v>448</v>
      </c>
      <c r="B34" s="186" t="s">
        <v>335</v>
      </c>
      <c r="C34" s="110">
        <v>1986</v>
      </c>
      <c r="D34" s="110">
        <v>10</v>
      </c>
      <c r="E34" s="110">
        <v>6</v>
      </c>
      <c r="F34" s="189">
        <f t="shared" si="0"/>
        <v>45087</v>
      </c>
      <c r="G34" s="65" t="s">
        <v>84</v>
      </c>
      <c r="H34" s="111">
        <v>15430000</v>
      </c>
      <c r="I34" s="73" t="s">
        <v>30</v>
      </c>
      <c r="J34" s="75" t="s">
        <v>332</v>
      </c>
      <c r="K34" s="186"/>
      <c r="L34" s="186"/>
      <c r="M34" s="186"/>
      <c r="N34" s="54">
        <v>9356</v>
      </c>
      <c r="O34" s="55" t="s">
        <v>333</v>
      </c>
      <c r="P34" s="186" t="s">
        <v>220</v>
      </c>
      <c r="Q34" s="57" t="s">
        <v>236</v>
      </c>
      <c r="R34" s="53" t="s">
        <v>334</v>
      </c>
      <c r="S34" s="186"/>
      <c r="T34" s="186" t="s">
        <v>335</v>
      </c>
      <c r="U34" s="88" t="s">
        <v>82</v>
      </c>
    </row>
    <row r="35" spans="1:21" x14ac:dyDescent="0.3">
      <c r="A35" s="64" t="s">
        <v>449</v>
      </c>
      <c r="B35" s="186" t="s">
        <v>336</v>
      </c>
      <c r="C35" s="110">
        <v>1991</v>
      </c>
      <c r="D35" s="110">
        <v>10</v>
      </c>
      <c r="E35" s="110">
        <v>6</v>
      </c>
      <c r="F35" s="189">
        <f t="shared" si="0"/>
        <v>45087</v>
      </c>
      <c r="G35" s="65" t="s">
        <v>84</v>
      </c>
      <c r="H35" s="111">
        <v>12350000</v>
      </c>
      <c r="I35" s="73" t="s">
        <v>30</v>
      </c>
      <c r="J35" s="75" t="s">
        <v>332</v>
      </c>
      <c r="K35" s="186"/>
      <c r="L35" s="186"/>
      <c r="M35" s="186"/>
      <c r="N35" s="54">
        <v>9356</v>
      </c>
      <c r="O35" s="55" t="s">
        <v>333</v>
      </c>
      <c r="P35" s="186" t="s">
        <v>220</v>
      </c>
      <c r="Q35" s="57" t="s">
        <v>236</v>
      </c>
      <c r="R35" s="53" t="s">
        <v>334</v>
      </c>
      <c r="S35" s="186"/>
      <c r="T35" s="186" t="s">
        <v>336</v>
      </c>
      <c r="U35" s="88" t="s">
        <v>82</v>
      </c>
    </row>
    <row r="36" spans="1:21" s="185" customFormat="1" x14ac:dyDescent="0.3">
      <c r="A36" s="64" t="s">
        <v>450</v>
      </c>
      <c r="B36" s="97" t="s">
        <v>338</v>
      </c>
      <c r="C36" s="127" t="s">
        <v>339</v>
      </c>
      <c r="D36" s="103">
        <v>11</v>
      </c>
      <c r="E36" s="103">
        <v>6</v>
      </c>
      <c r="F36" s="189">
        <f t="shared" si="0"/>
        <v>45088</v>
      </c>
      <c r="G36" s="97" t="s">
        <v>84</v>
      </c>
      <c r="H36" s="105">
        <v>11361000</v>
      </c>
      <c r="I36" s="106" t="s">
        <v>285</v>
      </c>
      <c r="J36" s="87" t="s">
        <v>340</v>
      </c>
      <c r="K36" s="87"/>
      <c r="L36" s="187"/>
      <c r="M36" s="187"/>
      <c r="N36" s="119">
        <v>9368</v>
      </c>
      <c r="O36" s="120" t="s">
        <v>267</v>
      </c>
      <c r="P36" s="120" t="s">
        <v>220</v>
      </c>
      <c r="Q36" s="98" t="s">
        <v>236</v>
      </c>
      <c r="R36" s="84" t="s">
        <v>268</v>
      </c>
      <c r="S36" s="99"/>
      <c r="T36" s="98" t="s">
        <v>337</v>
      </c>
      <c r="U36" s="107" t="s">
        <v>79</v>
      </c>
    </row>
    <row r="37" spans="1:21" x14ac:dyDescent="0.3">
      <c r="A37" s="64" t="s">
        <v>451</v>
      </c>
      <c r="B37" s="90" t="s">
        <v>342</v>
      </c>
      <c r="C37" s="110"/>
      <c r="D37" s="92">
        <v>12</v>
      </c>
      <c r="E37" s="92">
        <v>6</v>
      </c>
      <c r="F37" s="189">
        <f t="shared" si="0"/>
        <v>45089</v>
      </c>
      <c r="G37" s="65" t="s">
        <v>84</v>
      </c>
      <c r="H37" s="72">
        <v>11000000</v>
      </c>
      <c r="I37" s="62" t="s">
        <v>30</v>
      </c>
      <c r="J37" s="75" t="s">
        <v>343</v>
      </c>
      <c r="K37" s="75"/>
      <c r="L37" s="186"/>
      <c r="M37" s="186"/>
      <c r="N37" s="65">
        <v>9355</v>
      </c>
      <c r="O37" s="53" t="str">
        <f>IFERROR(VLOOKUP(N37,[15]DSML!E:J,6,0),"")</f>
        <v>CN Đà Nẵng</v>
      </c>
      <c r="P37" s="53" t="str">
        <f>IFERROR(VLOOKUP(N37,[15]DSML!E:G,3,0),"")</f>
        <v>Khu vực Miền Trung</v>
      </c>
      <c r="Q37" s="53" t="s">
        <v>236</v>
      </c>
      <c r="R37" s="53" t="s">
        <v>237</v>
      </c>
      <c r="S37" s="88">
        <v>11478705</v>
      </c>
      <c r="T37" s="75" t="s">
        <v>341</v>
      </c>
      <c r="U37" s="75" t="s">
        <v>82</v>
      </c>
    </row>
    <row r="38" spans="1:21" x14ac:dyDescent="0.3">
      <c r="A38" s="64" t="s">
        <v>452</v>
      </c>
      <c r="B38" s="90" t="s">
        <v>345</v>
      </c>
      <c r="C38" s="110"/>
      <c r="D38" s="92">
        <v>12</v>
      </c>
      <c r="E38" s="92">
        <v>6</v>
      </c>
      <c r="F38" s="189">
        <f t="shared" si="0"/>
        <v>45089</v>
      </c>
      <c r="G38" s="65" t="s">
        <v>84</v>
      </c>
      <c r="H38" s="72">
        <v>12000000</v>
      </c>
      <c r="I38" s="62" t="s">
        <v>265</v>
      </c>
      <c r="J38" s="75" t="s">
        <v>346</v>
      </c>
      <c r="K38" s="75"/>
      <c r="L38" s="186"/>
      <c r="M38" s="186"/>
      <c r="N38" s="65">
        <v>9355</v>
      </c>
      <c r="O38" s="53" t="str">
        <f>IFERROR(VLOOKUP(N38,[15]DSML!E:J,6,0),"")</f>
        <v>CN Đà Nẵng</v>
      </c>
      <c r="P38" s="53" t="str">
        <f>IFERROR(VLOOKUP(N38,[15]DSML!E:G,3,0),"")</f>
        <v>Khu vực Miền Trung</v>
      </c>
      <c r="Q38" s="53" t="s">
        <v>236</v>
      </c>
      <c r="R38" s="53" t="s">
        <v>237</v>
      </c>
      <c r="S38" s="88">
        <v>10041965</v>
      </c>
      <c r="T38" s="75" t="s">
        <v>344</v>
      </c>
      <c r="U38" s="75" t="s">
        <v>82</v>
      </c>
    </row>
    <row r="39" spans="1:21" x14ac:dyDescent="0.3">
      <c r="A39" s="64" t="s">
        <v>453</v>
      </c>
      <c r="B39" s="90" t="s">
        <v>348</v>
      </c>
      <c r="C39" s="110"/>
      <c r="D39" s="92">
        <v>12</v>
      </c>
      <c r="E39" s="92">
        <v>6</v>
      </c>
      <c r="F39" s="189">
        <f t="shared" si="0"/>
        <v>45089</v>
      </c>
      <c r="G39" s="65" t="s">
        <v>78</v>
      </c>
      <c r="H39" s="72">
        <v>12000000</v>
      </c>
      <c r="I39" s="62" t="s">
        <v>265</v>
      </c>
      <c r="J39" s="75" t="s">
        <v>349</v>
      </c>
      <c r="K39" s="75"/>
      <c r="L39" s="186"/>
      <c r="M39" s="186"/>
      <c r="N39" s="65">
        <v>9355</v>
      </c>
      <c r="O39" s="53" t="str">
        <f>IFERROR(VLOOKUP(N39,[15]DSML!E:J,6,0),"")</f>
        <v>CN Đà Nẵng</v>
      </c>
      <c r="P39" s="53" t="str">
        <f>IFERROR(VLOOKUP(N39,[15]DSML!E:G,3,0),"")</f>
        <v>Khu vực Miền Trung</v>
      </c>
      <c r="Q39" s="53" t="s">
        <v>236</v>
      </c>
      <c r="R39" s="53" t="s">
        <v>237</v>
      </c>
      <c r="S39" s="65">
        <v>10011451</v>
      </c>
      <c r="T39" s="89" t="s">
        <v>347</v>
      </c>
      <c r="U39" s="79" t="s">
        <v>82</v>
      </c>
    </row>
    <row r="40" spans="1:21" s="185" customFormat="1" x14ac:dyDescent="0.3">
      <c r="A40" s="64" t="s">
        <v>454</v>
      </c>
      <c r="B40" s="90" t="s">
        <v>351</v>
      </c>
      <c r="C40" s="110"/>
      <c r="D40" s="92">
        <v>12</v>
      </c>
      <c r="E40" s="92">
        <v>6</v>
      </c>
      <c r="F40" s="189">
        <f t="shared" si="0"/>
        <v>45089</v>
      </c>
      <c r="G40" s="65" t="s">
        <v>84</v>
      </c>
      <c r="H40" s="72">
        <v>11000000</v>
      </c>
      <c r="I40" s="62" t="s">
        <v>265</v>
      </c>
      <c r="J40" s="75" t="s">
        <v>352</v>
      </c>
      <c r="K40" s="187"/>
      <c r="L40" s="187"/>
      <c r="M40" s="187"/>
      <c r="N40" s="65">
        <v>9355</v>
      </c>
      <c r="O40" s="53" t="str">
        <f>IFERROR(VLOOKUP(N40,[15]DSML!E:J,6,0),"")</f>
        <v>CN Đà Nẵng</v>
      </c>
      <c r="P40" s="53" t="str">
        <f>IFERROR(VLOOKUP(N40,[15]DSML!E:G,3,0),"")</f>
        <v>Khu vực Miền Trung</v>
      </c>
      <c r="Q40" s="53" t="s">
        <v>236</v>
      </c>
      <c r="R40" s="53" t="s">
        <v>237</v>
      </c>
      <c r="S40" s="65">
        <v>10958130</v>
      </c>
      <c r="T40" s="89" t="s">
        <v>350</v>
      </c>
      <c r="U40" s="79" t="s">
        <v>83</v>
      </c>
    </row>
    <row r="41" spans="1:21" s="185" customFormat="1" x14ac:dyDescent="0.3">
      <c r="A41" s="64" t="s">
        <v>455</v>
      </c>
      <c r="B41" s="128" t="s">
        <v>354</v>
      </c>
      <c r="C41" s="129">
        <v>27405</v>
      </c>
      <c r="D41" s="130">
        <v>12</v>
      </c>
      <c r="E41" s="71">
        <v>6</v>
      </c>
      <c r="F41" s="189">
        <f t="shared" si="0"/>
        <v>45089</v>
      </c>
      <c r="G41" s="131" t="s">
        <v>80</v>
      </c>
      <c r="H41" s="132">
        <v>20000000</v>
      </c>
      <c r="I41" s="133" t="s">
        <v>30</v>
      </c>
      <c r="J41" s="88" t="s">
        <v>355</v>
      </c>
      <c r="K41" s="87"/>
      <c r="L41" s="87"/>
      <c r="M41" s="187"/>
      <c r="N41" s="65">
        <v>9367</v>
      </c>
      <c r="O41" s="53" t="str">
        <f>IFERROR(VLOOKUP(N41,[16]DSML!E:J,6,0),"")</f>
        <v>CN Đông Ba</v>
      </c>
      <c r="P41" s="65" t="str">
        <f>IFERROR(VLOOKUP(N41,[16]DSML!E:G,3,0),"")</f>
        <v>Khu vực Miền Trung</v>
      </c>
      <c r="Q41" s="57" t="s">
        <v>236</v>
      </c>
      <c r="R41" s="53" t="s">
        <v>282</v>
      </c>
      <c r="S41" s="66">
        <v>10838924</v>
      </c>
      <c r="T41" s="88" t="s">
        <v>353</v>
      </c>
      <c r="U41" s="88" t="s">
        <v>79</v>
      </c>
    </row>
    <row r="42" spans="1:21" s="185" customFormat="1" x14ac:dyDescent="0.3">
      <c r="A42" s="64" t="s">
        <v>456</v>
      </c>
      <c r="B42" s="114" t="s">
        <v>269</v>
      </c>
      <c r="C42" s="134"/>
      <c r="D42" s="123">
        <v>12</v>
      </c>
      <c r="E42" s="123">
        <v>6</v>
      </c>
      <c r="F42" s="189">
        <f t="shared" si="0"/>
        <v>45089</v>
      </c>
      <c r="G42" s="97" t="s">
        <v>84</v>
      </c>
      <c r="H42" s="135">
        <v>12465000</v>
      </c>
      <c r="I42" s="106" t="s">
        <v>285</v>
      </c>
      <c r="J42" s="87" t="s">
        <v>356</v>
      </c>
      <c r="K42" s="187"/>
      <c r="L42" s="187"/>
      <c r="M42" s="187"/>
      <c r="N42" s="119">
        <v>9368</v>
      </c>
      <c r="O42" s="120" t="s">
        <v>267</v>
      </c>
      <c r="P42" s="120" t="s">
        <v>220</v>
      </c>
      <c r="Q42" s="98" t="s">
        <v>236</v>
      </c>
      <c r="R42" s="84" t="s">
        <v>268</v>
      </c>
      <c r="S42" s="113">
        <v>10109416</v>
      </c>
      <c r="T42" s="114" t="s">
        <v>269</v>
      </c>
      <c r="U42" s="107" t="s">
        <v>79</v>
      </c>
    </row>
    <row r="43" spans="1:21" x14ac:dyDescent="0.3">
      <c r="A43" s="64" t="s">
        <v>457</v>
      </c>
      <c r="B43" s="53" t="s">
        <v>357</v>
      </c>
      <c r="C43" s="136">
        <v>34465</v>
      </c>
      <c r="D43" s="85">
        <v>12</v>
      </c>
      <c r="E43" s="85">
        <v>6</v>
      </c>
      <c r="F43" s="189">
        <f t="shared" si="0"/>
        <v>45089</v>
      </c>
      <c r="G43" s="65" t="s">
        <v>84</v>
      </c>
      <c r="H43" s="86">
        <v>10955000</v>
      </c>
      <c r="I43" s="133" t="s">
        <v>30</v>
      </c>
      <c r="J43" s="75" t="s">
        <v>358</v>
      </c>
      <c r="K43" s="75"/>
      <c r="L43" s="186"/>
      <c r="M43" s="186"/>
      <c r="N43" s="65">
        <v>9366</v>
      </c>
      <c r="O43" s="53" t="str">
        <f>IFERROR(VLOOKUP(N43,[17]DSML!E:J,6,0),"")</f>
        <v>CN Thừa Thiên Huế</v>
      </c>
      <c r="P43" s="53" t="str">
        <f>IFERROR(VLOOKUP(N43,[17]DSML!E:G,3,0),"")</f>
        <v>Khu vực Miền Trung</v>
      </c>
      <c r="Q43" s="57" t="s">
        <v>236</v>
      </c>
      <c r="R43" s="57" t="s">
        <v>251</v>
      </c>
      <c r="S43" s="66">
        <v>10970349</v>
      </c>
      <c r="T43" s="53" t="s">
        <v>256</v>
      </c>
      <c r="U43" s="88" t="s">
        <v>79</v>
      </c>
    </row>
    <row r="44" spans="1:21" x14ac:dyDescent="0.3">
      <c r="A44" s="64" t="s">
        <v>458</v>
      </c>
      <c r="B44" s="57" t="s">
        <v>359</v>
      </c>
      <c r="C44" s="136">
        <v>31996</v>
      </c>
      <c r="D44" s="85">
        <v>12</v>
      </c>
      <c r="E44" s="85">
        <v>6</v>
      </c>
      <c r="F44" s="189">
        <f t="shared" si="0"/>
        <v>45089</v>
      </c>
      <c r="G44" s="65" t="s">
        <v>84</v>
      </c>
      <c r="H44" s="86">
        <v>16500000</v>
      </c>
      <c r="I44" s="133" t="s">
        <v>30</v>
      </c>
      <c r="J44" s="75" t="s">
        <v>360</v>
      </c>
      <c r="K44" s="75"/>
      <c r="L44" s="186"/>
      <c r="M44" s="186"/>
      <c r="N44" s="65">
        <v>9366</v>
      </c>
      <c r="O44" s="53" t="str">
        <f>IFERROR(VLOOKUP(N44,[17]DSML!E:J,6,0),"")</f>
        <v>CN Thừa Thiên Huế</v>
      </c>
      <c r="P44" s="53" t="str">
        <f>IFERROR(VLOOKUP(N44,[17]DSML!E:G,3,0),"")</f>
        <v>Khu vực Miền Trung</v>
      </c>
      <c r="Q44" s="57" t="s">
        <v>236</v>
      </c>
      <c r="R44" s="57" t="s">
        <v>251</v>
      </c>
      <c r="S44" s="66">
        <v>10970349</v>
      </c>
      <c r="T44" s="53" t="s">
        <v>256</v>
      </c>
      <c r="U44" s="88" t="s">
        <v>79</v>
      </c>
    </row>
    <row r="45" spans="1:21" x14ac:dyDescent="0.3">
      <c r="A45" s="64" t="s">
        <v>459</v>
      </c>
      <c r="B45" s="90" t="s">
        <v>361</v>
      </c>
      <c r="C45" s="91">
        <v>31038</v>
      </c>
      <c r="D45" s="92">
        <v>13</v>
      </c>
      <c r="E45" s="92">
        <v>6</v>
      </c>
      <c r="F45" s="189">
        <f t="shared" si="0"/>
        <v>45090</v>
      </c>
      <c r="G45" s="65" t="s">
        <v>84</v>
      </c>
      <c r="H45" s="72">
        <v>12000000</v>
      </c>
      <c r="I45" s="62" t="s">
        <v>265</v>
      </c>
      <c r="J45" s="75" t="s">
        <v>299</v>
      </c>
      <c r="K45" s="75"/>
      <c r="L45" s="186"/>
      <c r="M45" s="186"/>
      <c r="N45" s="65">
        <v>9355</v>
      </c>
      <c r="O45" s="53" t="str">
        <f>IFERROR(VLOOKUP(N45,[18]DSML!E:J,6,0),"")</f>
        <v>CN Đà Nẵng</v>
      </c>
      <c r="P45" s="53" t="str">
        <f>IFERROR(VLOOKUP(N45,[18]DSML!E:G,3,0),"")</f>
        <v>Khu vực Miền Trung</v>
      </c>
      <c r="Q45" s="53" t="s">
        <v>236</v>
      </c>
      <c r="R45" s="53" t="s">
        <v>237</v>
      </c>
      <c r="S45" s="88">
        <v>11092762</v>
      </c>
      <c r="T45" s="75" t="s">
        <v>263</v>
      </c>
      <c r="U45" s="75" t="s">
        <v>86</v>
      </c>
    </row>
    <row r="46" spans="1:21" x14ac:dyDescent="0.3">
      <c r="A46" s="64" t="s">
        <v>460</v>
      </c>
      <c r="B46" s="90" t="s">
        <v>362</v>
      </c>
      <c r="C46" s="91">
        <v>33970</v>
      </c>
      <c r="D46" s="92">
        <v>13</v>
      </c>
      <c r="E46" s="92">
        <v>6</v>
      </c>
      <c r="F46" s="189">
        <f t="shared" si="0"/>
        <v>45090</v>
      </c>
      <c r="G46" s="65" t="s">
        <v>84</v>
      </c>
      <c r="H46" s="72">
        <v>12000000</v>
      </c>
      <c r="I46" s="62" t="s">
        <v>265</v>
      </c>
      <c r="J46" s="75" t="s">
        <v>363</v>
      </c>
      <c r="K46" s="75"/>
      <c r="L46" s="186"/>
      <c r="M46" s="186"/>
      <c r="N46" s="65">
        <v>9355</v>
      </c>
      <c r="O46" s="53" t="str">
        <f>IFERROR(VLOOKUP(N46,[18]DSML!E:J,6,0),"")</f>
        <v>CN Đà Nẵng</v>
      </c>
      <c r="P46" s="53" t="str">
        <f>IFERROR(VLOOKUP(N46,[18]DSML!E:G,3,0),"")</f>
        <v>Khu vực Miền Trung</v>
      </c>
      <c r="Q46" s="53" t="s">
        <v>236</v>
      </c>
      <c r="R46" s="53" t="s">
        <v>237</v>
      </c>
      <c r="S46" s="65">
        <v>11023108</v>
      </c>
      <c r="T46" s="89" t="s">
        <v>279</v>
      </c>
      <c r="U46" s="79" t="s">
        <v>86</v>
      </c>
    </row>
    <row r="47" spans="1:21" x14ac:dyDescent="0.3">
      <c r="A47" s="64" t="s">
        <v>461</v>
      </c>
      <c r="B47" s="53" t="s">
        <v>364</v>
      </c>
      <c r="C47" s="110"/>
      <c r="D47" s="71">
        <v>13</v>
      </c>
      <c r="E47" s="71">
        <v>6</v>
      </c>
      <c r="F47" s="189">
        <f t="shared" si="0"/>
        <v>45090</v>
      </c>
      <c r="G47" s="65" t="s">
        <v>84</v>
      </c>
      <c r="H47" s="72">
        <v>22000000</v>
      </c>
      <c r="I47" s="74" t="s">
        <v>30</v>
      </c>
      <c r="J47" s="75" t="s">
        <v>365</v>
      </c>
      <c r="K47" s="75"/>
      <c r="L47" s="186"/>
      <c r="M47" s="186"/>
      <c r="N47" s="65">
        <v>9368</v>
      </c>
      <c r="O47" s="53" t="str">
        <f>IFERROR(VLOOKUP(N47,[19]DSML!E:J,6,0),"")</f>
        <v>CN Tây Lộc</v>
      </c>
      <c r="P47" s="53" t="str">
        <f>IFERROR(VLOOKUP(N47,[19]DSML!E:G,3,0),"")</f>
        <v>Khu vực Miền Trung</v>
      </c>
      <c r="Q47" s="53" t="s">
        <v>236</v>
      </c>
      <c r="R47" s="57" t="s">
        <v>268</v>
      </c>
      <c r="S47" s="66">
        <v>10109416</v>
      </c>
      <c r="T47" s="67" t="s">
        <v>269</v>
      </c>
      <c r="U47" s="88" t="s">
        <v>79</v>
      </c>
    </row>
    <row r="48" spans="1:21" x14ac:dyDescent="0.3">
      <c r="A48" s="64" t="s">
        <v>462</v>
      </c>
      <c r="B48" s="53" t="s">
        <v>367</v>
      </c>
      <c r="C48" s="110"/>
      <c r="D48" s="71">
        <v>13</v>
      </c>
      <c r="E48" s="71">
        <v>6</v>
      </c>
      <c r="F48" s="189">
        <f t="shared" si="0"/>
        <v>45090</v>
      </c>
      <c r="G48" s="65" t="s">
        <v>84</v>
      </c>
      <c r="H48" s="72">
        <v>20000000</v>
      </c>
      <c r="I48" s="74" t="s">
        <v>30</v>
      </c>
      <c r="J48" s="75" t="s">
        <v>368</v>
      </c>
      <c r="K48" s="75"/>
      <c r="L48" s="186"/>
      <c r="M48" s="186"/>
      <c r="N48" s="65">
        <v>9368</v>
      </c>
      <c r="O48" s="53" t="str">
        <f>IFERROR(VLOOKUP(N48,[19]DSML!E:J,6,0),"")</f>
        <v>CN Tây Lộc</v>
      </c>
      <c r="P48" s="53" t="str">
        <f>IFERROR(VLOOKUP(N48,[19]DSML!E:G,3,0),"")</f>
        <v>Khu vực Miền Trung</v>
      </c>
      <c r="Q48" s="53" t="s">
        <v>236</v>
      </c>
      <c r="R48" s="57" t="s">
        <v>268</v>
      </c>
      <c r="S48" s="81">
        <v>11151864</v>
      </c>
      <c r="T48" s="55" t="s">
        <v>366</v>
      </c>
      <c r="U48" s="88" t="s">
        <v>79</v>
      </c>
    </row>
    <row r="49" spans="1:23" x14ac:dyDescent="0.3">
      <c r="A49" s="64" t="s">
        <v>463</v>
      </c>
      <c r="B49" s="90" t="s">
        <v>370</v>
      </c>
      <c r="C49" s="91">
        <v>34898</v>
      </c>
      <c r="D49" s="92">
        <v>14</v>
      </c>
      <c r="E49" s="92">
        <v>6</v>
      </c>
      <c r="F49" s="189">
        <f t="shared" si="0"/>
        <v>45091</v>
      </c>
      <c r="G49" s="65" t="s">
        <v>84</v>
      </c>
      <c r="H49" s="72">
        <v>12000000</v>
      </c>
      <c r="I49" s="62" t="s">
        <v>265</v>
      </c>
      <c r="J49" s="75" t="s">
        <v>371</v>
      </c>
      <c r="K49" s="75"/>
      <c r="L49" s="186"/>
      <c r="M49" s="186"/>
      <c r="N49" s="65">
        <v>9355</v>
      </c>
      <c r="O49" s="53" t="str">
        <f>IFERROR(VLOOKUP(N49,[20]DSML!E:J,6,0),"")</f>
        <v>CN Đà Nẵng</v>
      </c>
      <c r="P49" s="53" t="str">
        <f>IFERROR(VLOOKUP(N49,[20]DSML!E:G,3,0),"")</f>
        <v>Khu vực Miền Trung</v>
      </c>
      <c r="Q49" s="53" t="s">
        <v>236</v>
      </c>
      <c r="R49" s="53" t="s">
        <v>237</v>
      </c>
      <c r="S49" s="88">
        <v>11438413</v>
      </c>
      <c r="T49" s="75" t="s">
        <v>369</v>
      </c>
      <c r="U49" s="79" t="s">
        <v>83</v>
      </c>
    </row>
    <row r="50" spans="1:23" x14ac:dyDescent="0.3">
      <c r="A50" s="64" t="s">
        <v>464</v>
      </c>
      <c r="B50" s="90" t="s">
        <v>372</v>
      </c>
      <c r="C50" s="91">
        <v>34924</v>
      </c>
      <c r="D50" s="92">
        <v>14</v>
      </c>
      <c r="E50" s="92">
        <v>6</v>
      </c>
      <c r="F50" s="189">
        <f t="shared" si="0"/>
        <v>45091</v>
      </c>
      <c r="G50" s="65" t="s">
        <v>84</v>
      </c>
      <c r="H50" s="72">
        <v>12000000</v>
      </c>
      <c r="I50" s="137" t="s">
        <v>30</v>
      </c>
      <c r="J50" s="75" t="s">
        <v>346</v>
      </c>
      <c r="K50" s="75"/>
      <c r="L50" s="186"/>
      <c r="M50" s="186"/>
      <c r="N50" s="65">
        <v>9355</v>
      </c>
      <c r="O50" s="53" t="str">
        <f>IFERROR(VLOOKUP(N50,[20]DSML!E:J,6,0),"")</f>
        <v>CN Đà Nẵng</v>
      </c>
      <c r="P50" s="53" t="str">
        <f>IFERROR(VLOOKUP(N50,[20]DSML!E:G,3,0),"")</f>
        <v>Khu vực Miền Trung</v>
      </c>
      <c r="Q50" s="53" t="s">
        <v>236</v>
      </c>
      <c r="R50" s="53" t="s">
        <v>237</v>
      </c>
      <c r="S50" s="88">
        <v>10041965</v>
      </c>
      <c r="T50" s="75" t="s">
        <v>344</v>
      </c>
      <c r="U50" s="75" t="s">
        <v>82</v>
      </c>
    </row>
    <row r="51" spans="1:23" x14ac:dyDescent="0.3">
      <c r="A51" s="64" t="s">
        <v>465</v>
      </c>
      <c r="B51" s="54" t="s">
        <v>373</v>
      </c>
      <c r="C51" s="136">
        <v>29501</v>
      </c>
      <c r="D51" s="85">
        <v>14</v>
      </c>
      <c r="E51" s="85">
        <v>6</v>
      </c>
      <c r="F51" s="189">
        <f t="shared" si="0"/>
        <v>45091</v>
      </c>
      <c r="G51" s="65" t="s">
        <v>80</v>
      </c>
      <c r="H51" s="86">
        <v>18642000</v>
      </c>
      <c r="I51" s="62" t="s">
        <v>265</v>
      </c>
      <c r="J51" s="75" t="s">
        <v>374</v>
      </c>
      <c r="K51" s="75"/>
      <c r="L51" s="186"/>
      <c r="M51" s="186"/>
      <c r="N51" s="65">
        <v>9366</v>
      </c>
      <c r="O51" s="53" t="str">
        <f>IFERROR(VLOOKUP(N51,[21]DSML!E:J,6,0),"")</f>
        <v>CN Thừa Thiên Huế</v>
      </c>
      <c r="P51" s="53" t="str">
        <f>IFERROR(VLOOKUP(N51,[21]DSML!E:G,3,0),"")</f>
        <v>Khu vực Miền Trung</v>
      </c>
      <c r="Q51" s="57" t="s">
        <v>236</v>
      </c>
      <c r="R51" s="57" t="s">
        <v>251</v>
      </c>
      <c r="S51" s="93">
        <v>10973196</v>
      </c>
      <c r="T51" s="94" t="s">
        <v>319</v>
      </c>
      <c r="U51" s="138" t="s">
        <v>79</v>
      </c>
    </row>
    <row r="52" spans="1:23" s="185" customFormat="1" x14ac:dyDescent="0.3">
      <c r="A52" s="64" t="s">
        <v>466</v>
      </c>
      <c r="B52" s="186" t="s">
        <v>375</v>
      </c>
      <c r="C52" s="91">
        <v>33970</v>
      </c>
      <c r="D52" s="110">
        <v>15</v>
      </c>
      <c r="E52" s="110">
        <v>6</v>
      </c>
      <c r="F52" s="189">
        <f t="shared" si="0"/>
        <v>45092</v>
      </c>
      <c r="G52" s="186" t="s">
        <v>376</v>
      </c>
      <c r="H52" s="111">
        <v>12000004</v>
      </c>
      <c r="I52" s="74" t="s">
        <v>30</v>
      </c>
      <c r="J52" s="186" t="s">
        <v>377</v>
      </c>
      <c r="K52" s="140"/>
      <c r="L52" s="187"/>
      <c r="M52" s="187"/>
      <c r="N52" s="54">
        <v>9355</v>
      </c>
      <c r="O52" s="55" t="s">
        <v>235</v>
      </c>
      <c r="P52" s="55" t="s">
        <v>220</v>
      </c>
      <c r="Q52" s="55" t="s">
        <v>236</v>
      </c>
      <c r="R52" s="55" t="s">
        <v>237</v>
      </c>
      <c r="S52" s="54">
        <v>10761472</v>
      </c>
      <c r="T52" s="89" t="s">
        <v>311</v>
      </c>
      <c r="U52" s="139" t="s">
        <v>82</v>
      </c>
    </row>
    <row r="53" spans="1:23" ht="30" x14ac:dyDescent="0.3">
      <c r="A53" s="64" t="s">
        <v>467</v>
      </c>
      <c r="B53" s="186" t="s">
        <v>378</v>
      </c>
      <c r="C53" s="91">
        <v>34898</v>
      </c>
      <c r="D53" s="110">
        <v>15</v>
      </c>
      <c r="E53" s="110">
        <v>6</v>
      </c>
      <c r="F53" s="189">
        <f t="shared" si="0"/>
        <v>45092</v>
      </c>
      <c r="G53" s="186" t="s">
        <v>376</v>
      </c>
      <c r="H53" s="111">
        <v>12000005</v>
      </c>
      <c r="I53" s="74" t="s">
        <v>30</v>
      </c>
      <c r="J53" s="186" t="s">
        <v>377</v>
      </c>
      <c r="K53" s="94" t="s">
        <v>379</v>
      </c>
      <c r="L53" s="186"/>
      <c r="M53" s="186"/>
      <c r="N53" s="54">
        <v>9356</v>
      </c>
      <c r="O53" s="55" t="s">
        <v>235</v>
      </c>
      <c r="P53" s="55" t="s">
        <v>220</v>
      </c>
      <c r="Q53" s="55" t="s">
        <v>236</v>
      </c>
      <c r="R53" s="55" t="s">
        <v>237</v>
      </c>
      <c r="S53" s="54">
        <v>10761473</v>
      </c>
      <c r="T53" s="89" t="s">
        <v>311</v>
      </c>
      <c r="U53" s="139" t="s">
        <v>82</v>
      </c>
    </row>
    <row r="54" spans="1:23" x14ac:dyDescent="0.3">
      <c r="A54" s="64" t="s">
        <v>468</v>
      </c>
      <c r="B54" s="186" t="s">
        <v>382</v>
      </c>
      <c r="C54" s="110" t="s">
        <v>383</v>
      </c>
      <c r="D54" s="110">
        <v>15</v>
      </c>
      <c r="E54" s="110">
        <v>6</v>
      </c>
      <c r="F54" s="189">
        <f t="shared" si="0"/>
        <v>45092</v>
      </c>
      <c r="G54" s="186" t="s">
        <v>376</v>
      </c>
      <c r="H54" s="111">
        <v>12000000</v>
      </c>
      <c r="I54" s="62" t="s">
        <v>265</v>
      </c>
      <c r="J54" s="186" t="s">
        <v>377</v>
      </c>
      <c r="K54" s="186" t="s">
        <v>250</v>
      </c>
      <c r="L54" s="186"/>
      <c r="M54" s="186"/>
      <c r="N54" s="65">
        <v>9361</v>
      </c>
      <c r="O54" s="109" t="s">
        <v>380</v>
      </c>
      <c r="P54" s="53" t="str">
        <f>IFERROR(VLOOKUP(N54,[20]DSML!E:G,3,0),"")</f>
        <v>Khu vực Miền Trung</v>
      </c>
      <c r="Q54" s="53" t="s">
        <v>236</v>
      </c>
      <c r="R54" s="53" t="s">
        <v>237</v>
      </c>
      <c r="S54" s="186"/>
      <c r="T54" s="186" t="s">
        <v>381</v>
      </c>
      <c r="U54" s="186" t="s">
        <v>82</v>
      </c>
    </row>
    <row r="55" spans="1:23" x14ac:dyDescent="0.3">
      <c r="A55" s="64" t="s">
        <v>469</v>
      </c>
      <c r="B55" s="186" t="s">
        <v>385</v>
      </c>
      <c r="C55" s="110" t="s">
        <v>386</v>
      </c>
      <c r="D55" s="110">
        <v>15</v>
      </c>
      <c r="E55" s="110">
        <v>6</v>
      </c>
      <c r="F55" s="189">
        <f t="shared" si="0"/>
        <v>45092</v>
      </c>
      <c r="G55" s="186" t="s">
        <v>376</v>
      </c>
      <c r="H55" s="111">
        <v>12000001</v>
      </c>
      <c r="I55" s="62" t="s">
        <v>265</v>
      </c>
      <c r="J55" s="186" t="s">
        <v>377</v>
      </c>
      <c r="K55" s="186"/>
      <c r="L55" s="186"/>
      <c r="M55" s="186"/>
      <c r="N55" s="65">
        <v>9361</v>
      </c>
      <c r="O55" s="109" t="s">
        <v>380</v>
      </c>
      <c r="P55" s="53" t="str">
        <f>IFERROR(VLOOKUP(N55,[20]DSML!E:G,3,0),"")</f>
        <v>Khu vực Miền Trung</v>
      </c>
      <c r="Q55" s="53" t="s">
        <v>236</v>
      </c>
      <c r="R55" s="53" t="s">
        <v>237</v>
      </c>
      <c r="S55" s="88">
        <v>11142498</v>
      </c>
      <c r="T55" s="79" t="s">
        <v>384</v>
      </c>
      <c r="U55" s="186" t="s">
        <v>79</v>
      </c>
    </row>
    <row r="56" spans="1:23" x14ac:dyDescent="0.3">
      <c r="A56" s="64" t="s">
        <v>470</v>
      </c>
      <c r="B56" s="186" t="s">
        <v>387</v>
      </c>
      <c r="C56" s="141">
        <v>29014</v>
      </c>
      <c r="D56" s="110">
        <v>15</v>
      </c>
      <c r="E56" s="110">
        <v>6</v>
      </c>
      <c r="F56" s="189">
        <f t="shared" si="0"/>
        <v>45092</v>
      </c>
      <c r="G56" s="186" t="s">
        <v>376</v>
      </c>
      <c r="H56" s="111">
        <v>12000002</v>
      </c>
      <c r="I56" s="62" t="s">
        <v>265</v>
      </c>
      <c r="J56" s="186" t="s">
        <v>377</v>
      </c>
      <c r="K56" s="186"/>
      <c r="L56" s="186"/>
      <c r="M56" s="186"/>
      <c r="N56" s="65">
        <v>9361</v>
      </c>
      <c r="O56" s="109" t="s">
        <v>380</v>
      </c>
      <c r="P56" s="53" t="str">
        <f>IFERROR(VLOOKUP(N56,[20]DSML!E:G,3,0),"")</f>
        <v>Khu vực Miền Trung</v>
      </c>
      <c r="Q56" s="53" t="s">
        <v>236</v>
      </c>
      <c r="R56" s="53" t="s">
        <v>237</v>
      </c>
      <c r="S56" s="88">
        <v>11142498</v>
      </c>
      <c r="T56" s="79" t="s">
        <v>384</v>
      </c>
      <c r="U56" s="186" t="s">
        <v>79</v>
      </c>
    </row>
    <row r="57" spans="1:23" x14ac:dyDescent="0.3">
      <c r="A57" s="64" t="s">
        <v>471</v>
      </c>
      <c r="B57" s="186" t="s">
        <v>389</v>
      </c>
      <c r="C57" s="91">
        <v>31038</v>
      </c>
      <c r="D57" s="110">
        <v>15</v>
      </c>
      <c r="E57" s="110">
        <v>6</v>
      </c>
      <c r="F57" s="189">
        <f t="shared" si="0"/>
        <v>45092</v>
      </c>
      <c r="G57" s="186" t="s">
        <v>376</v>
      </c>
      <c r="H57" s="111">
        <v>12000003</v>
      </c>
      <c r="I57" s="74" t="s">
        <v>30</v>
      </c>
      <c r="J57" s="186" t="s">
        <v>377</v>
      </c>
      <c r="K57" s="186" t="s">
        <v>390</v>
      </c>
      <c r="L57" s="186"/>
      <c r="M57" s="186"/>
      <c r="N57" s="65">
        <v>9361</v>
      </c>
      <c r="O57" s="109" t="s">
        <v>380</v>
      </c>
      <c r="P57" s="53" t="str">
        <f>IFERROR(VLOOKUP(N57,[20]DSML!E:G,3,0),"")</f>
        <v>Khu vực Miền Trung</v>
      </c>
      <c r="Q57" s="53" t="s">
        <v>236</v>
      </c>
      <c r="R57" s="53" t="s">
        <v>237</v>
      </c>
      <c r="S57" s="88">
        <v>10702626</v>
      </c>
      <c r="T57" s="186" t="s">
        <v>388</v>
      </c>
      <c r="U57" s="186" t="s">
        <v>82</v>
      </c>
    </row>
    <row r="58" spans="1:23" x14ac:dyDescent="0.3">
      <c r="A58" s="64" t="s">
        <v>472</v>
      </c>
      <c r="B58" s="186" t="s">
        <v>392</v>
      </c>
      <c r="C58" s="91">
        <v>34924</v>
      </c>
      <c r="D58" s="110">
        <v>15</v>
      </c>
      <c r="E58" s="110">
        <v>6</v>
      </c>
      <c r="F58" s="189">
        <f t="shared" si="0"/>
        <v>45092</v>
      </c>
      <c r="G58" s="186" t="s">
        <v>376</v>
      </c>
      <c r="H58" s="111">
        <v>12000006</v>
      </c>
      <c r="I58" s="74" t="s">
        <v>30</v>
      </c>
      <c r="J58" s="186" t="s">
        <v>377</v>
      </c>
      <c r="K58" s="186"/>
      <c r="L58" s="186"/>
      <c r="M58" s="186"/>
      <c r="N58" s="65">
        <v>9361</v>
      </c>
      <c r="O58" s="109" t="s">
        <v>380</v>
      </c>
      <c r="P58" s="53" t="str">
        <f>IFERROR(VLOOKUP(N58,[20]DSML!E:G,3,0),"")</f>
        <v>Khu vực Miền Trung</v>
      </c>
      <c r="Q58" s="53" t="s">
        <v>236</v>
      </c>
      <c r="R58" s="53" t="s">
        <v>237</v>
      </c>
      <c r="S58" s="88">
        <v>10047164</v>
      </c>
      <c r="T58" s="186" t="s">
        <v>391</v>
      </c>
      <c r="U58" s="139" t="s">
        <v>82</v>
      </c>
    </row>
    <row r="59" spans="1:23" s="185" customFormat="1" x14ac:dyDescent="0.3">
      <c r="A59" s="64" t="s">
        <v>473</v>
      </c>
      <c r="B59" s="114" t="s">
        <v>393</v>
      </c>
      <c r="C59" s="143">
        <v>35302</v>
      </c>
      <c r="D59" s="134">
        <v>15</v>
      </c>
      <c r="E59" s="134">
        <v>6</v>
      </c>
      <c r="F59" s="189">
        <f t="shared" si="0"/>
        <v>45092</v>
      </c>
      <c r="G59" s="187" t="s">
        <v>376</v>
      </c>
      <c r="H59" s="144">
        <v>16104000</v>
      </c>
      <c r="I59" s="106" t="s">
        <v>285</v>
      </c>
      <c r="J59" s="187" t="s">
        <v>394</v>
      </c>
      <c r="K59" s="187"/>
      <c r="L59" s="187"/>
      <c r="M59" s="187"/>
      <c r="N59" s="97">
        <v>9357</v>
      </c>
      <c r="O59" s="98" t="str">
        <f>IFERROR(VLOOKUP(N59,[22]DSML!E:J,6,0),"")</f>
        <v>CN Nguyễn Hữu Thọ</v>
      </c>
      <c r="P59" s="97" t="str">
        <f>IFERROR(VLOOKUP(N59,[22]DSML!E:G,3,0),"")</f>
        <v>Khu vực Miền Trung</v>
      </c>
      <c r="Q59" s="98" t="s">
        <v>236</v>
      </c>
      <c r="R59" s="187" t="s">
        <v>334</v>
      </c>
      <c r="S59" s="142">
        <v>10841463</v>
      </c>
      <c r="T59" s="114" t="s">
        <v>393</v>
      </c>
      <c r="U59" s="97" t="s">
        <v>82</v>
      </c>
    </row>
    <row r="60" spans="1:23" s="185" customFormat="1" x14ac:dyDescent="0.3">
      <c r="A60" s="64" t="s">
        <v>474</v>
      </c>
      <c r="B60" s="97" t="s">
        <v>329</v>
      </c>
      <c r="C60" s="145">
        <v>34610</v>
      </c>
      <c r="D60" s="146">
        <v>15</v>
      </c>
      <c r="E60" s="146">
        <v>6</v>
      </c>
      <c r="F60" s="189">
        <f t="shared" si="0"/>
        <v>45092</v>
      </c>
      <c r="G60" s="119" t="s">
        <v>84</v>
      </c>
      <c r="H60" s="147">
        <v>10325000</v>
      </c>
      <c r="I60" s="106" t="s">
        <v>285</v>
      </c>
      <c r="J60" s="140" t="s">
        <v>395</v>
      </c>
      <c r="K60" s="187" t="s">
        <v>318</v>
      </c>
      <c r="L60" s="187"/>
      <c r="M60" s="187"/>
      <c r="N60" s="97">
        <v>9366</v>
      </c>
      <c r="O60" s="98" t="str">
        <f>IFERROR(VLOOKUP(N60,[23]DSML!E:J,6,0),"")</f>
        <v>CN Thừa Thiên Huế</v>
      </c>
      <c r="P60" s="98" t="str">
        <f>IFERROR(VLOOKUP(N60,[23]DSML!E:G,3,0),"")</f>
        <v>Khu vực Miền Trung</v>
      </c>
      <c r="Q60" s="84" t="s">
        <v>236</v>
      </c>
      <c r="R60" s="84" t="s">
        <v>251</v>
      </c>
      <c r="S60" s="99">
        <v>11136157</v>
      </c>
      <c r="T60" s="114" t="s">
        <v>329</v>
      </c>
      <c r="U60" s="107" t="s">
        <v>79</v>
      </c>
    </row>
    <row r="61" spans="1:23" s="185" customFormat="1" x14ac:dyDescent="0.3">
      <c r="A61" s="64" t="s">
        <v>475</v>
      </c>
      <c r="B61" s="149" t="s">
        <v>252</v>
      </c>
      <c r="C61" s="83" t="s">
        <v>396</v>
      </c>
      <c r="D61" s="150">
        <v>15</v>
      </c>
      <c r="E61" s="60">
        <v>6</v>
      </c>
      <c r="F61" s="189">
        <f t="shared" si="0"/>
        <v>45092</v>
      </c>
      <c r="G61" s="54" t="s">
        <v>84</v>
      </c>
      <c r="H61" s="61">
        <v>15500000</v>
      </c>
      <c r="I61" s="112" t="s">
        <v>309</v>
      </c>
      <c r="J61" s="94" t="s">
        <v>397</v>
      </c>
      <c r="K61" s="187"/>
      <c r="L61" s="187"/>
      <c r="M61" s="187"/>
      <c r="N61" s="65">
        <v>9366</v>
      </c>
      <c r="O61" s="53" t="str">
        <f>IFERROR(VLOOKUP(N61,[23]DSML!E:J,6,0),"")</f>
        <v>CN Thừa Thiên Huế</v>
      </c>
      <c r="P61" s="53" t="str">
        <f>IFERROR(VLOOKUP(N61,[23]DSML!E:G,3,0),"")</f>
        <v>Khu vực Miền Trung</v>
      </c>
      <c r="Q61" s="57" t="s">
        <v>236</v>
      </c>
      <c r="R61" s="57" t="s">
        <v>251</v>
      </c>
      <c r="S61" s="81">
        <v>10168561</v>
      </c>
      <c r="T61" s="53" t="s">
        <v>252</v>
      </c>
      <c r="U61" s="148" t="s">
        <v>82</v>
      </c>
    </row>
    <row r="62" spans="1:23" s="185" customFormat="1" x14ac:dyDescent="0.3">
      <c r="A62" s="64" t="s">
        <v>476</v>
      </c>
      <c r="B62" s="100" t="s">
        <v>399</v>
      </c>
      <c r="C62" s="151"/>
      <c r="D62" s="102">
        <v>12</v>
      </c>
      <c r="E62" s="103">
        <v>6</v>
      </c>
      <c r="F62" s="189">
        <f t="shared" si="0"/>
        <v>45089</v>
      </c>
      <c r="G62" s="104" t="s">
        <v>80</v>
      </c>
      <c r="H62" s="152">
        <v>15200000</v>
      </c>
      <c r="I62" s="106" t="s">
        <v>285</v>
      </c>
      <c r="J62" s="107" t="s">
        <v>286</v>
      </c>
      <c r="K62" s="107" t="s">
        <v>290</v>
      </c>
      <c r="L62" s="107"/>
      <c r="M62" s="107"/>
      <c r="N62" s="97">
        <v>9367</v>
      </c>
      <c r="O62" s="97" t="s">
        <v>287</v>
      </c>
      <c r="P62" s="97" t="str">
        <f>IFERROR(VLOOKUP(N62,[24]DSML!E:G,3,0),"")</f>
        <v>Khu vực Miền Trung</v>
      </c>
      <c r="Q62" s="84" t="s">
        <v>236</v>
      </c>
      <c r="R62" s="98" t="s">
        <v>282</v>
      </c>
      <c r="S62" s="99">
        <v>11141765</v>
      </c>
      <c r="T62" s="100" t="s">
        <v>398</v>
      </c>
      <c r="U62" s="100" t="s">
        <v>79</v>
      </c>
      <c r="V62" s="153"/>
      <c r="W62" s="153"/>
    </row>
    <row r="63" spans="1:23" x14ac:dyDescent="0.3">
      <c r="A63" s="64" t="s">
        <v>477</v>
      </c>
      <c r="B63" s="159" t="s">
        <v>400</v>
      </c>
      <c r="C63" s="160">
        <v>30529</v>
      </c>
      <c r="D63" s="161">
        <v>19</v>
      </c>
      <c r="E63" s="161">
        <v>6</v>
      </c>
      <c r="F63" s="189">
        <f t="shared" si="0"/>
        <v>45096</v>
      </c>
      <c r="G63" s="156" t="s">
        <v>84</v>
      </c>
      <c r="H63" s="162">
        <v>10000000</v>
      </c>
      <c r="I63" s="163" t="s">
        <v>30</v>
      </c>
      <c r="J63" s="164" t="s">
        <v>401</v>
      </c>
      <c r="K63" s="164"/>
      <c r="L63" s="165"/>
      <c r="M63" s="75"/>
      <c r="N63" s="154">
        <v>9355</v>
      </c>
      <c r="O63" s="155" t="s">
        <v>235</v>
      </c>
      <c r="P63" s="155" t="s">
        <v>220</v>
      </c>
      <c r="Q63" s="53" t="s">
        <v>236</v>
      </c>
      <c r="R63" s="53" t="s">
        <v>237</v>
      </c>
      <c r="S63" s="156">
        <v>10958130</v>
      </c>
      <c r="T63" s="157" t="s">
        <v>350</v>
      </c>
      <c r="U63" s="158" t="s">
        <v>83</v>
      </c>
    </row>
    <row r="64" spans="1:23" x14ac:dyDescent="0.3">
      <c r="A64" s="64" t="s">
        <v>478</v>
      </c>
      <c r="B64" s="159" t="s">
        <v>402</v>
      </c>
      <c r="C64" s="160">
        <v>31244</v>
      </c>
      <c r="D64" s="161">
        <v>19</v>
      </c>
      <c r="E64" s="161">
        <v>6</v>
      </c>
      <c r="F64" s="189">
        <f t="shared" si="0"/>
        <v>45096</v>
      </c>
      <c r="G64" s="156" t="s">
        <v>84</v>
      </c>
      <c r="H64" s="162">
        <v>20000000</v>
      </c>
      <c r="I64" s="163" t="s">
        <v>30</v>
      </c>
      <c r="J64" s="164" t="s">
        <v>403</v>
      </c>
      <c r="K64" s="164"/>
      <c r="L64" s="165"/>
      <c r="M64" s="75"/>
      <c r="N64" s="166">
        <v>9355</v>
      </c>
      <c r="O64" s="167" t="s">
        <v>235</v>
      </c>
      <c r="P64" s="167" t="s">
        <v>220</v>
      </c>
      <c r="Q64" s="53" t="s">
        <v>236</v>
      </c>
      <c r="R64" s="53" t="s">
        <v>237</v>
      </c>
      <c r="S64" s="156">
        <v>10958130</v>
      </c>
      <c r="T64" s="157" t="s">
        <v>350</v>
      </c>
      <c r="U64" s="158" t="s">
        <v>83</v>
      </c>
    </row>
    <row r="65" spans="1:21" x14ac:dyDescent="0.3">
      <c r="A65" s="64" t="s">
        <v>479</v>
      </c>
      <c r="B65" s="128" t="s">
        <v>404</v>
      </c>
      <c r="C65" s="168">
        <v>27986</v>
      </c>
      <c r="D65" s="130">
        <v>19</v>
      </c>
      <c r="E65" s="71">
        <v>6</v>
      </c>
      <c r="F65" s="189">
        <f t="shared" si="0"/>
        <v>45096</v>
      </c>
      <c r="G65" s="131" t="s">
        <v>80</v>
      </c>
      <c r="H65" s="169">
        <v>20000000</v>
      </c>
      <c r="I65" s="170" t="s">
        <v>30</v>
      </c>
      <c r="J65" s="88" t="s">
        <v>405</v>
      </c>
      <c r="K65" s="88"/>
      <c r="L65" s="188"/>
      <c r="M65" s="188"/>
      <c r="N65" s="65">
        <v>9367</v>
      </c>
      <c r="O65" s="65" t="s">
        <v>287</v>
      </c>
      <c r="P65" s="65" t="str">
        <f>IFERROR(VLOOKUP(N65,[25]DSML!E:G,3,0),"")</f>
        <v>Khu vực Miền Trung</v>
      </c>
      <c r="Q65" s="57" t="s">
        <v>236</v>
      </c>
      <c r="R65" s="53" t="s">
        <v>282</v>
      </c>
      <c r="S65" s="66">
        <v>10838924</v>
      </c>
      <c r="T65" s="65" t="s">
        <v>353</v>
      </c>
      <c r="U65" s="88" t="s">
        <v>79</v>
      </c>
    </row>
    <row r="66" spans="1:21" x14ac:dyDescent="0.3">
      <c r="A66" s="64" t="s">
        <v>480</v>
      </c>
      <c r="B66" s="128" t="s">
        <v>406</v>
      </c>
      <c r="C66" s="171">
        <v>27041</v>
      </c>
      <c r="D66" s="130">
        <v>19</v>
      </c>
      <c r="E66" s="71">
        <v>6</v>
      </c>
      <c r="F66" s="189">
        <f t="shared" si="0"/>
        <v>45096</v>
      </c>
      <c r="G66" s="131" t="s">
        <v>80</v>
      </c>
      <c r="H66" s="169">
        <v>25000000</v>
      </c>
      <c r="I66" s="170" t="s">
        <v>30</v>
      </c>
      <c r="J66" s="88" t="s">
        <v>407</v>
      </c>
      <c r="K66" s="88"/>
      <c r="L66" s="188"/>
      <c r="M66" s="188"/>
      <c r="N66" s="65">
        <v>9367</v>
      </c>
      <c r="O66" s="65" t="str">
        <f>IFERROR(VLOOKUP(N66,[25]DSML!E:J,6,0),"")</f>
        <v>CN Đông Ba</v>
      </c>
      <c r="P66" s="65" t="str">
        <f>IFERROR(VLOOKUP(N66,[25]DSML!E:G,3,0),"")</f>
        <v>Khu vực Miền Trung</v>
      </c>
      <c r="Q66" s="57" t="s">
        <v>236</v>
      </c>
      <c r="R66" s="53" t="s">
        <v>282</v>
      </c>
      <c r="S66" s="81">
        <v>10109018</v>
      </c>
      <c r="T66" s="65" t="s">
        <v>283</v>
      </c>
      <c r="U66" s="88" t="s">
        <v>79</v>
      </c>
    </row>
    <row r="67" spans="1:21" x14ac:dyDescent="0.3">
      <c r="A67" s="64" t="s">
        <v>481</v>
      </c>
      <c r="B67" s="172" t="s">
        <v>409</v>
      </c>
      <c r="C67" s="173"/>
      <c r="D67" s="70">
        <v>19</v>
      </c>
      <c r="E67" s="70">
        <v>6</v>
      </c>
      <c r="F67" s="189">
        <f t="shared" si="0"/>
        <v>45096</v>
      </c>
      <c r="G67" s="65" t="s">
        <v>84</v>
      </c>
      <c r="H67" s="71">
        <v>10798000</v>
      </c>
      <c r="I67" s="170" t="s">
        <v>30</v>
      </c>
      <c r="J67" s="79" t="s">
        <v>410</v>
      </c>
      <c r="K67" s="79" t="s">
        <v>411</v>
      </c>
      <c r="L67" s="75"/>
      <c r="M67" s="75"/>
      <c r="N67" s="54">
        <v>9356</v>
      </c>
      <c r="O67" s="55" t="s">
        <v>333</v>
      </c>
      <c r="P67" s="186" t="s">
        <v>220</v>
      </c>
      <c r="Q67" s="57" t="s">
        <v>236</v>
      </c>
      <c r="R67" s="53" t="s">
        <v>334</v>
      </c>
      <c r="S67" s="188"/>
      <c r="T67" s="186" t="s">
        <v>408</v>
      </c>
      <c r="U67" s="88" t="s">
        <v>79</v>
      </c>
    </row>
    <row r="68" spans="1:21" x14ac:dyDescent="0.3">
      <c r="A68" s="64" t="s">
        <v>482</v>
      </c>
      <c r="B68" s="172" t="s">
        <v>412</v>
      </c>
      <c r="C68" s="173"/>
      <c r="D68" s="70">
        <v>19</v>
      </c>
      <c r="E68" s="70">
        <v>6</v>
      </c>
      <c r="F68" s="189">
        <f t="shared" si="0"/>
        <v>45096</v>
      </c>
      <c r="G68" s="65" t="s">
        <v>84</v>
      </c>
      <c r="H68" s="71">
        <v>13163000</v>
      </c>
      <c r="I68" s="170" t="s">
        <v>30</v>
      </c>
      <c r="J68" s="188" t="s">
        <v>413</v>
      </c>
      <c r="K68" s="79"/>
      <c r="L68" s="75"/>
      <c r="M68" s="75"/>
      <c r="N68" s="54">
        <v>9356</v>
      </c>
      <c r="O68" s="55" t="s">
        <v>333</v>
      </c>
      <c r="P68" s="186" t="s">
        <v>220</v>
      </c>
      <c r="Q68" s="57" t="s">
        <v>236</v>
      </c>
      <c r="R68" s="53" t="s">
        <v>334</v>
      </c>
      <c r="S68" s="188"/>
      <c r="T68" s="186" t="s">
        <v>336</v>
      </c>
      <c r="U68" s="88" t="s">
        <v>82</v>
      </c>
    </row>
    <row r="69" spans="1:21" ht="30" x14ac:dyDescent="0.3">
      <c r="A69" s="64" t="s">
        <v>483</v>
      </c>
      <c r="B69" s="67" t="s">
        <v>393</v>
      </c>
      <c r="C69" s="173"/>
      <c r="D69" s="70">
        <v>19</v>
      </c>
      <c r="E69" s="70">
        <v>6</v>
      </c>
      <c r="F69" s="189">
        <f t="shared" si="0"/>
        <v>45096</v>
      </c>
      <c r="G69" s="65" t="s">
        <v>84</v>
      </c>
      <c r="H69" s="71">
        <v>15654000</v>
      </c>
      <c r="I69" s="174" t="s">
        <v>285</v>
      </c>
      <c r="J69" s="75" t="s">
        <v>415</v>
      </c>
      <c r="K69" s="79" t="s">
        <v>416</v>
      </c>
      <c r="L69" s="75"/>
      <c r="M69" s="75" t="s">
        <v>417</v>
      </c>
      <c r="N69" s="54">
        <v>9357</v>
      </c>
      <c r="O69" s="55" t="s">
        <v>333</v>
      </c>
      <c r="P69" s="186" t="s">
        <v>220</v>
      </c>
      <c r="Q69" s="57" t="s">
        <v>236</v>
      </c>
      <c r="R69" s="53" t="s">
        <v>334</v>
      </c>
      <c r="S69" s="188"/>
      <c r="T69" s="188" t="s">
        <v>414</v>
      </c>
      <c r="U69" s="88" t="s">
        <v>79</v>
      </c>
    </row>
  </sheetData>
  <phoneticPr fontId="2" type="noConversion"/>
  <conditionalFormatting sqref="B3">
    <cfRule type="duplicateValues" dxfId="5" priority="6"/>
  </conditionalFormatting>
  <conditionalFormatting sqref="B17">
    <cfRule type="duplicateValues" dxfId="4" priority="4"/>
  </conditionalFormatting>
  <conditionalFormatting sqref="B18:B19">
    <cfRule type="duplicateValues" dxfId="3" priority="3"/>
  </conditionalFormatting>
  <conditionalFormatting sqref="B53">
    <cfRule type="duplicateValues" dxfId="2" priority="2"/>
  </conditionalFormatting>
  <conditionalFormatting sqref="B62">
    <cfRule type="duplicateValues" dxfId="1" priority="1"/>
  </conditionalFormatting>
  <conditionalFormatting sqref="S3">
    <cfRule type="duplicateValues" dxfId="0" priority="5"/>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E99A0-C8D5-4E20-8A0F-5974C218D728}">
  <dimension ref="A1"/>
  <sheetViews>
    <sheetView topLeftCell="A28"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vt:lpstr>
      <vt:lpstr>KH</vt:lpstr>
      <vt:lpstr>Chung</vt:lpstr>
      <vt:lpstr>Can-Bo-Refer</vt:lpstr>
      <vt:lpstr>Don-Vi</vt:lpstr>
      <vt:lpstr>Nhan-Vien-Sale</vt:lpstr>
      <vt:lpstr>RM</vt:lpstr>
      <vt:lpstr>RM-TRUNG</vt:lpstr>
      <vt:lpstr>NV-Sale</vt:lpstr>
      <vt:lpstr>DAO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2023-06-29T16:17:02Z</dcterms:created>
  <dcterms:modified xsi:type="dcterms:W3CDTF">2023-06-30T16:00:19Z</dcterms:modified>
</cp:coreProperties>
</file>