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FF8A9B88-C187-45A4-8408-AF6F6075EEB7}" xr6:coauthVersionLast="47" xr6:coauthVersionMax="47" xr10:uidLastSave="{00000000-0000-0000-0000-000000000000}"/>
  <workbookProtection workbookAlgorithmName="SHA-512" workbookHashValue="IxmeBQc5HhFX0tEAkSN5MboCYhMGk7+PFocSgFjU+u15se9pORsZ2kSiEepyyPUYp2h++AMloiCjs//cCh9zDw==" workbookSaltValue="spYodgQYVsPooveh9DtSkA==" workbookSpinCount="100000" lockStructure="1"/>
  <bookViews>
    <workbookView xWindow="-108" yWindow="-108" windowWidth="23256" windowHeight="14016" tabRatio="545" firstSheet="3" activeTab="6" xr2:uid="{00000000-000D-0000-FFFF-FFFF00000000}"/>
  </bookViews>
  <sheets>
    <sheet name="Data" sheetId="2" state="hidden" r:id="rId1"/>
    <sheet name="PRR" sheetId="68" state="hidden" r:id="rId2"/>
    <sheet name="Revision Record" sheetId="295" state="hidden" r:id="rId3"/>
    <sheet name="Guide" sheetId="263" r:id="rId4"/>
    <sheet name="RBS" sheetId="3" r:id="rId5"/>
    <sheet name="Category" sheetId="259" r:id="rId6"/>
    <sheet name="RiskRegister" sheetId="258" r:id="rId7"/>
    <sheet name="Assumption" sheetId="262" r:id="rId8"/>
    <sheet name="Risk-Based Cost Estimate" sheetId="289" r:id="rId9"/>
    <sheet name="SimulationResults1" sheetId="292" state="hidden" r:id="rId10"/>
    <sheet name="MC" sheetId="284" state="hidden" r:id="rId11"/>
    <sheet name="RTAGlobal" sheetId="15" state="veryHidden" r:id="rId12"/>
    <sheet name="Risk Sched Sensitivity" sheetId="286" state="hidden" r:id="rId13"/>
    <sheet name="Risk Cost Sensitivity" sheetId="288" state="hidden" r:id="rId14"/>
    <sheet name="ModelRiskDSN" sheetId="294" state="hidden" r:id="rId15"/>
  </sheets>
  <definedNames>
    <definedName name="_xlnm._FilterDatabase" localSheetId="5" hidden="1">Category!$B$4:$F$760</definedName>
    <definedName name="_xlnm._FilterDatabase" localSheetId="6" hidden="1">RiskRegister!$B$14:$AC$115</definedName>
    <definedName name="Advertising">RBS!$FE$179:$FE$186</definedName>
    <definedName name="ARGO__CELLRETURNVALUE">0</definedName>
    <definedName name="ARGO__DISTCOLORKEY">"'128,128,255"</definedName>
    <definedName name="ARGO__INTERPRETER">1</definedName>
    <definedName name="ARGO__LATINHYPERCUBEBINS">10000</definedName>
    <definedName name="ARGO__LOCKRNGSEED">FALSE</definedName>
    <definedName name="ARGO__RESULTCOLORKEY">"'89,217,210"</definedName>
    <definedName name="ARGO__RNGSEED">1</definedName>
    <definedName name="ARGO__SAMPLINGMETHOD">0</definedName>
    <definedName name="ARGO__SIMTRIALS">10000</definedName>
    <definedName name="Attitude.Beliefs">RBS!$EJ$179:$EJ$211</definedName>
    <definedName name="Biohazard.Pandemic">RBS!$FS$179:$FS$186</definedName>
    <definedName name="Biological.Infectious.Diseases">RBS!$CR$179:$CR$186</definedName>
    <definedName name="Bureaucracy.Issues">RBS!$DY$179:$DY$186</definedName>
    <definedName name="Business.Continuity">RBS!$DE$179:$DE$184</definedName>
    <definedName name="Business.Interruption">RBS!$BL$179:$BL$189</definedName>
    <definedName name="CellColor">"     =IF(GET.CELL(38,Sheet1!A1)=10,""GO"",IF(GET.CELL(38,Sheet1!A1)=3,""Stop"",""Neither""))"</definedName>
    <definedName name="Change.Management">RBS!$CX$179:$CX$184</definedName>
    <definedName name="Chemicals.Substance.Hazard">RBS!$CP$179:$CP$186</definedName>
    <definedName name="CM">#REF!</definedName>
    <definedName name="Communication">RBS!$DQ$179:$DQ$189</definedName>
    <definedName name="Company.Culture">RBS!$CW$179:$CW$185</definedName>
    <definedName name="Compliance">RBS!$BV$179:$BV$186</definedName>
    <definedName name="Confidence_Level">'Risk-Based Cost Estimate'!$R$7:$R$106</definedName>
    <definedName name="Consumer">RBS!$FD$179:$FD$188</definedName>
    <definedName name="Contamination">RBS!$FQ$179:$FQ$187</definedName>
    <definedName name="Contingency.Provisioning">RBS!$DK$179:$DK$185</definedName>
    <definedName name="Contract.Management">RBS!$CG$179:$CG$193</definedName>
    <definedName name="Contract.Package">#REF!</definedName>
    <definedName name="Coordination.Communication">RBS!$DA$179:$DA$183</definedName>
    <definedName name="Corruption.Levels">RBS!$DX$179:$DX$189</definedName>
    <definedName name="Cost.Estimate">RBS!$CN$179:$CN$216</definedName>
    <definedName name="Cost.Living">RBS!$EF$179:$EF$181</definedName>
    <definedName name="Cross_Cultural.Communication">RBS!$EP$179:$EP$184</definedName>
    <definedName name="Cyclical.Weather">RBS!$FK$179:$FK$187</definedName>
    <definedName name="Demographics">RBS!$EM$179:$EM$188</definedName>
    <definedName name="Design">RBS!$CK$179:$CK$204</definedName>
    <definedName name="Disposal.Materials">RBS!$FN$179:$FN$185</definedName>
    <definedName name="Disposals">RBS!$CI$179:$CI$183</definedName>
    <definedName name="Ecological.Consequences">RBS!$FO$179:$FO$203</definedName>
    <definedName name="Economic">RBS!$BC$45:$BC$52</definedName>
    <definedName name="Education">RBS!$EL$179:$EL$182</definedName>
    <definedName name="Eliminate.Bottlenecks">RBS!$EU$179:$EU$182</definedName>
    <definedName name="Employment">RBS!$FC$179:$FC$183</definedName>
    <definedName name="Employment.Operational.Laws">RBS!$DT$179:$DT$198</definedName>
    <definedName name="Energy.Availability.Cost">RBS!$FL$179:$FL$183</definedName>
    <definedName name="Engineering">RBS!$AW$45:$AW$50</definedName>
    <definedName name="Environmental">RBS!$BG$45:$BG$54</definedName>
    <definedName name="Environmental.Hazards">RBS!$CU$179:$CU$187</definedName>
    <definedName name="EPPM.Tracking">#REF!</definedName>
    <definedName name="Equipment.Failure">RBS!$BN$179:$BN$189</definedName>
    <definedName name="Equipment.Quality.Issues">RBS!$DN$179:$DN$185</definedName>
    <definedName name="Ethics.Religion">RBS!$EN$179:$EN$186</definedName>
    <definedName name="Evaluating.Offers">RBS!$CD$179:$CD$186</definedName>
    <definedName name="Exchange.Rates">RBS!$EE$179:$EE$183</definedName>
    <definedName name="Executive">RBS!$AS$45:$AS$47</definedName>
    <definedName name="Executive.Stakeholder.Conflicts">RBS!$BJ$179:$BJ$185</definedName>
    <definedName name="Executive.Turnover">RBS!$BK$179:$BK$184</definedName>
    <definedName name="External">RBS!$AQ$45:$AQ$50</definedName>
    <definedName name="Feasibility.Studies.Options">RBS!$DJ$179:$DJ$188</definedName>
    <definedName name="Finance.Credit">RBS!$EC$179:$EC$184</definedName>
    <definedName name="Financial">RBS!$BX$179:$BX$186</definedName>
    <definedName name="Flammable.Substances">RBS!$CQ$179:$CQ$193</definedName>
    <definedName name="Gate.0_Needs.Confirmation.RR.ABP">Data!$AV$12:$AV$34</definedName>
    <definedName name="Gate.1_Business.Case">Data!$AW$12:$AW$30</definedName>
    <definedName name="Gate.2_Delivery.Strategy.Tender.Preparation">Data!$AX$12:$AX$37</definedName>
    <definedName name="Gate.3_Investment.Decision.Procurement">Data!$AY$12:$AY$25</definedName>
    <definedName name="Gate.4_Readiness.For.Service.Construction">Data!$AZ$12:$AZ$116</definedName>
    <definedName name="Gate.5_Benefits.Realization.Operation">Data!$BA$12:$BA$21</definedName>
    <definedName name="Gate0_Needs.Confirmation.RR.ABP">Data!$BC$12:$BC$25</definedName>
    <definedName name="Gate1_Business.Case">Data!$BD$12:$BD$25</definedName>
    <definedName name="Gate2_Delivery.Strategy.Tender.Preparation">Data!$BE$12:$BE$25</definedName>
    <definedName name="Gate3_Investment.Decision.Procurement">Data!$BF$12:$BF$25</definedName>
    <definedName name="Gate4_Readiness.For.Service.Construction">Data!$BG$12:$BG$25</definedName>
    <definedName name="Gate5_Benefits.Realization.Operation">Data!$BH$12:$BH$20</definedName>
    <definedName name="GDP.GNP">RBS!$EG$179:$EG$182</definedName>
    <definedName name="Geographic.Location">RBS!$FR$179:$FR$206</definedName>
    <definedName name="Globalization">RBS!$EH$179:$EH$185</definedName>
    <definedName name="Government.Activity.Legislation">RBS!$FA$179:$FA$186</definedName>
    <definedName name="Government.Leadership">RBS!$DU$179:$DU$188</definedName>
    <definedName name="Government.Stability">RBS!$DS$179:$DS$189</definedName>
    <definedName name="Health.Safety">RBS!$BO$179:$BO$191</definedName>
    <definedName name="High">Data!$AF$60:$AF$100</definedName>
    <definedName name="Historical.Issues">RBS!$EO$179:$EO$185</definedName>
    <definedName name="Human.Factor">RBS!$BM$179:$BM$187</definedName>
    <definedName name="Human.Resource">RBS!$AU$45:$AU$48</definedName>
    <definedName name="Impact">Data!$J$16:$J$20</definedName>
    <definedName name="Impact.Areas">Data!$R$46:$R$47</definedName>
    <definedName name="Import.Export">RBS!$FF$179:$FF$188</definedName>
    <definedName name="Inflation">RBS!$EA$179:$EA$185</definedName>
    <definedName name="Infrastructure">RBS!$FJ$179:$FJ$184</definedName>
    <definedName name="Initial.Scope.Budget.Time">RBS!$DH$179:$DH$186</definedName>
    <definedName name="Initial.Systems.Design">RBS!$DG$179:$DG$192</definedName>
    <definedName name="Insufficient.Process">RBS!$BR$179:$BR$187</definedName>
    <definedName name="Intellectual.Property">RBS!$EY$179:$EY$182</definedName>
    <definedName name="Internal">RBS!$AP$45:$AP$53</definedName>
    <definedName name="Inviting.Clarifying.Closing.Offers">RBS!$CC$179:$CC$188</definedName>
    <definedName name="Joint.Ventures">RBS!$CY$179:$CY$183</definedName>
    <definedName name="Knowledge.Management.System">RBS!$ET$179:$ET$186</definedName>
    <definedName name="Leadership.Issues">RBS!$DB$179:$DB$184</definedName>
    <definedName name="Legal">RBS!$BF$45:$BF$52</definedName>
    <definedName name="Legislation">RBS!$FP$179:$FP$183</definedName>
    <definedName name="Lifestyle">RBS!$EI$179:$EI$184</definedName>
    <definedName name="Low">Data!$AD$60:$AD$75</definedName>
    <definedName name="Manual.Tasks.Hazards">RBS!$CT$179:$CT$183</definedName>
    <definedName name="Medium">Data!$AE$60:$AE$85</definedName>
    <definedName name="Mission.Vision">RBS!$CZ$179:$CZ$185</definedName>
    <definedName name="Needs.Analysis.Planning">RBS!$BY$179:$BY$187</definedName>
    <definedName name="Negotiations">RBS!$CF$179:$CF$190</definedName>
    <definedName name="Network.Coverage">RBS!$EV$179:$EV$184</definedName>
    <definedName name="Occupational.Health.Safety">RBS!$FG$179:$FG$184</definedName>
    <definedName name="Operation">RBS!$AT$45:$AT$53</definedName>
    <definedName name="Operational">RBS!$BW$179:$BW$187</definedName>
    <definedName name="Opportunities">Data!$R$69:$R$72</definedName>
    <definedName name="Organization">RBS!$AY$45:$AY$47</definedName>
    <definedName name="Outsourcing">RBS!$BQ$179:$BQ$187</definedName>
    <definedName name="OverallStatus">Data!$M$16:$M$18</definedName>
    <definedName name="Patents.Licenses">RBS!$EZ$179:$EZ$185</definedName>
    <definedName name="PC">#REF!</definedName>
    <definedName name="Physical.Hazards">RBS!$CS$179:$CS$211</definedName>
    <definedName name="PM">#REF!</definedName>
    <definedName name="PMO.Tracking">#REF!</definedName>
    <definedName name="Political">RBS!$BB$45:$BB$52</definedName>
    <definedName name="PQM">RBS!$BA$45:$BA$51</definedName>
    <definedName name="_xlnm.Print_Area" localSheetId="7">Assumption!$B$2:$S$9</definedName>
    <definedName name="_xlnm.Print_Area" localSheetId="1">PRR!$C$2:$R$70</definedName>
    <definedName name="_xlnm.Print_Area" localSheetId="4">RBS!$C$5:$AG$42</definedName>
    <definedName name="_xlnm.Print_Area" localSheetId="8">'Risk-Based Cost Estimate'!$C$2:$N$208</definedName>
    <definedName name="_xlnm.Print_Area" localSheetId="6">RiskRegister!$B$2:$AG$46</definedName>
    <definedName name="_xlnm.Print_Titles" localSheetId="7">Assumption!$2:$3</definedName>
    <definedName name="_xlnm.Print_Titles" localSheetId="8">'Risk-Based Cost Estimate'!$2:$7</definedName>
    <definedName name="_xlnm.Print_Titles" localSheetId="6">RiskRegister!$2:$14</definedName>
    <definedName name="Probability">Data!$H$16:$H$20</definedName>
    <definedName name="Process.Failure">RBS!$BS$179:$BS$187</definedName>
    <definedName name="Process.Quality.Issues">RBS!$DO$179:$DO$186</definedName>
    <definedName name="Procurement">RBS!$AV$45:$AV$55</definedName>
    <definedName name="Procurement.Process.Evaluation">RBS!$CH$179:$CH$183</definedName>
    <definedName name="Production.Efficiency">RBS!$EW$179:$EW$182</definedName>
    <definedName name="Program.Services.Collaboration">RBS!$DD$179:$DD$183</definedName>
    <definedName name="Project.Acceptance">RBS!$DM$179:$DM$192</definedName>
    <definedName name="Project.Change.Management">RBS!$DP$179:$DP$187</definedName>
    <definedName name="Project.Concept.Strategy">RBS!$DF$179:$DF$204</definedName>
    <definedName name="Project.Execution.Issues">RBS!$DR$179:$DR$229</definedName>
    <definedName name="Project.Gates">Data!$BC$32:$BC$37</definedName>
    <definedName name="Project.Gates.WBS">Data!$BC$42:$BC$47</definedName>
    <definedName name="Project.Headlines">Data!$R$88:$R$91</definedName>
    <definedName name="Project.Phase">Data!$O$46:$O$51</definedName>
    <definedName name="Project.Pre_Charter.Review">RBS!$DI$179:$DI$183</definedName>
    <definedName name="Project.Support">RBS!$BI$179:$BI$185</definedName>
    <definedName name="Project.Timeline">RBS!$CO$179:$CO$188</definedName>
    <definedName name="Project.Type">Data!$P$88:$P$95</definedName>
    <definedName name="PS.Code">#REF!</definedName>
    <definedName name="Psychosocial.Hazards">RBS!$CV$179:$CV$186</definedName>
    <definedName name="Purchasing.Documentation">RBS!$CB$179:$CB$188</definedName>
    <definedName name="Purchasing.Method">RBS!$CA$179:$CA$185</definedName>
    <definedName name="Quality.Pricing">RBS!$EX$179:$EX$186</definedName>
    <definedName name="Quality.Systems">RBS!$CM$179:$CM$186</definedName>
    <definedName name="Rate.of.Change">RBS!$EQ$179:$EQ$189</definedName>
    <definedName name="RBS.1">RBS!$AO$45:$AO$46</definedName>
    <definedName name="RBS.2.External">RBS!$AQ$45:$AQ$50</definedName>
    <definedName name="RBS.2.Internal">RBS!$AP$45:$AP$53</definedName>
    <definedName name="RBS.Matrix">RBS!$AI$45:$AM$159</definedName>
    <definedName name="Regulatory.Bodies">RBS!$FI$179:$FI$194</definedName>
    <definedName name="Research.Development">RBS!$ES$179:$ES$186</definedName>
    <definedName name="Resource.Optimization">RBS!$DC$179:$DC$184</definedName>
    <definedName name="Risk.Matrix">Data!$P$59:$U$64</definedName>
    <definedName name="Risk.Names">RBS!$BJ$231:$BJ$345</definedName>
    <definedName name="Risk.Priority.Level">RBS!$AP$58:$AP$60</definedName>
    <definedName name="RiskIndex">Data!$L$16:$L$18</definedName>
    <definedName name="RiskStrategy">Data!$Z$16:$Z$20</definedName>
    <definedName name="SAM.EPPM">#REF!</definedName>
    <definedName name="SAM.EPPM.Ref">#REF!</definedName>
    <definedName name="Scope">RBS!$CJ$179:$CJ$191</definedName>
    <definedName name="Scope.Cost.Time">RBS!$DL$179:$DL$188</definedName>
    <definedName name="Selection.Successful.Tenderer">RBS!$CE$179:$CE$186</definedName>
    <definedName name="Social">RBS!$BD$45:$BD$52</definedName>
    <definedName name="Social.Implications">RBS!$FM$179:$FM$183</definedName>
    <definedName name="Social.Mobility">RBS!$EK$179:$EK$180</definedName>
    <definedName name="Specifications">RBS!$BZ$179:$BZ$186</definedName>
    <definedName name="Stability.Neighbors">RBS!$DZ$179:$DZ$186</definedName>
    <definedName name="Strategic">RBS!$BU$179:$BU$188</definedName>
    <definedName name="Strategy">RBS!$AZ$45:$AZ$50</definedName>
    <definedName name="System.Failure">RBS!$BP$179:$BP$188</definedName>
    <definedName name="System.Quality">RBS!$BT$179:$BT$185</definedName>
    <definedName name="Tax.Regulations">RBS!$DW$179:$DW$194</definedName>
    <definedName name="Taxation">RBS!$FB$179:$FB$183</definedName>
    <definedName name="Taxes.Duties">RBS!$EB$179:$EB$186</definedName>
    <definedName name="Technology">RBS!$BE$45:$BE$55</definedName>
    <definedName name="Technology.Adoption">RBS!$CL$179:$CL$199</definedName>
    <definedName name="Threats">Data!$Q$69:$Q$72</definedName>
    <definedName name="Trade.Restrictions.Reform">RBS!$DV$179:$DV$186</definedName>
    <definedName name="Use.of.Outsourcing">RBS!$ER$179:$ER$185</definedName>
    <definedName name="Very_High">Data!$AG$60:$AG$70</definedName>
    <definedName name="Very_Low">Data!$AC$60:$AC$69</definedName>
    <definedName name="Work.Health.Safety">RBS!$AX$45:$AX$51</definedName>
    <definedName name="Working.Practices">RBS!$ED$179:$ED$184</definedName>
    <definedName name="Workplace.Compliance">RBS!$FH$179:$FH$185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3" i="262" l="1"/>
  <c r="F77" i="262"/>
  <c r="F74" i="262"/>
  <c r="F71" i="262"/>
  <c r="F68" i="262"/>
  <c r="C68" i="262"/>
  <c r="AD46" i="258"/>
  <c r="AC46" i="258"/>
  <c r="AB46" i="258"/>
  <c r="Z46" i="258"/>
  <c r="Y46" i="258"/>
  <c r="AD45" i="258"/>
  <c r="AC45" i="258"/>
  <c r="AB45" i="258"/>
  <c r="Z45" i="258"/>
  <c r="Y45" i="258"/>
  <c r="AD44" i="258"/>
  <c r="AC44" i="258"/>
  <c r="AB44" i="258"/>
  <c r="Z44" i="258"/>
  <c r="Y44" i="258"/>
  <c r="AD43" i="258"/>
  <c r="AC43" i="258"/>
  <c r="AB43" i="258"/>
  <c r="Z43" i="258"/>
  <c r="Y43" i="258"/>
  <c r="AD42" i="258"/>
  <c r="AC42" i="258"/>
  <c r="AB42" i="258"/>
  <c r="Z42" i="258"/>
  <c r="Y42" i="258"/>
  <c r="S46" i="258"/>
  <c r="S45" i="258"/>
  <c r="S44" i="258"/>
  <c r="S43" i="258"/>
  <c r="S42" i="258"/>
  <c r="AD41" i="258"/>
  <c r="AC41" i="258"/>
  <c r="AB41" i="258"/>
  <c r="Z41" i="258"/>
  <c r="Y41" i="258"/>
  <c r="AB40" i="258"/>
  <c r="Z40" i="258"/>
  <c r="AC40" i="258" s="1"/>
  <c r="Y40" i="258"/>
  <c r="AD39" i="258"/>
  <c r="AC39" i="258"/>
  <c r="AB39" i="258"/>
  <c r="Z39" i="258"/>
  <c r="Y39" i="258"/>
  <c r="S41" i="258"/>
  <c r="S40" i="258"/>
  <c r="U39" i="258"/>
  <c r="T39" i="258"/>
  <c r="S39" i="258"/>
  <c r="L40" i="258"/>
  <c r="K39" i="258"/>
  <c r="Y38" i="258"/>
  <c r="AD38" i="258"/>
  <c r="AB38" i="258"/>
  <c r="S38" i="258"/>
  <c r="AD37" i="258"/>
  <c r="AC37" i="258"/>
  <c r="AB37" i="258"/>
  <c r="Z37" i="258"/>
  <c r="Y37" i="258"/>
  <c r="AD36" i="258"/>
  <c r="AC36" i="258"/>
  <c r="AB36" i="258"/>
  <c r="Z36" i="258"/>
  <c r="Y36" i="258"/>
  <c r="S37" i="258"/>
  <c r="S36" i="258"/>
  <c r="AD35" i="258"/>
  <c r="AC35" i="258"/>
  <c r="AB35" i="258"/>
  <c r="Z35" i="258"/>
  <c r="Y35" i="258"/>
  <c r="AD34" i="258"/>
  <c r="AC34" i="258"/>
  <c r="AB34" i="258"/>
  <c r="Z34" i="258"/>
  <c r="Y34" i="258"/>
  <c r="U35" i="258"/>
  <c r="T35" i="258"/>
  <c r="S35" i="258"/>
  <c r="U34" i="258"/>
  <c r="T34" i="258"/>
  <c r="S34" i="258"/>
  <c r="K35" i="258"/>
  <c r="AB33" i="258"/>
  <c r="Z33" i="258"/>
  <c r="Y33" i="258"/>
  <c r="AB32" i="258"/>
  <c r="Z32" i="258"/>
  <c r="Y32" i="258"/>
  <c r="S33" i="258"/>
  <c r="S32" i="258"/>
  <c r="I5" i="292"/>
  <c r="H5" i="292"/>
  <c r="F5" i="292"/>
  <c r="AD17" i="258"/>
  <c r="AD18" i="258"/>
  <c r="AD19" i="258"/>
  <c r="AD20" i="258"/>
  <c r="AD21" i="258"/>
  <c r="AD22" i="258"/>
  <c r="AD23" i="258"/>
  <c r="AD24" i="258"/>
  <c r="AD25" i="258"/>
  <c r="AD26" i="258"/>
  <c r="AD27" i="258"/>
  <c r="AD28" i="258"/>
  <c r="AD29" i="258"/>
  <c r="AD30" i="258"/>
  <c r="AD31" i="258"/>
  <c r="AC17" i="258"/>
  <c r="AC18" i="258"/>
  <c r="AC19" i="258"/>
  <c r="AC20" i="258"/>
  <c r="AC21" i="258"/>
  <c r="AC22" i="258"/>
  <c r="AC23" i="258"/>
  <c r="AC24" i="258"/>
  <c r="AC25" i="258"/>
  <c r="AC26" i="258"/>
  <c r="AC27" i="258"/>
  <c r="AC28" i="258"/>
  <c r="AC29" i="258"/>
  <c r="AC30" i="258"/>
  <c r="AC31" i="258"/>
  <c r="AB23" i="258"/>
  <c r="AB24" i="258"/>
  <c r="AB25" i="258"/>
  <c r="AB26" i="258"/>
  <c r="AB27" i="258"/>
  <c r="AB28" i="258"/>
  <c r="AB29" i="258"/>
  <c r="AB30" i="258"/>
  <c r="AB31" i="258"/>
  <c r="AB21" i="258"/>
  <c r="AB22" i="258"/>
  <c r="AB17" i="258"/>
  <c r="AB18" i="258"/>
  <c r="AB19" i="258"/>
  <c r="Z30" i="258"/>
  <c r="Z31" i="258"/>
  <c r="Z27" i="258"/>
  <c r="Z28" i="258"/>
  <c r="Z29" i="258"/>
  <c r="Z23" i="258"/>
  <c r="Z24" i="258"/>
  <c r="Z25" i="258"/>
  <c r="Z26" i="258"/>
  <c r="Z21" i="258"/>
  <c r="Z22" i="258"/>
  <c r="Z17" i="258"/>
  <c r="Z18" i="258"/>
  <c r="Z19" i="258"/>
  <c r="Z20" i="258"/>
  <c r="Y30" i="258"/>
  <c r="Y31" i="258"/>
  <c r="Y23" i="258"/>
  <c r="Y24" i="258"/>
  <c r="Y25" i="258"/>
  <c r="Y26" i="258"/>
  <c r="Y27" i="258"/>
  <c r="Y28" i="258"/>
  <c r="Y29" i="258"/>
  <c r="Y21" i="258"/>
  <c r="Y22" i="258"/>
  <c r="Y17" i="258"/>
  <c r="Y18" i="258"/>
  <c r="Y19" i="258"/>
  <c r="S30" i="258"/>
  <c r="S31" i="258"/>
  <c r="S23" i="258"/>
  <c r="S24" i="258"/>
  <c r="S25" i="258"/>
  <c r="S26" i="258"/>
  <c r="S27" i="258"/>
  <c r="S28" i="258"/>
  <c r="S29" i="258"/>
  <c r="S22" i="258"/>
  <c r="S17" i="258"/>
  <c r="S18" i="258"/>
  <c r="L39" i="258"/>
  <c r="L35" i="258"/>
  <c r="F59" i="262"/>
  <c r="F56" i="262"/>
  <c r="F53" i="262"/>
  <c r="F50" i="262"/>
  <c r="F47" i="262"/>
  <c r="F44" i="262"/>
  <c r="F41" i="262"/>
  <c r="F35" i="262"/>
  <c r="H29" i="262"/>
  <c r="S21" i="258" s="1"/>
  <c r="F29" i="262"/>
  <c r="N26" i="262"/>
  <c r="AB20" i="258" s="1"/>
  <c r="H26" i="262"/>
  <c r="S20" i="258" s="1"/>
  <c r="F26" i="262"/>
  <c r="C26" i="262"/>
  <c r="K20" i="258" s="1"/>
  <c r="H23" i="262"/>
  <c r="S19" i="258" s="1"/>
  <c r="F23" i="262"/>
  <c r="F20" i="262"/>
  <c r="F17" i="262"/>
  <c r="U29" i="258"/>
  <c r="T29" i="258"/>
  <c r="U28" i="258"/>
  <c r="T28" i="258"/>
  <c r="U27" i="258"/>
  <c r="T27" i="258"/>
  <c r="K29" i="258"/>
  <c r="K28" i="258"/>
  <c r="K27" i="258"/>
  <c r="U26" i="258"/>
  <c r="T26" i="258"/>
  <c r="U25" i="258"/>
  <c r="T25" i="258"/>
  <c r="U24" i="258"/>
  <c r="T24" i="258"/>
  <c r="U23" i="258"/>
  <c r="T23" i="258"/>
  <c r="K26" i="258"/>
  <c r="K25" i="258"/>
  <c r="K24" i="258"/>
  <c r="K23" i="258"/>
  <c r="U21" i="258"/>
  <c r="T21" i="258"/>
  <c r="U20" i="258"/>
  <c r="T20" i="258"/>
  <c r="U19" i="258"/>
  <c r="T19" i="258"/>
  <c r="U18" i="258"/>
  <c r="T18" i="258"/>
  <c r="U17" i="258"/>
  <c r="T17" i="258"/>
  <c r="K21" i="258"/>
  <c r="K19" i="258"/>
  <c r="K18" i="258"/>
  <c r="K17" i="258"/>
  <c r="T16" i="258"/>
  <c r="AD16" i="258"/>
  <c r="AC16" i="258"/>
  <c r="Z16" i="258"/>
  <c r="U16" i="258"/>
  <c r="S16" i="258"/>
  <c r="L16" i="258"/>
  <c r="F38" i="262"/>
  <c r="L24" i="258" s="1"/>
  <c r="E16" i="262"/>
  <c r="C14" i="262" s="1"/>
  <c r="K16" i="258" s="1"/>
  <c r="L2" i="262"/>
  <c r="K34" i="258" l="1"/>
  <c r="L34" i="258"/>
  <c r="L23" i="258"/>
  <c r="Y20" i="258"/>
  <c r="L29" i="258"/>
  <c r="L28" i="258"/>
  <c r="L27" i="258"/>
  <c r="L21" i="258"/>
  <c r="L25" i="258"/>
  <c r="L26" i="258"/>
  <c r="L18" i="258"/>
  <c r="L17" i="258"/>
  <c r="L20" i="258"/>
  <c r="L19" i="258"/>
  <c r="P14" i="262"/>
  <c r="N14" i="262" l="1"/>
  <c r="X17" i="258"/>
  <c r="X18" i="258"/>
  <c r="X19" i="258"/>
  <c r="X20" i="258"/>
  <c r="X21" i="258"/>
  <c r="X22" i="258"/>
  <c r="X23" i="258"/>
  <c r="X24" i="258"/>
  <c r="X25" i="258"/>
  <c r="X26" i="258"/>
  <c r="X27" i="258"/>
  <c r="X28" i="258"/>
  <c r="X29" i="258"/>
  <c r="X30" i="258"/>
  <c r="X31" i="258"/>
  <c r="X32" i="258"/>
  <c r="X33" i="258"/>
  <c r="X34" i="258"/>
  <c r="X35" i="258"/>
  <c r="X36" i="258"/>
  <c r="X37" i="258"/>
  <c r="X38" i="258"/>
  <c r="X39" i="258"/>
  <c r="X40" i="258"/>
  <c r="X41" i="258"/>
  <c r="X42" i="258"/>
  <c r="X43" i="258"/>
  <c r="X44" i="258"/>
  <c r="X45" i="258"/>
  <c r="X46" i="258"/>
  <c r="X47" i="258"/>
  <c r="X48" i="258"/>
  <c r="X49" i="258"/>
  <c r="X50" i="258"/>
  <c r="X51" i="258"/>
  <c r="X52" i="258"/>
  <c r="X53" i="258"/>
  <c r="X54" i="258"/>
  <c r="X55" i="258"/>
  <c r="X56" i="258"/>
  <c r="X57" i="258"/>
  <c r="X58" i="258"/>
  <c r="X59" i="258"/>
  <c r="X60" i="258"/>
  <c r="X61" i="258"/>
  <c r="X62" i="258"/>
  <c r="X63" i="258"/>
  <c r="X64" i="258"/>
  <c r="X65" i="258"/>
  <c r="X66" i="258"/>
  <c r="X67" i="258"/>
  <c r="X68" i="258"/>
  <c r="X69" i="258"/>
  <c r="X70" i="258"/>
  <c r="X71" i="258"/>
  <c r="X72" i="258"/>
  <c r="X73" i="258"/>
  <c r="X74" i="258"/>
  <c r="X75" i="258"/>
  <c r="X76" i="258"/>
  <c r="X77" i="258"/>
  <c r="X78" i="258"/>
  <c r="X79" i="258"/>
  <c r="X80" i="258"/>
  <c r="X81" i="258"/>
  <c r="X82" i="258"/>
  <c r="X83" i="258"/>
  <c r="X84" i="258"/>
  <c r="X85" i="258"/>
  <c r="X86" i="258"/>
  <c r="X87" i="258"/>
  <c r="X88" i="258"/>
  <c r="X89" i="258"/>
  <c r="X90" i="258"/>
  <c r="X91" i="258"/>
  <c r="X92" i="258"/>
  <c r="X93" i="258"/>
  <c r="X94" i="258"/>
  <c r="X95" i="258"/>
  <c r="X96" i="258"/>
  <c r="X97" i="258"/>
  <c r="X98" i="258"/>
  <c r="X99" i="258"/>
  <c r="X100" i="258"/>
  <c r="X101" i="258"/>
  <c r="X102" i="258"/>
  <c r="X103" i="258"/>
  <c r="X104" i="258"/>
  <c r="X105" i="258"/>
  <c r="X106" i="258"/>
  <c r="X107" i="258"/>
  <c r="X108" i="258"/>
  <c r="X109" i="258"/>
  <c r="X110" i="258"/>
  <c r="X111" i="258"/>
  <c r="X112" i="258"/>
  <c r="X113" i="258"/>
  <c r="X114" i="258"/>
  <c r="X115" i="258"/>
  <c r="X116" i="258"/>
  <c r="X117" i="258"/>
  <c r="X118" i="258"/>
  <c r="X119" i="258"/>
  <c r="X120" i="258"/>
  <c r="X121" i="258"/>
  <c r="X122" i="258"/>
  <c r="X123" i="258"/>
  <c r="X124" i="258"/>
  <c r="X125" i="258"/>
  <c r="X126" i="258"/>
  <c r="X127" i="258"/>
  <c r="X128" i="258"/>
  <c r="X129" i="258"/>
  <c r="X130" i="258"/>
  <c r="X131" i="258"/>
  <c r="X132" i="258"/>
  <c r="X133" i="258"/>
  <c r="X134" i="258"/>
  <c r="X135" i="258"/>
  <c r="X136" i="258"/>
  <c r="X137" i="258"/>
  <c r="X138" i="258"/>
  <c r="X139" i="258"/>
  <c r="X140" i="258"/>
  <c r="X141" i="258"/>
  <c r="X142" i="258"/>
  <c r="X143" i="258"/>
  <c r="X144" i="258"/>
  <c r="X145" i="258"/>
  <c r="X146" i="258"/>
  <c r="X147" i="258"/>
  <c r="X148" i="258"/>
  <c r="X149" i="258"/>
  <c r="X150" i="258"/>
  <c r="X151" i="258"/>
  <c r="X152" i="258"/>
  <c r="X153" i="258"/>
  <c r="X154" i="258"/>
  <c r="X155" i="258"/>
  <c r="X156" i="258"/>
  <c r="X157" i="258"/>
  <c r="X158" i="258"/>
  <c r="X159" i="258"/>
  <c r="X160" i="258"/>
  <c r="X161" i="258"/>
  <c r="X162" i="258"/>
  <c r="X163" i="258"/>
  <c r="X164" i="258"/>
  <c r="X165" i="258"/>
  <c r="X166" i="258"/>
  <c r="X167" i="258"/>
  <c r="X168" i="258"/>
  <c r="X169" i="258"/>
  <c r="X170" i="258"/>
  <c r="X171" i="258"/>
  <c r="X172" i="258"/>
  <c r="X173" i="258"/>
  <c r="X174" i="258"/>
  <c r="X175" i="258"/>
  <c r="X176" i="258"/>
  <c r="X177" i="258"/>
  <c r="X178" i="258"/>
  <c r="X179" i="258"/>
  <c r="X180" i="258"/>
  <c r="X181" i="258"/>
  <c r="X182" i="258"/>
  <c r="X183" i="258"/>
  <c r="X184" i="258"/>
  <c r="X185" i="258"/>
  <c r="X186" i="258"/>
  <c r="X187" i="258"/>
  <c r="X188" i="258"/>
  <c r="X189" i="258"/>
  <c r="X190" i="258"/>
  <c r="X191" i="258"/>
  <c r="X192" i="258"/>
  <c r="X193" i="258"/>
  <c r="X194" i="258"/>
  <c r="X195" i="258"/>
  <c r="X196" i="258"/>
  <c r="X197" i="258"/>
  <c r="X198" i="258"/>
  <c r="X199" i="258"/>
  <c r="X200" i="258"/>
  <c r="X201" i="258"/>
  <c r="X202" i="258"/>
  <c r="X203" i="258"/>
  <c r="X204" i="258"/>
  <c r="X205" i="258"/>
  <c r="X206" i="258"/>
  <c r="X207" i="258"/>
  <c r="X208" i="258"/>
  <c r="X209" i="258"/>
  <c r="X210" i="258"/>
  <c r="X211" i="258"/>
  <c r="X212" i="258"/>
  <c r="X213" i="258"/>
  <c r="X214" i="258"/>
  <c r="X215" i="258"/>
  <c r="X16" i="258"/>
  <c r="N6" i="289"/>
  <c r="N7" i="289" s="1"/>
  <c r="H6" i="289"/>
  <c r="H7" i="289" s="1"/>
  <c r="K9" i="289"/>
  <c r="J9" i="289" s="1"/>
  <c r="K10" i="289"/>
  <c r="J10" i="289" s="1"/>
  <c r="K11" i="289"/>
  <c r="J11" i="289" s="1"/>
  <c r="K12" i="289"/>
  <c r="J12" i="289" s="1"/>
  <c r="K13" i="289"/>
  <c r="J13" i="289" s="1"/>
  <c r="K14" i="289"/>
  <c r="J14" i="289" s="1"/>
  <c r="K15" i="289"/>
  <c r="J15" i="289" s="1"/>
  <c r="K16" i="289"/>
  <c r="J16" i="289" s="1"/>
  <c r="K17" i="289"/>
  <c r="J17" i="289" s="1"/>
  <c r="K18" i="289"/>
  <c r="J18" i="289" s="1"/>
  <c r="K19" i="289"/>
  <c r="J19" i="289" s="1"/>
  <c r="K20" i="289"/>
  <c r="J20" i="289" s="1"/>
  <c r="K21" i="289"/>
  <c r="J21" i="289" s="1"/>
  <c r="K22" i="289"/>
  <c r="J22" i="289" s="1"/>
  <c r="K23" i="289"/>
  <c r="J23" i="289" s="1"/>
  <c r="K24" i="289"/>
  <c r="J24" i="289" s="1"/>
  <c r="K25" i="289"/>
  <c r="J25" i="289" s="1"/>
  <c r="K26" i="289"/>
  <c r="J26" i="289" s="1"/>
  <c r="K28" i="289"/>
  <c r="J28" i="289" s="1"/>
  <c r="K29" i="289"/>
  <c r="J29" i="289" s="1"/>
  <c r="K30" i="289"/>
  <c r="J30" i="289" s="1"/>
  <c r="K31" i="289"/>
  <c r="J31" i="289" s="1"/>
  <c r="K32" i="289"/>
  <c r="J32" i="289" s="1"/>
  <c r="K33" i="289"/>
  <c r="J33" i="289" s="1"/>
  <c r="K34" i="289"/>
  <c r="J34" i="289" s="1"/>
  <c r="K35" i="289"/>
  <c r="J35" i="289" s="1"/>
  <c r="K39" i="289"/>
  <c r="J39" i="289" s="1"/>
  <c r="K40" i="289"/>
  <c r="J40" i="289" s="1"/>
  <c r="K41" i="289"/>
  <c r="K42" i="289"/>
  <c r="J42" i="289" s="1"/>
  <c r="K43" i="289"/>
  <c r="J43" i="289" s="1"/>
  <c r="K44" i="289"/>
  <c r="J44" i="289" s="1"/>
  <c r="K46" i="289"/>
  <c r="J46" i="289" s="1"/>
  <c r="K47" i="289"/>
  <c r="J47" i="289" s="1"/>
  <c r="K48" i="289"/>
  <c r="J48" i="289" s="1"/>
  <c r="K49" i="289"/>
  <c r="J49" i="289" s="1"/>
  <c r="K50" i="289"/>
  <c r="J50" i="289" s="1"/>
  <c r="K51" i="289"/>
  <c r="J51" i="289" s="1"/>
  <c r="K52" i="289"/>
  <c r="J52" i="289" s="1"/>
  <c r="K53" i="289"/>
  <c r="J53" i="289" s="1"/>
  <c r="K54" i="289"/>
  <c r="J54" i="289" s="1"/>
  <c r="K55" i="289"/>
  <c r="J55" i="289" s="1"/>
  <c r="K56" i="289"/>
  <c r="J56" i="289" s="1"/>
  <c r="K57" i="289"/>
  <c r="J57" i="289" s="1"/>
  <c r="K58" i="289"/>
  <c r="J58" i="289" s="1"/>
  <c r="K59" i="289"/>
  <c r="J59" i="289" s="1"/>
  <c r="K60" i="289"/>
  <c r="J60" i="289" s="1"/>
  <c r="K61" i="289"/>
  <c r="J61" i="289" s="1"/>
  <c r="K62" i="289"/>
  <c r="J62" i="289" s="1"/>
  <c r="K63" i="289"/>
  <c r="J63" i="289" s="1"/>
  <c r="K64" i="289"/>
  <c r="J64" i="289" s="1"/>
  <c r="K65" i="289"/>
  <c r="J65" i="289" s="1"/>
  <c r="K66" i="289"/>
  <c r="J66" i="289" s="1"/>
  <c r="K67" i="289"/>
  <c r="J67" i="289" s="1"/>
  <c r="K68" i="289"/>
  <c r="J68" i="289" s="1"/>
  <c r="K69" i="289"/>
  <c r="J69" i="289" s="1"/>
  <c r="K70" i="289"/>
  <c r="J70" i="289" s="1"/>
  <c r="K71" i="289"/>
  <c r="J71" i="289" s="1"/>
  <c r="K72" i="289"/>
  <c r="J72" i="289" s="1"/>
  <c r="K73" i="289"/>
  <c r="J73" i="289" s="1"/>
  <c r="K74" i="289"/>
  <c r="J74" i="289" s="1"/>
  <c r="K75" i="289"/>
  <c r="J75" i="289" s="1"/>
  <c r="K76" i="289"/>
  <c r="J76" i="289" s="1"/>
  <c r="K77" i="289"/>
  <c r="J77" i="289" s="1"/>
  <c r="K78" i="289"/>
  <c r="J78" i="289" s="1"/>
  <c r="K79" i="289"/>
  <c r="J79" i="289" s="1"/>
  <c r="K80" i="289"/>
  <c r="J80" i="289" s="1"/>
  <c r="K81" i="289"/>
  <c r="J81" i="289" s="1"/>
  <c r="K82" i="289"/>
  <c r="J82" i="289" s="1"/>
  <c r="K83" i="289"/>
  <c r="J83" i="289" s="1"/>
  <c r="K84" i="289"/>
  <c r="J84" i="289" s="1"/>
  <c r="K85" i="289"/>
  <c r="J85" i="289" s="1"/>
  <c r="K86" i="289"/>
  <c r="J86" i="289" s="1"/>
  <c r="K87" i="289"/>
  <c r="J87" i="289" s="1"/>
  <c r="K88" i="289"/>
  <c r="J88" i="289" s="1"/>
  <c r="K89" i="289"/>
  <c r="J89" i="289" s="1"/>
  <c r="K90" i="289"/>
  <c r="J90" i="289" s="1"/>
  <c r="K91" i="289"/>
  <c r="J91" i="289" s="1"/>
  <c r="K92" i="289"/>
  <c r="J92" i="289" s="1"/>
  <c r="K93" i="289"/>
  <c r="J93" i="289" s="1"/>
  <c r="K94" i="289"/>
  <c r="J94" i="289" s="1"/>
  <c r="K95" i="289"/>
  <c r="J95" i="289" s="1"/>
  <c r="K96" i="289"/>
  <c r="J96" i="289" s="1"/>
  <c r="K97" i="289"/>
  <c r="J97" i="289" s="1"/>
  <c r="K98" i="289"/>
  <c r="J98" i="289" s="1"/>
  <c r="K99" i="289"/>
  <c r="J99" i="289" s="1"/>
  <c r="K100" i="289"/>
  <c r="J100" i="289" s="1"/>
  <c r="K101" i="289"/>
  <c r="J101" i="289" s="1"/>
  <c r="K102" i="289"/>
  <c r="J102" i="289" s="1"/>
  <c r="K103" i="289"/>
  <c r="J103" i="289" s="1"/>
  <c r="K104" i="289"/>
  <c r="J104" i="289" s="1"/>
  <c r="K105" i="289"/>
  <c r="J105" i="289" s="1"/>
  <c r="K106" i="289"/>
  <c r="J106" i="289" s="1"/>
  <c r="K107" i="289"/>
  <c r="J107" i="289" s="1"/>
  <c r="K108" i="289"/>
  <c r="J108" i="289" s="1"/>
  <c r="K109" i="289"/>
  <c r="J109" i="289" s="1"/>
  <c r="K110" i="289"/>
  <c r="J110" i="289" s="1"/>
  <c r="K111" i="289"/>
  <c r="J111" i="289" s="1"/>
  <c r="K112" i="289"/>
  <c r="J112" i="289" s="1"/>
  <c r="K113" i="289"/>
  <c r="J113" i="289" s="1"/>
  <c r="K114" i="289"/>
  <c r="J114" i="289" s="1"/>
  <c r="K115" i="289"/>
  <c r="J115" i="289" s="1"/>
  <c r="K116" i="289"/>
  <c r="J116" i="289" s="1"/>
  <c r="K117" i="289"/>
  <c r="J117" i="289" s="1"/>
  <c r="K118" i="289"/>
  <c r="J118" i="289" s="1"/>
  <c r="K119" i="289"/>
  <c r="J119" i="289" s="1"/>
  <c r="K120" i="289"/>
  <c r="J120" i="289" s="1"/>
  <c r="K121" i="289"/>
  <c r="J121" i="289" s="1"/>
  <c r="K122" i="289"/>
  <c r="J122" i="289" s="1"/>
  <c r="K123" i="289"/>
  <c r="J123" i="289" s="1"/>
  <c r="K124" i="289"/>
  <c r="J124" i="289" s="1"/>
  <c r="K125" i="289"/>
  <c r="J125" i="289" s="1"/>
  <c r="K126" i="289"/>
  <c r="J126" i="289" s="1"/>
  <c r="K127" i="289"/>
  <c r="J127" i="289" s="1"/>
  <c r="K128" i="289"/>
  <c r="J128" i="289" s="1"/>
  <c r="K129" i="289"/>
  <c r="J129" i="289" s="1"/>
  <c r="K130" i="289"/>
  <c r="J130" i="289" s="1"/>
  <c r="K131" i="289"/>
  <c r="J131" i="289" s="1"/>
  <c r="K132" i="289"/>
  <c r="J132" i="289" s="1"/>
  <c r="K133" i="289"/>
  <c r="J133" i="289" s="1"/>
  <c r="K134" i="289"/>
  <c r="J134" i="289" s="1"/>
  <c r="K135" i="289"/>
  <c r="J135" i="289" s="1"/>
  <c r="K136" i="289"/>
  <c r="J136" i="289" s="1"/>
  <c r="K137" i="289"/>
  <c r="J137" i="289" s="1"/>
  <c r="K138" i="289"/>
  <c r="J138" i="289" s="1"/>
  <c r="K139" i="289"/>
  <c r="J139" i="289" s="1"/>
  <c r="K140" i="289"/>
  <c r="J140" i="289" s="1"/>
  <c r="K141" i="289"/>
  <c r="J141" i="289" s="1"/>
  <c r="K142" i="289"/>
  <c r="J142" i="289" s="1"/>
  <c r="K143" i="289"/>
  <c r="J143" i="289" s="1"/>
  <c r="K144" i="289"/>
  <c r="J144" i="289" s="1"/>
  <c r="K145" i="289"/>
  <c r="J145" i="289" s="1"/>
  <c r="K146" i="289"/>
  <c r="J146" i="289" s="1"/>
  <c r="K147" i="289"/>
  <c r="J147" i="289" s="1"/>
  <c r="K148" i="289"/>
  <c r="J148" i="289" s="1"/>
  <c r="K149" i="289"/>
  <c r="J149" i="289" s="1"/>
  <c r="K150" i="289"/>
  <c r="J150" i="289" s="1"/>
  <c r="K151" i="289"/>
  <c r="J151" i="289" s="1"/>
  <c r="K152" i="289"/>
  <c r="J152" i="289" s="1"/>
  <c r="K153" i="289"/>
  <c r="J153" i="289" s="1"/>
  <c r="K154" i="289"/>
  <c r="J154" i="289" s="1"/>
  <c r="K155" i="289"/>
  <c r="J155" i="289" s="1"/>
  <c r="K156" i="289"/>
  <c r="J156" i="289" s="1"/>
  <c r="K157" i="289"/>
  <c r="J157" i="289" s="1"/>
  <c r="K158" i="289"/>
  <c r="J158" i="289" s="1"/>
  <c r="K159" i="289"/>
  <c r="J159" i="289" s="1"/>
  <c r="K160" i="289"/>
  <c r="J160" i="289" s="1"/>
  <c r="K161" i="289"/>
  <c r="J161" i="289" s="1"/>
  <c r="K162" i="289"/>
  <c r="J162" i="289" s="1"/>
  <c r="K163" i="289"/>
  <c r="J163" i="289" s="1"/>
  <c r="K164" i="289"/>
  <c r="J164" i="289" s="1"/>
  <c r="K165" i="289"/>
  <c r="J165" i="289" s="1"/>
  <c r="K166" i="289"/>
  <c r="J166" i="289" s="1"/>
  <c r="K167" i="289"/>
  <c r="J167" i="289" s="1"/>
  <c r="K168" i="289"/>
  <c r="J168" i="289" s="1"/>
  <c r="K169" i="289"/>
  <c r="J169" i="289" s="1"/>
  <c r="K170" i="289"/>
  <c r="J170" i="289" s="1"/>
  <c r="K171" i="289"/>
  <c r="J171" i="289" s="1"/>
  <c r="K172" i="289"/>
  <c r="J172" i="289" s="1"/>
  <c r="K173" i="289"/>
  <c r="J173" i="289" s="1"/>
  <c r="K174" i="289"/>
  <c r="J174" i="289" s="1"/>
  <c r="K175" i="289"/>
  <c r="J175" i="289" s="1"/>
  <c r="K176" i="289"/>
  <c r="J176" i="289" s="1"/>
  <c r="K177" i="289"/>
  <c r="J177" i="289" s="1"/>
  <c r="K178" i="289"/>
  <c r="J178" i="289" s="1"/>
  <c r="K179" i="289"/>
  <c r="J179" i="289" s="1"/>
  <c r="K180" i="289"/>
  <c r="J180" i="289" s="1"/>
  <c r="K181" i="289"/>
  <c r="J181" i="289" s="1"/>
  <c r="K182" i="289"/>
  <c r="J182" i="289" s="1"/>
  <c r="K183" i="289"/>
  <c r="J183" i="289" s="1"/>
  <c r="K184" i="289"/>
  <c r="J184" i="289" s="1"/>
  <c r="K185" i="289"/>
  <c r="J185" i="289" s="1"/>
  <c r="K186" i="289"/>
  <c r="J186" i="289" s="1"/>
  <c r="K187" i="289"/>
  <c r="J187" i="289" s="1"/>
  <c r="K188" i="289"/>
  <c r="J188" i="289" s="1"/>
  <c r="K189" i="289"/>
  <c r="J189" i="289" s="1"/>
  <c r="K190" i="289"/>
  <c r="J190" i="289" s="1"/>
  <c r="K191" i="289"/>
  <c r="J191" i="289" s="1"/>
  <c r="K192" i="289"/>
  <c r="J192" i="289" s="1"/>
  <c r="K193" i="289"/>
  <c r="J193" i="289" s="1"/>
  <c r="K194" i="289"/>
  <c r="J194" i="289" s="1"/>
  <c r="K195" i="289"/>
  <c r="J195" i="289" s="1"/>
  <c r="K196" i="289"/>
  <c r="J196" i="289" s="1"/>
  <c r="K197" i="289"/>
  <c r="J197" i="289" s="1"/>
  <c r="K198" i="289"/>
  <c r="J198" i="289" s="1"/>
  <c r="K199" i="289"/>
  <c r="J199" i="289" s="1"/>
  <c r="K200" i="289"/>
  <c r="J200" i="289" s="1"/>
  <c r="K201" i="289"/>
  <c r="J201" i="289" s="1"/>
  <c r="K202" i="289"/>
  <c r="J202" i="289" s="1"/>
  <c r="K203" i="289"/>
  <c r="J203" i="289" s="1"/>
  <c r="K204" i="289"/>
  <c r="J204" i="289" s="1"/>
  <c r="K205" i="289"/>
  <c r="J205" i="289" s="1"/>
  <c r="K206" i="289"/>
  <c r="J206" i="289" s="1"/>
  <c r="K207" i="289"/>
  <c r="J207" i="289" s="1"/>
  <c r="L25" i="292"/>
  <c r="K25" i="292"/>
  <c r="L24" i="292"/>
  <c r="K24" i="292"/>
  <c r="L23" i="292"/>
  <c r="K23" i="292"/>
  <c r="L22" i="292"/>
  <c r="K22" i="292"/>
  <c r="L21" i="292"/>
  <c r="K21" i="292"/>
  <c r="L20" i="292"/>
  <c r="K20" i="292"/>
  <c r="L19" i="292"/>
  <c r="K19" i="292"/>
  <c r="L18" i="292"/>
  <c r="K18" i="292"/>
  <c r="L17" i="292"/>
  <c r="K17" i="292"/>
  <c r="L16" i="292"/>
  <c r="K16" i="292"/>
  <c r="L15" i="292"/>
  <c r="K15" i="292"/>
  <c r="L14" i="292"/>
  <c r="K14" i="292"/>
  <c r="L13" i="292"/>
  <c r="K13" i="292"/>
  <c r="L12" i="292"/>
  <c r="K12" i="292"/>
  <c r="L11" i="292"/>
  <c r="K11" i="292"/>
  <c r="L10" i="292"/>
  <c r="K10" i="292"/>
  <c r="L9" i="292"/>
  <c r="K9" i="292"/>
  <c r="L8" i="292"/>
  <c r="K8" i="292"/>
  <c r="L7" i="292"/>
  <c r="K7" i="292"/>
  <c r="L6" i="292"/>
  <c r="K6" i="292"/>
  <c r="L5" i="292"/>
  <c r="K5" i="292"/>
  <c r="I25" i="292"/>
  <c r="H25" i="292"/>
  <c r="I24" i="292"/>
  <c r="H24" i="292"/>
  <c r="I23" i="292"/>
  <c r="H23" i="292"/>
  <c r="I22" i="292"/>
  <c r="H22" i="292"/>
  <c r="I21" i="292"/>
  <c r="H21" i="292"/>
  <c r="I20" i="292"/>
  <c r="H20" i="292"/>
  <c r="I19" i="292"/>
  <c r="H19" i="292"/>
  <c r="I18" i="292"/>
  <c r="H18" i="292"/>
  <c r="I17" i="292"/>
  <c r="H17" i="292"/>
  <c r="I16" i="292"/>
  <c r="H16" i="292"/>
  <c r="I15" i="292"/>
  <c r="H15" i="292"/>
  <c r="I14" i="292"/>
  <c r="H14" i="292"/>
  <c r="I13" i="292"/>
  <c r="H13" i="292"/>
  <c r="I12" i="292"/>
  <c r="H12" i="292"/>
  <c r="I11" i="292"/>
  <c r="H11" i="292"/>
  <c r="I10" i="292"/>
  <c r="H10" i="292"/>
  <c r="I9" i="292"/>
  <c r="H9" i="292"/>
  <c r="I8" i="292"/>
  <c r="H8" i="292"/>
  <c r="I7" i="292"/>
  <c r="H7" i="292"/>
  <c r="I6" i="292"/>
  <c r="H6" i="292"/>
  <c r="F25" i="292"/>
  <c r="F24" i="292"/>
  <c r="F23" i="292"/>
  <c r="F22" i="292"/>
  <c r="F21" i="292"/>
  <c r="F20" i="292"/>
  <c r="F19" i="292"/>
  <c r="F18" i="292"/>
  <c r="F17" i="292"/>
  <c r="F16" i="292"/>
  <c r="F15" i="292"/>
  <c r="F14" i="292"/>
  <c r="F13" i="292"/>
  <c r="F12" i="292"/>
  <c r="F11" i="292"/>
  <c r="F10" i="292"/>
  <c r="F9" i="292"/>
  <c r="F8" i="292"/>
  <c r="F7" i="292"/>
  <c r="F6" i="292"/>
  <c r="C17" i="292"/>
  <c r="C16" i="292"/>
  <c r="C14" i="292"/>
  <c r="C13" i="292"/>
  <c r="C11" i="292"/>
  <c r="C10" i="292"/>
  <c r="C9" i="292"/>
  <c r="C8" i="292"/>
  <c r="C6" i="292"/>
  <c r="C5" i="292"/>
  <c r="C4" i="292"/>
  <c r="Y16" i="258" l="1"/>
  <c r="AB16" i="258"/>
  <c r="J41" i="289"/>
  <c r="C3" i="289"/>
  <c r="E112" i="289"/>
  <c r="F112" i="289" s="1"/>
  <c r="E113" i="289"/>
  <c r="D113" i="289" s="1"/>
  <c r="E114" i="289"/>
  <c r="F114" i="289" s="1"/>
  <c r="E115" i="289"/>
  <c r="D115" i="289" s="1"/>
  <c r="E116" i="289"/>
  <c r="D116" i="289" s="1"/>
  <c r="E117" i="289"/>
  <c r="F117" i="289" s="1"/>
  <c r="E118" i="289"/>
  <c r="D118" i="289" s="1"/>
  <c r="E119" i="289"/>
  <c r="D119" i="289" s="1"/>
  <c r="E120" i="289"/>
  <c r="F120" i="289" s="1"/>
  <c r="E121" i="289"/>
  <c r="D121" i="289" s="1"/>
  <c r="E122" i="289"/>
  <c r="F122" i="289" s="1"/>
  <c r="E123" i="289"/>
  <c r="D123" i="289" s="1"/>
  <c r="E124" i="289"/>
  <c r="D124" i="289" s="1"/>
  <c r="E125" i="289"/>
  <c r="F125" i="289" s="1"/>
  <c r="E126" i="289"/>
  <c r="D126" i="289" s="1"/>
  <c r="E127" i="289"/>
  <c r="F127" i="289" s="1"/>
  <c r="E128" i="289"/>
  <c r="F128" i="289" s="1"/>
  <c r="E129" i="289"/>
  <c r="D129" i="289" s="1"/>
  <c r="E130" i="289"/>
  <c r="F130" i="289" s="1"/>
  <c r="E131" i="289"/>
  <c r="D131" i="289" s="1"/>
  <c r="E132" i="289"/>
  <c r="D132" i="289" s="1"/>
  <c r="E133" i="289"/>
  <c r="F133" i="289" s="1"/>
  <c r="E134" i="289"/>
  <c r="D134" i="289" s="1"/>
  <c r="E135" i="289"/>
  <c r="D135" i="289" s="1"/>
  <c r="E136" i="289"/>
  <c r="F136" i="289" s="1"/>
  <c r="E137" i="289"/>
  <c r="D137" i="289" s="1"/>
  <c r="E138" i="289"/>
  <c r="F138" i="289" s="1"/>
  <c r="E139" i="289"/>
  <c r="D139" i="289" s="1"/>
  <c r="E140" i="289"/>
  <c r="D140" i="289" s="1"/>
  <c r="E141" i="289"/>
  <c r="F141" i="289" s="1"/>
  <c r="E142" i="289"/>
  <c r="D142" i="289" s="1"/>
  <c r="E143" i="289"/>
  <c r="F143" i="289" s="1"/>
  <c r="E144" i="289"/>
  <c r="F144" i="289" s="1"/>
  <c r="E145" i="289"/>
  <c r="D145" i="289" s="1"/>
  <c r="E146" i="289"/>
  <c r="F146" i="289" s="1"/>
  <c r="E147" i="289"/>
  <c r="D147" i="289" s="1"/>
  <c r="E148" i="289"/>
  <c r="D148" i="289" s="1"/>
  <c r="E149" i="289"/>
  <c r="F149" i="289" s="1"/>
  <c r="E150" i="289"/>
  <c r="D150" i="289" s="1"/>
  <c r="E151" i="289"/>
  <c r="D151" i="289" s="1"/>
  <c r="E152" i="289"/>
  <c r="F152" i="289" s="1"/>
  <c r="E153" i="289"/>
  <c r="D153" i="289" s="1"/>
  <c r="E154" i="289"/>
  <c r="F154" i="289" s="1"/>
  <c r="E155" i="289"/>
  <c r="D155" i="289" s="1"/>
  <c r="E156" i="289"/>
  <c r="D156" i="289" s="1"/>
  <c r="E157" i="289"/>
  <c r="F157" i="289" s="1"/>
  <c r="E158" i="289"/>
  <c r="D158" i="289" s="1"/>
  <c r="E159" i="289"/>
  <c r="F159" i="289" s="1"/>
  <c r="E160" i="289"/>
  <c r="F160" i="289" s="1"/>
  <c r="E161" i="289"/>
  <c r="D161" i="289" s="1"/>
  <c r="E162" i="289"/>
  <c r="F162" i="289" s="1"/>
  <c r="E163" i="289"/>
  <c r="D163" i="289" s="1"/>
  <c r="E164" i="289"/>
  <c r="D164" i="289" s="1"/>
  <c r="E165" i="289"/>
  <c r="F165" i="289" s="1"/>
  <c r="E166" i="289"/>
  <c r="D166" i="289" s="1"/>
  <c r="E167" i="289"/>
  <c r="F167" i="289" s="1"/>
  <c r="E168" i="289"/>
  <c r="F168" i="289" s="1"/>
  <c r="E169" i="289"/>
  <c r="D169" i="289" s="1"/>
  <c r="E170" i="289"/>
  <c r="F170" i="289" s="1"/>
  <c r="E171" i="289"/>
  <c r="D171" i="289" s="1"/>
  <c r="E172" i="289"/>
  <c r="D172" i="289" s="1"/>
  <c r="E173" i="289"/>
  <c r="F173" i="289" s="1"/>
  <c r="E174" i="289"/>
  <c r="D174" i="289" s="1"/>
  <c r="E175" i="289"/>
  <c r="D175" i="289" s="1"/>
  <c r="E176" i="289"/>
  <c r="F176" i="289" s="1"/>
  <c r="E177" i="289"/>
  <c r="D177" i="289" s="1"/>
  <c r="E178" i="289"/>
  <c r="F178" i="289" s="1"/>
  <c r="E179" i="289"/>
  <c r="D179" i="289" s="1"/>
  <c r="E180" i="289"/>
  <c r="D180" i="289" s="1"/>
  <c r="E181" i="289"/>
  <c r="F181" i="289" s="1"/>
  <c r="E182" i="289"/>
  <c r="D182" i="289" s="1"/>
  <c r="E183" i="289"/>
  <c r="F183" i="289" s="1"/>
  <c r="E184" i="289"/>
  <c r="F184" i="289" s="1"/>
  <c r="E185" i="289"/>
  <c r="D185" i="289" s="1"/>
  <c r="E186" i="289"/>
  <c r="F186" i="289" s="1"/>
  <c r="E187" i="289"/>
  <c r="D187" i="289" s="1"/>
  <c r="E188" i="289"/>
  <c r="D188" i="289" s="1"/>
  <c r="E189" i="289"/>
  <c r="F189" i="289" s="1"/>
  <c r="E190" i="289"/>
  <c r="D190" i="289" s="1"/>
  <c r="E191" i="289"/>
  <c r="D191" i="289" s="1"/>
  <c r="E192" i="289"/>
  <c r="F192" i="289" s="1"/>
  <c r="E193" i="289"/>
  <c r="D193" i="289" s="1"/>
  <c r="E194" i="289"/>
  <c r="F194" i="289" s="1"/>
  <c r="E195" i="289"/>
  <c r="D195" i="289" s="1"/>
  <c r="E196" i="289"/>
  <c r="D196" i="289" s="1"/>
  <c r="E197" i="289"/>
  <c r="F197" i="289" s="1"/>
  <c r="E198" i="289"/>
  <c r="D198" i="289" s="1"/>
  <c r="E199" i="289"/>
  <c r="D199" i="289" s="1"/>
  <c r="E200" i="289"/>
  <c r="F200" i="289" s="1"/>
  <c r="E201" i="289"/>
  <c r="D201" i="289" s="1"/>
  <c r="E202" i="289"/>
  <c r="F202" i="289" s="1"/>
  <c r="E203" i="289"/>
  <c r="D203" i="289" s="1"/>
  <c r="E204" i="289"/>
  <c r="D204" i="289" s="1"/>
  <c r="E205" i="289"/>
  <c r="F205" i="289" s="1"/>
  <c r="E206" i="289"/>
  <c r="D206" i="289" s="1"/>
  <c r="E207" i="289"/>
  <c r="D207" i="289" s="1"/>
  <c r="E9" i="289"/>
  <c r="F9" i="289" s="1"/>
  <c r="E10" i="289"/>
  <c r="D10" i="289" s="1"/>
  <c r="E13" i="289"/>
  <c r="F13" i="289" s="1"/>
  <c r="E15" i="289"/>
  <c r="D15" i="289" s="1"/>
  <c r="E17" i="289"/>
  <c r="F17" i="289" s="1"/>
  <c r="E18" i="289"/>
  <c r="D18" i="289" s="1"/>
  <c r="E19" i="289"/>
  <c r="D19" i="289" s="1"/>
  <c r="E20" i="289"/>
  <c r="F20" i="289" s="1"/>
  <c r="E21" i="289"/>
  <c r="F21" i="289" s="1"/>
  <c r="E22" i="289"/>
  <c r="F22" i="289" s="1"/>
  <c r="E23" i="289"/>
  <c r="D23" i="289" s="1"/>
  <c r="E24" i="289"/>
  <c r="F24" i="289" s="1"/>
  <c r="E25" i="289"/>
  <c r="F25" i="289" s="1"/>
  <c r="E26" i="289"/>
  <c r="D26" i="289" s="1"/>
  <c r="E28" i="289"/>
  <c r="F28" i="289" s="1"/>
  <c r="E30" i="289"/>
  <c r="F30" i="289" s="1"/>
  <c r="E32" i="289"/>
  <c r="D32" i="289" s="1"/>
  <c r="E33" i="289"/>
  <c r="F33" i="289" s="1"/>
  <c r="E34" i="289"/>
  <c r="D34" i="289" s="1"/>
  <c r="E35" i="289"/>
  <c r="D35" i="289" s="1"/>
  <c r="E40" i="289"/>
  <c r="F40" i="289" s="1"/>
  <c r="E41" i="289"/>
  <c r="F41" i="289" s="1"/>
  <c r="E42" i="289"/>
  <c r="D42" i="289" s="1"/>
  <c r="E43" i="289"/>
  <c r="D43" i="289" s="1"/>
  <c r="E44" i="289"/>
  <c r="F44" i="289" s="1"/>
  <c r="E46" i="289"/>
  <c r="F46" i="289" s="1"/>
  <c r="E47" i="289"/>
  <c r="D47" i="289" s="1"/>
  <c r="E48" i="289"/>
  <c r="F48" i="289" s="1"/>
  <c r="E50" i="289"/>
  <c r="D50" i="289" s="1"/>
  <c r="E51" i="289"/>
  <c r="D51" i="289" s="1"/>
  <c r="E52" i="289"/>
  <c r="F52" i="289" s="1"/>
  <c r="E53" i="289"/>
  <c r="F53" i="289" s="1"/>
  <c r="E54" i="289"/>
  <c r="F54" i="289" s="1"/>
  <c r="E55" i="289"/>
  <c r="D55" i="289" s="1"/>
  <c r="E56" i="289"/>
  <c r="F56" i="289" s="1"/>
  <c r="E57" i="289"/>
  <c r="F57" i="289" s="1"/>
  <c r="E58" i="289"/>
  <c r="D58" i="289" s="1"/>
  <c r="E59" i="289"/>
  <c r="D59" i="289" s="1"/>
  <c r="E60" i="289"/>
  <c r="F60" i="289" s="1"/>
  <c r="E61" i="289"/>
  <c r="F61" i="289" s="1"/>
  <c r="E62" i="289"/>
  <c r="F62" i="289" s="1"/>
  <c r="E63" i="289"/>
  <c r="D63" i="289" s="1"/>
  <c r="E64" i="289"/>
  <c r="D64" i="289" s="1"/>
  <c r="E65" i="289"/>
  <c r="F65" i="289" s="1"/>
  <c r="E66" i="289"/>
  <c r="D66" i="289" s="1"/>
  <c r="E67" i="289"/>
  <c r="D67" i="289" s="1"/>
  <c r="E68" i="289"/>
  <c r="F68" i="289" s="1"/>
  <c r="E69" i="289"/>
  <c r="F69" i="289" s="1"/>
  <c r="E70" i="289"/>
  <c r="F70" i="289" s="1"/>
  <c r="E71" i="289"/>
  <c r="D71" i="289" s="1"/>
  <c r="E72" i="289"/>
  <c r="F72" i="289" s="1"/>
  <c r="E73" i="289"/>
  <c r="F73" i="289" s="1"/>
  <c r="E74" i="289"/>
  <c r="D74" i="289" s="1"/>
  <c r="E75" i="289"/>
  <c r="D75" i="289" s="1"/>
  <c r="E76" i="289"/>
  <c r="F76" i="289" s="1"/>
  <c r="E77" i="289"/>
  <c r="F77" i="289" s="1"/>
  <c r="E78" i="289"/>
  <c r="F78" i="289" s="1"/>
  <c r="E79" i="289"/>
  <c r="D79" i="289" s="1"/>
  <c r="E80" i="289"/>
  <c r="D80" i="289" s="1"/>
  <c r="E81" i="289"/>
  <c r="F81" i="289" s="1"/>
  <c r="E82" i="289"/>
  <c r="D82" i="289" s="1"/>
  <c r="E83" i="289"/>
  <c r="D83" i="289" s="1"/>
  <c r="E84" i="289"/>
  <c r="F84" i="289" s="1"/>
  <c r="E85" i="289"/>
  <c r="F85" i="289" s="1"/>
  <c r="E86" i="289"/>
  <c r="F86" i="289" s="1"/>
  <c r="E87" i="289"/>
  <c r="D87" i="289" s="1"/>
  <c r="E88" i="289"/>
  <c r="F88" i="289" s="1"/>
  <c r="E89" i="289"/>
  <c r="F89" i="289" s="1"/>
  <c r="E90" i="289"/>
  <c r="D90" i="289" s="1"/>
  <c r="E91" i="289"/>
  <c r="D91" i="289" s="1"/>
  <c r="E92" i="289"/>
  <c r="F92" i="289" s="1"/>
  <c r="E93" i="289"/>
  <c r="F93" i="289" s="1"/>
  <c r="E94" i="289"/>
  <c r="F94" i="289" s="1"/>
  <c r="E95" i="289"/>
  <c r="D95" i="289" s="1"/>
  <c r="E96" i="289"/>
  <c r="D96" i="289" s="1"/>
  <c r="E97" i="289"/>
  <c r="F97" i="289" s="1"/>
  <c r="E98" i="289"/>
  <c r="D98" i="289" s="1"/>
  <c r="E99" i="289"/>
  <c r="D99" i="289" s="1"/>
  <c r="E100" i="289"/>
  <c r="F100" i="289" s="1"/>
  <c r="E101" i="289"/>
  <c r="F101" i="289" s="1"/>
  <c r="E102" i="289"/>
  <c r="F102" i="289" s="1"/>
  <c r="E103" i="289"/>
  <c r="D103" i="289" s="1"/>
  <c r="E104" i="289"/>
  <c r="D104" i="289" s="1"/>
  <c r="E105" i="289"/>
  <c r="F105" i="289" s="1"/>
  <c r="E106" i="289"/>
  <c r="D106" i="289" s="1"/>
  <c r="E107" i="289"/>
  <c r="D107" i="289" s="1"/>
  <c r="E108" i="289"/>
  <c r="F108" i="289" s="1"/>
  <c r="E109" i="289"/>
  <c r="F109" i="289" s="1"/>
  <c r="E110" i="289"/>
  <c r="F110" i="289" s="1"/>
  <c r="E111" i="289"/>
  <c r="D111" i="289" s="1"/>
  <c r="Q202" i="258"/>
  <c r="Q203" i="258"/>
  <c r="Q204" i="258"/>
  <c r="Q205" i="258"/>
  <c r="Q206" i="258"/>
  <c r="Q207" i="258"/>
  <c r="Q208" i="258"/>
  <c r="Q209" i="258"/>
  <c r="Q210" i="258"/>
  <c r="Q211" i="258"/>
  <c r="Q212" i="258"/>
  <c r="Q213" i="258"/>
  <c r="Q214" i="258"/>
  <c r="Q215" i="258"/>
  <c r="Q116" i="258"/>
  <c r="Q117" i="258"/>
  <c r="Q118" i="258"/>
  <c r="Q119" i="258"/>
  <c r="Q120" i="258"/>
  <c r="Q121" i="258"/>
  <c r="Q122" i="258"/>
  <c r="Q123" i="258"/>
  <c r="Q124" i="258"/>
  <c r="Q125" i="258"/>
  <c r="Q126" i="258"/>
  <c r="Q127" i="258"/>
  <c r="Q128" i="258"/>
  <c r="Q129" i="258"/>
  <c r="Q130" i="258"/>
  <c r="Q131" i="258"/>
  <c r="Q132" i="258"/>
  <c r="Q133" i="258"/>
  <c r="Q134" i="258"/>
  <c r="Q135" i="258"/>
  <c r="Q136" i="258"/>
  <c r="Q137" i="258"/>
  <c r="Q138" i="258"/>
  <c r="Q139" i="258"/>
  <c r="Q140" i="258"/>
  <c r="Q141" i="258"/>
  <c r="Q142" i="258"/>
  <c r="Q143" i="258"/>
  <c r="Q144" i="258"/>
  <c r="Q145" i="258"/>
  <c r="Q146" i="258"/>
  <c r="Q147" i="258"/>
  <c r="Q148" i="258"/>
  <c r="Q149" i="258"/>
  <c r="Q150" i="258"/>
  <c r="Q151" i="258"/>
  <c r="Q152" i="258"/>
  <c r="Q153" i="258"/>
  <c r="Q154" i="258"/>
  <c r="Q155" i="258"/>
  <c r="Q156" i="258"/>
  <c r="Q157" i="258"/>
  <c r="Q158" i="258"/>
  <c r="Q159" i="258"/>
  <c r="Q160" i="258"/>
  <c r="Q161" i="258"/>
  <c r="Q162" i="258"/>
  <c r="Q163" i="258"/>
  <c r="Q164" i="258"/>
  <c r="Q165" i="258"/>
  <c r="Q166" i="258"/>
  <c r="Q167" i="258"/>
  <c r="Q168" i="258"/>
  <c r="Q169" i="258"/>
  <c r="Q170" i="258"/>
  <c r="Q171" i="258"/>
  <c r="Q172" i="258"/>
  <c r="Q173" i="258"/>
  <c r="Q174" i="258"/>
  <c r="Q175" i="258"/>
  <c r="Q176" i="258"/>
  <c r="Q177" i="258"/>
  <c r="Q178" i="258"/>
  <c r="Q179" i="258"/>
  <c r="Q180" i="258"/>
  <c r="Q181" i="258"/>
  <c r="Q182" i="258"/>
  <c r="Q183" i="258"/>
  <c r="Q184" i="258"/>
  <c r="Q185" i="258"/>
  <c r="Q186" i="258"/>
  <c r="Q187" i="258"/>
  <c r="Q188" i="258"/>
  <c r="Q189" i="258"/>
  <c r="Q190" i="258"/>
  <c r="Q191" i="258"/>
  <c r="Q192" i="258"/>
  <c r="Q193" i="258"/>
  <c r="Q194" i="258"/>
  <c r="Q195" i="258"/>
  <c r="Q196" i="258"/>
  <c r="Q197" i="258"/>
  <c r="Q198" i="258"/>
  <c r="Q199" i="258"/>
  <c r="Q200" i="258"/>
  <c r="Q201" i="258"/>
  <c r="E31" i="289"/>
  <c r="D31" i="289" s="1"/>
  <c r="E49" i="289"/>
  <c r="F49" i="289" s="1"/>
  <c r="F201" i="289" l="1"/>
  <c r="F199" i="289"/>
  <c r="F111" i="289"/>
  <c r="D105" i="289"/>
  <c r="F151" i="289"/>
  <c r="F113" i="289"/>
  <c r="D88" i="289"/>
  <c r="F80" i="289"/>
  <c r="D143" i="289"/>
  <c r="D13" i="289"/>
  <c r="F135" i="289"/>
  <c r="F207" i="289"/>
  <c r="D128" i="289"/>
  <c r="F103" i="289"/>
  <c r="F169" i="289"/>
  <c r="F64" i="289"/>
  <c r="D53" i="289"/>
  <c r="D24" i="289"/>
  <c r="D183" i="289"/>
  <c r="F175" i="289"/>
  <c r="F119" i="289"/>
  <c r="D167" i="289"/>
  <c r="D100" i="289"/>
  <c r="F193" i="289"/>
  <c r="D77" i="289"/>
  <c r="D48" i="289"/>
  <c r="D93" i="289"/>
  <c r="D69" i="289"/>
  <c r="D52" i="289"/>
  <c r="D40" i="289"/>
  <c r="D159" i="289"/>
  <c r="D120" i="289"/>
  <c r="F191" i="289"/>
  <c r="F185" i="289"/>
  <c r="F96" i="289"/>
  <c r="D85" i="289"/>
  <c r="D68" i="289"/>
  <c r="D56" i="289"/>
  <c r="F32" i="289"/>
  <c r="D21" i="289"/>
  <c r="F161" i="289"/>
  <c r="D127" i="289"/>
  <c r="D101" i="289"/>
  <c r="D84" i="289"/>
  <c r="D72" i="289"/>
  <c r="D61" i="289"/>
  <c r="D20" i="289"/>
  <c r="F177" i="289"/>
  <c r="F153" i="289"/>
  <c r="F145" i="289"/>
  <c r="F137" i="289"/>
  <c r="F129" i="289"/>
  <c r="F121" i="289"/>
  <c r="F107" i="289"/>
  <c r="D92" i="289"/>
  <c r="D76" i="289"/>
  <c r="D60" i="289"/>
  <c r="D44" i="289"/>
  <c r="D28" i="289"/>
  <c r="D205" i="289"/>
  <c r="D197" i="289"/>
  <c r="D189" i="289"/>
  <c r="D181" i="289"/>
  <c r="D173" i="289"/>
  <c r="D165" i="289"/>
  <c r="D157" i="289"/>
  <c r="D149" i="289"/>
  <c r="D141" i="289"/>
  <c r="D133" i="289"/>
  <c r="D125" i="289"/>
  <c r="D117" i="289"/>
  <c r="D112" i="289"/>
  <c r="F203" i="289"/>
  <c r="D200" i="289"/>
  <c r="F195" i="289"/>
  <c r="D192" i="289"/>
  <c r="F187" i="289"/>
  <c r="D184" i="289"/>
  <c r="F179" i="289"/>
  <c r="D176" i="289"/>
  <c r="F171" i="289"/>
  <c r="D168" i="289"/>
  <c r="F163" i="289"/>
  <c r="D160" i="289"/>
  <c r="F155" i="289"/>
  <c r="D152" i="289"/>
  <c r="F147" i="289"/>
  <c r="D144" i="289"/>
  <c r="F139" i="289"/>
  <c r="D136" i="289"/>
  <c r="F131" i="289"/>
  <c r="F123" i="289"/>
  <c r="F115" i="289"/>
  <c r="F204" i="289"/>
  <c r="D202" i="289"/>
  <c r="F196" i="289"/>
  <c r="D194" i="289"/>
  <c r="F188" i="289"/>
  <c r="D186" i="289"/>
  <c r="F180" i="289"/>
  <c r="D178" i="289"/>
  <c r="F172" i="289"/>
  <c r="D170" i="289"/>
  <c r="F164" i="289"/>
  <c r="D162" i="289"/>
  <c r="F156" i="289"/>
  <c r="D154" i="289"/>
  <c r="F148" i="289"/>
  <c r="D146" i="289"/>
  <c r="F140" i="289"/>
  <c r="D138" i="289"/>
  <c r="F132" i="289"/>
  <c r="D130" i="289"/>
  <c r="F124" i="289"/>
  <c r="D122" i="289"/>
  <c r="F116" i="289"/>
  <c r="D114" i="289"/>
  <c r="F206" i="289"/>
  <c r="F198" i="289"/>
  <c r="F190" i="289"/>
  <c r="F182" i="289"/>
  <c r="F174" i="289"/>
  <c r="F166" i="289"/>
  <c r="F158" i="289"/>
  <c r="F150" i="289"/>
  <c r="F142" i="289"/>
  <c r="F134" i="289"/>
  <c r="F126" i="289"/>
  <c r="F118" i="289"/>
  <c r="D109" i="289"/>
  <c r="F104" i="289"/>
  <c r="D108" i="289"/>
  <c r="F99" i="289"/>
  <c r="F95" i="289"/>
  <c r="F91" i="289"/>
  <c r="F87" i="289"/>
  <c r="F83" i="289"/>
  <c r="F79" i="289"/>
  <c r="F75" i="289"/>
  <c r="F71" i="289"/>
  <c r="F67" i="289"/>
  <c r="F63" i="289"/>
  <c r="F59" i="289"/>
  <c r="F55" i="289"/>
  <c r="F51" i="289"/>
  <c r="F47" i="289"/>
  <c r="F43" i="289"/>
  <c r="F35" i="289"/>
  <c r="F31" i="289"/>
  <c r="F23" i="289"/>
  <c r="F19" i="289"/>
  <c r="F15" i="289"/>
  <c r="D97" i="289"/>
  <c r="D89" i="289"/>
  <c r="D81" i="289"/>
  <c r="D73" i="289"/>
  <c r="D65" i="289"/>
  <c r="D57" i="289"/>
  <c r="D49" i="289"/>
  <c r="D41" i="289"/>
  <c r="D33" i="289"/>
  <c r="D25" i="289"/>
  <c r="D17" i="289"/>
  <c r="D9" i="289"/>
  <c r="D94" i="289"/>
  <c r="D86" i="289"/>
  <c r="D78" i="289"/>
  <c r="D70" i="289"/>
  <c r="D62" i="289"/>
  <c r="D54" i="289"/>
  <c r="D46" i="289"/>
  <c r="D30" i="289"/>
  <c r="D22" i="289"/>
  <c r="D102" i="289"/>
  <c r="F106" i="289"/>
  <c r="F98" i="289"/>
  <c r="F90" i="289"/>
  <c r="F82" i="289"/>
  <c r="F74" i="289"/>
  <c r="F66" i="289"/>
  <c r="F58" i="289"/>
  <c r="F50" i="289"/>
  <c r="F42" i="289"/>
  <c r="F34" i="289"/>
  <c r="F26" i="289"/>
  <c r="F18" i="289"/>
  <c r="F10" i="289"/>
  <c r="D110" i="289"/>
  <c r="G62" i="289"/>
  <c r="G194" i="289"/>
  <c r="G190" i="289"/>
  <c r="G63" i="289"/>
  <c r="G89" i="289"/>
  <c r="G179" i="289"/>
  <c r="G26" i="289"/>
  <c r="G144" i="289"/>
  <c r="G169" i="289"/>
  <c r="G117" i="289"/>
  <c r="G109" i="289"/>
  <c r="G121" i="289"/>
  <c r="G15" i="289"/>
  <c r="G110" i="289"/>
  <c r="G115" i="289"/>
  <c r="G201" i="289"/>
  <c r="G167" i="289"/>
  <c r="G175" i="289"/>
  <c r="G21" i="289"/>
  <c r="G207" i="289"/>
  <c r="G180" i="289"/>
  <c r="G101" i="289"/>
  <c r="G141" i="289"/>
  <c r="G147" i="289"/>
  <c r="G100" i="289"/>
  <c r="G69" i="289"/>
  <c r="G71" i="289"/>
  <c r="G42" i="289"/>
  <c r="G111" i="289"/>
  <c r="G129" i="289"/>
  <c r="G195" i="289"/>
  <c r="G126" i="289"/>
  <c r="G151" i="289"/>
  <c r="G55" i="289"/>
  <c r="G54" i="289"/>
  <c r="G106" i="289"/>
  <c r="G114" i="289"/>
  <c r="G149" i="289"/>
  <c r="G132" i="289"/>
  <c r="G20" i="289"/>
  <c r="G193" i="289"/>
  <c r="G123" i="289"/>
  <c r="G150" i="289"/>
  <c r="G186" i="289"/>
  <c r="G140" i="289"/>
  <c r="G61" i="289"/>
  <c r="G181" i="289"/>
  <c r="G203" i="289"/>
  <c r="G168" i="289"/>
  <c r="G143" i="289"/>
  <c r="G165" i="289"/>
  <c r="G139" i="289"/>
  <c r="G33" i="289"/>
  <c r="G23" i="289"/>
  <c r="G78" i="289"/>
  <c r="G135" i="289"/>
  <c r="G22" i="289"/>
  <c r="G145" i="289"/>
  <c r="G44" i="289"/>
  <c r="G56" i="289"/>
  <c r="G183" i="289"/>
  <c r="G80" i="289"/>
  <c r="G134" i="289"/>
  <c r="G49" i="289"/>
  <c r="G95" i="289"/>
  <c r="G90" i="289"/>
  <c r="G176" i="289"/>
  <c r="G182" i="289"/>
  <c r="G174" i="289"/>
  <c r="G88" i="289"/>
  <c r="G199" i="289"/>
  <c r="G40" i="289"/>
  <c r="G161" i="289"/>
  <c r="G67" i="289"/>
  <c r="G64" i="289"/>
  <c r="G166" i="289"/>
  <c r="G154" i="289"/>
  <c r="G187" i="289"/>
  <c r="G158" i="289"/>
  <c r="G41" i="289"/>
  <c r="G10" i="289"/>
  <c r="G93" i="289"/>
  <c r="G34" i="289"/>
  <c r="G112" i="289"/>
  <c r="G170" i="289"/>
  <c r="G205" i="289"/>
  <c r="G91" i="289"/>
  <c r="G192" i="289"/>
  <c r="G198" i="289"/>
  <c r="G105" i="289"/>
  <c r="G113" i="289"/>
  <c r="G163" i="289"/>
  <c r="G65" i="289"/>
  <c r="G116" i="289"/>
  <c r="G94" i="289"/>
  <c r="G99" i="289"/>
  <c r="G162" i="289"/>
  <c r="G124" i="289"/>
  <c r="G148" i="289"/>
  <c r="G48" i="289"/>
  <c r="G204" i="289"/>
  <c r="G66" i="289"/>
  <c r="G35" i="289"/>
  <c r="G152" i="289"/>
  <c r="G197" i="289"/>
  <c r="G184" i="289"/>
  <c r="G131" i="289"/>
  <c r="G24" i="289"/>
  <c r="G96" i="289"/>
  <c r="G70" i="289"/>
  <c r="G25" i="289"/>
  <c r="G128" i="289"/>
  <c r="G75" i="289"/>
  <c r="G188" i="289"/>
  <c r="G57" i="289"/>
  <c r="G18" i="289"/>
  <c r="G46" i="289"/>
  <c r="G68" i="289"/>
  <c r="G58" i="289"/>
  <c r="G92" i="289"/>
  <c r="G172" i="289"/>
  <c r="G79" i="289"/>
  <c r="G125" i="289"/>
  <c r="G156" i="289"/>
  <c r="G13" i="289"/>
  <c r="G177" i="289"/>
  <c r="G98" i="289"/>
  <c r="G206" i="289"/>
  <c r="G72" i="289"/>
  <c r="G74" i="289"/>
  <c r="G97" i="289"/>
  <c r="G136" i="289"/>
  <c r="G133" i="289"/>
  <c r="G76" i="289"/>
  <c r="G87" i="289"/>
  <c r="G122" i="289"/>
  <c r="G83" i="289"/>
  <c r="G30" i="289"/>
  <c r="G85" i="289"/>
  <c r="G31" i="289"/>
  <c r="G118" i="289"/>
  <c r="G32" i="289"/>
  <c r="G202" i="289"/>
  <c r="G53" i="289"/>
  <c r="G173" i="289"/>
  <c r="G50" i="289"/>
  <c r="G146" i="289"/>
  <c r="G108" i="289"/>
  <c r="G81" i="289"/>
  <c r="G142" i="289"/>
  <c r="G73" i="289"/>
  <c r="G164" i="289"/>
  <c r="G200" i="289"/>
  <c r="G137" i="289"/>
  <c r="G102" i="289"/>
  <c r="G185" i="289"/>
  <c r="G130" i="289"/>
  <c r="G191" i="289"/>
  <c r="G28" i="289"/>
  <c r="G103" i="289"/>
  <c r="G157" i="289"/>
  <c r="G104" i="289"/>
  <c r="G47" i="289"/>
  <c r="G189" i="289"/>
  <c r="G171" i="289"/>
  <c r="G178" i="289"/>
  <c r="G84" i="289"/>
  <c r="G43" i="289"/>
  <c r="G160" i="289"/>
  <c r="G155" i="289"/>
  <c r="G159" i="289"/>
  <c r="G51" i="289"/>
  <c r="G120" i="289"/>
  <c r="G153" i="289"/>
  <c r="G59" i="289"/>
  <c r="G82" i="289"/>
  <c r="G196" i="289"/>
  <c r="G107" i="289"/>
  <c r="G127" i="289"/>
  <c r="G60" i="289"/>
  <c r="G138" i="289"/>
  <c r="G119" i="289"/>
  <c r="G17" i="289"/>
  <c r="G52" i="289"/>
  <c r="G77" i="289"/>
  <c r="G19" i="289"/>
  <c r="G86" i="289"/>
  <c r="G9" i="289"/>
  <c r="L20" i="284" l="1"/>
  <c r="L27" i="284"/>
  <c r="H174" i="289"/>
  <c r="H122" i="289"/>
  <c r="H130" i="289"/>
  <c r="H28" i="289"/>
  <c r="H126" i="289"/>
  <c r="H124" i="289"/>
  <c r="H173" i="289"/>
  <c r="H71" i="289"/>
  <c r="H196" i="289"/>
  <c r="H185" i="289"/>
  <c r="H10" i="289"/>
  <c r="H98" i="289"/>
  <c r="H59" i="289"/>
  <c r="H117" i="289"/>
  <c r="H189" i="289"/>
  <c r="H187" i="289"/>
  <c r="H111" i="289"/>
  <c r="H133" i="289"/>
  <c r="H95" i="289"/>
  <c r="H109" i="289"/>
  <c r="H55" i="289"/>
  <c r="H148" i="289"/>
  <c r="H142" i="289"/>
  <c r="H9" i="289"/>
  <c r="H155" i="289"/>
  <c r="H100" i="289"/>
  <c r="H67" i="289"/>
  <c r="H73" i="289"/>
  <c r="H169" i="289"/>
  <c r="H198" i="289"/>
  <c r="H113" i="289"/>
  <c r="H13" i="289"/>
  <c r="H23" i="289"/>
  <c r="H56" i="289"/>
  <c r="H151" i="289"/>
  <c r="H60" i="289"/>
  <c r="H153" i="289"/>
  <c r="H104" i="289"/>
  <c r="H116" i="289"/>
  <c r="H134" i="289"/>
  <c r="H118" i="289"/>
  <c r="H120" i="289"/>
  <c r="H99" i="289"/>
  <c r="H179" i="289"/>
  <c r="H205" i="289"/>
  <c r="H107" i="289"/>
  <c r="H74" i="289"/>
  <c r="H193" i="289"/>
  <c r="H26" i="289"/>
  <c r="H81" i="289"/>
  <c r="H139" i="289"/>
  <c r="H188" i="289"/>
  <c r="H32" i="289"/>
  <c r="H20" i="289"/>
  <c r="H203" i="289"/>
  <c r="H119" i="289"/>
  <c r="H201" i="289"/>
  <c r="H96" i="289"/>
  <c r="H159" i="289"/>
  <c r="H171" i="289"/>
  <c r="H170" i="289"/>
  <c r="H112" i="289"/>
  <c r="H172" i="289"/>
  <c r="H80" i="289"/>
  <c r="H25" i="289"/>
  <c r="H115" i="289"/>
  <c r="H46" i="289"/>
  <c r="H91" i="289"/>
  <c r="H207" i="289"/>
  <c r="H127" i="289"/>
  <c r="H191" i="289"/>
  <c r="H192" i="289"/>
  <c r="H48" i="289"/>
  <c r="H200" i="289"/>
  <c r="H64" i="289"/>
  <c r="H17" i="289"/>
  <c r="H167" i="289"/>
  <c r="H77" i="289"/>
  <c r="H61" i="289"/>
  <c r="H110" i="289"/>
  <c r="H157" i="289"/>
  <c r="H65" i="289"/>
  <c r="H93" i="289"/>
  <c r="H41" i="289"/>
  <c r="H163" i="289"/>
  <c r="H140" i="289"/>
  <c r="H137" i="289"/>
  <c r="H131" i="289"/>
  <c r="H35" i="289"/>
  <c r="H83" i="289"/>
  <c r="H145" i="289"/>
  <c r="H178" i="289"/>
  <c r="H15" i="289"/>
  <c r="H150" i="289"/>
  <c r="H141" i="289"/>
  <c r="H57" i="289"/>
  <c r="H79" i="289"/>
  <c r="H18" i="289"/>
  <c r="H175" i="289"/>
  <c r="H87" i="289"/>
  <c r="H138" i="289"/>
  <c r="H92" i="289"/>
  <c r="H50" i="289"/>
  <c r="H186" i="289"/>
  <c r="H53" i="289"/>
  <c r="H149" i="289"/>
  <c r="H63" i="289"/>
  <c r="H114" i="289"/>
  <c r="H166" i="289"/>
  <c r="H108" i="289"/>
  <c r="H52" i="289"/>
  <c r="H70" i="289"/>
  <c r="H22" i="289"/>
  <c r="H62" i="289"/>
  <c r="H30" i="289"/>
  <c r="H31" i="289"/>
  <c r="H204" i="289"/>
  <c r="H85" i="289"/>
  <c r="H44" i="289"/>
  <c r="H135" i="289"/>
  <c r="H199" i="289"/>
  <c r="H102" i="289"/>
  <c r="H97" i="289"/>
  <c r="H176" i="289"/>
  <c r="H202" i="289"/>
  <c r="H183" i="289"/>
  <c r="H84" i="289"/>
  <c r="H146" i="289"/>
  <c r="H90" i="289"/>
  <c r="H42" i="289"/>
  <c r="H58" i="289"/>
  <c r="H147" i="289"/>
  <c r="H181" i="289"/>
  <c r="H54" i="289"/>
  <c r="H66" i="289"/>
  <c r="H82" i="289"/>
  <c r="H136" i="289"/>
  <c r="H89" i="289"/>
  <c r="H154" i="289"/>
  <c r="H190" i="289"/>
  <c r="H106" i="289"/>
  <c r="H152" i="289"/>
  <c r="H51" i="289"/>
  <c r="H144" i="289"/>
  <c r="H88" i="289"/>
  <c r="H128" i="289"/>
  <c r="H40" i="289"/>
  <c r="H194" i="289"/>
  <c r="H182" i="289"/>
  <c r="H103" i="289"/>
  <c r="H162" i="289"/>
  <c r="H129" i="289"/>
  <c r="H19" i="289"/>
  <c r="H206" i="289"/>
  <c r="H158" i="289"/>
  <c r="H86" i="289"/>
  <c r="H195" i="289"/>
  <c r="H123" i="289"/>
  <c r="H121" i="289"/>
  <c r="H78" i="289"/>
  <c r="H105" i="289"/>
  <c r="H164" i="289"/>
  <c r="H143" i="289"/>
  <c r="H177" i="289"/>
  <c r="H161" i="289"/>
  <c r="H125" i="289"/>
  <c r="H24" i="289"/>
  <c r="H21" i="289"/>
  <c r="H76" i="289"/>
  <c r="H47" i="289"/>
  <c r="H49" i="289"/>
  <c r="H33" i="289"/>
  <c r="H184" i="289"/>
  <c r="H75" i="289"/>
  <c r="H94" i="289"/>
  <c r="H168" i="289"/>
  <c r="H132" i="289"/>
  <c r="H165" i="289"/>
  <c r="H34" i="289"/>
  <c r="H160" i="289"/>
  <c r="H156" i="289"/>
  <c r="H68" i="289"/>
  <c r="H43" i="289"/>
  <c r="H101" i="289"/>
  <c r="H69" i="289"/>
  <c r="H180" i="289"/>
  <c r="H197" i="289"/>
  <c r="H72" i="289"/>
  <c r="B1" i="15"/>
  <c r="B2" i="15"/>
  <c r="L13" i="284" l="1"/>
  <c r="L14" i="284"/>
  <c r="L11" i="284"/>
  <c r="L8" i="284"/>
  <c r="J43" i="284"/>
  <c r="J27" i="284"/>
  <c r="J20" i="284"/>
  <c r="J13" i="284"/>
  <c r="J11" i="284"/>
  <c r="J4" i="284"/>
  <c r="Q44" i="284"/>
  <c r="Q45" i="284"/>
  <c r="Q46" i="284"/>
  <c r="Q47" i="284"/>
  <c r="Q48" i="284"/>
  <c r="Q49" i="284"/>
  <c r="Q50" i="284"/>
  <c r="Q51" i="284"/>
  <c r="Q52" i="284"/>
  <c r="Q53" i="284"/>
  <c r="O44" i="284"/>
  <c r="O45" i="284"/>
  <c r="O46" i="284"/>
  <c r="O47" i="284"/>
  <c r="O48" i="284"/>
  <c r="O49" i="284"/>
  <c r="O50" i="284"/>
  <c r="O51" i="284"/>
  <c r="O52" i="284"/>
  <c r="O53" i="284"/>
  <c r="Q5" i="284"/>
  <c r="Q6" i="284"/>
  <c r="Q7" i="284"/>
  <c r="Q8" i="284"/>
  <c r="Q9" i="284"/>
  <c r="Q10" i="284"/>
  <c r="Q11" i="284"/>
  <c r="Q12" i="284"/>
  <c r="Q13" i="284"/>
  <c r="Q14" i="284"/>
  <c r="Q15" i="284"/>
  <c r="Q16" i="284"/>
  <c r="Q17" i="284"/>
  <c r="Q18" i="284"/>
  <c r="Q19" i="284"/>
  <c r="Q20" i="284"/>
  <c r="Q21" i="284"/>
  <c r="Q22" i="284"/>
  <c r="Q23" i="284"/>
  <c r="Q24" i="284"/>
  <c r="Q25" i="284"/>
  <c r="Q26" i="284"/>
  <c r="Q27" i="284"/>
  <c r="Q28" i="284"/>
  <c r="Q29" i="284"/>
  <c r="Q30" i="284"/>
  <c r="Q31" i="284"/>
  <c r="Q32" i="284"/>
  <c r="Q33" i="284"/>
  <c r="Q34" i="284"/>
  <c r="Q35" i="284"/>
  <c r="Q36" i="284"/>
  <c r="Q37" i="284"/>
  <c r="Q38" i="284"/>
  <c r="Q39" i="284"/>
  <c r="Q40" i="284"/>
  <c r="Q41" i="284"/>
  <c r="Q42" i="284"/>
  <c r="Q43" i="284"/>
  <c r="O42" i="284"/>
  <c r="O43" i="284"/>
  <c r="O37" i="284"/>
  <c r="O38" i="284"/>
  <c r="O39" i="284"/>
  <c r="O40" i="284"/>
  <c r="O41" i="284"/>
  <c r="O24" i="284"/>
  <c r="O25" i="284"/>
  <c r="O26" i="284"/>
  <c r="O27" i="284"/>
  <c r="O28" i="284"/>
  <c r="O29" i="284"/>
  <c r="O30" i="284"/>
  <c r="O31" i="284"/>
  <c r="O32" i="284"/>
  <c r="O33" i="284"/>
  <c r="O34" i="284"/>
  <c r="O35" i="284"/>
  <c r="O36" i="284"/>
  <c r="O5" i="284"/>
  <c r="O6" i="284"/>
  <c r="O7" i="284"/>
  <c r="O8" i="284"/>
  <c r="O9" i="284"/>
  <c r="O10" i="284"/>
  <c r="O11" i="284"/>
  <c r="O12" i="284"/>
  <c r="O13" i="284"/>
  <c r="O14" i="284"/>
  <c r="O15" i="284"/>
  <c r="O16" i="284"/>
  <c r="O17" i="284"/>
  <c r="O18" i="284"/>
  <c r="O19" i="284"/>
  <c r="O20" i="284"/>
  <c r="O21" i="284"/>
  <c r="O22" i="284"/>
  <c r="O23" i="284"/>
  <c r="Q4" i="284"/>
  <c r="O4" i="284"/>
  <c r="L5" i="284"/>
  <c r="L6" i="284"/>
  <c r="L7" i="284"/>
  <c r="L9" i="284"/>
  <c r="L10" i="284"/>
  <c r="L12" i="284"/>
  <c r="L15" i="284"/>
  <c r="L16" i="284"/>
  <c r="L17" i="284"/>
  <c r="L18" i="284"/>
  <c r="L19" i="284"/>
  <c r="L21" i="284"/>
  <c r="L22" i="284"/>
  <c r="L23" i="284"/>
  <c r="L24" i="284"/>
  <c r="L25" i="284"/>
  <c r="L26" i="284"/>
  <c r="L28" i="284"/>
  <c r="L29" i="284"/>
  <c r="L30" i="284"/>
  <c r="L31" i="284"/>
  <c r="L32" i="284"/>
  <c r="L33" i="284"/>
  <c r="L34" i="284"/>
  <c r="L35" i="284"/>
  <c r="L36" i="284"/>
  <c r="L37" i="284"/>
  <c r="L38" i="284"/>
  <c r="L39" i="284"/>
  <c r="L40" i="284"/>
  <c r="L41" i="284"/>
  <c r="L42" i="284"/>
  <c r="L43" i="284"/>
  <c r="L44" i="284"/>
  <c r="L45" i="284"/>
  <c r="L46" i="284"/>
  <c r="L47" i="284"/>
  <c r="L48" i="284"/>
  <c r="L49" i="284"/>
  <c r="L50" i="284"/>
  <c r="L51" i="284"/>
  <c r="L52" i="284"/>
  <c r="L53" i="284"/>
  <c r="J5" i="284"/>
  <c r="J6" i="284"/>
  <c r="J7" i="284"/>
  <c r="J8" i="284"/>
  <c r="J9" i="284"/>
  <c r="J10" i="284"/>
  <c r="J12" i="284"/>
  <c r="J14" i="284"/>
  <c r="J15" i="284"/>
  <c r="J16" i="284"/>
  <c r="J17" i="284"/>
  <c r="J18" i="284"/>
  <c r="J19" i="284"/>
  <c r="J21" i="284"/>
  <c r="J22" i="284"/>
  <c r="J23" i="284"/>
  <c r="J24" i="284"/>
  <c r="J25" i="284"/>
  <c r="J26" i="284"/>
  <c r="J28" i="284"/>
  <c r="J29" i="284"/>
  <c r="J30" i="284"/>
  <c r="J31" i="284"/>
  <c r="J32" i="284"/>
  <c r="J33" i="284"/>
  <c r="J34" i="284"/>
  <c r="J35" i="284"/>
  <c r="J36" i="284"/>
  <c r="J37" i="284"/>
  <c r="J38" i="284"/>
  <c r="J39" i="284"/>
  <c r="J40" i="284"/>
  <c r="J41" i="284"/>
  <c r="J42" i="284"/>
  <c r="J44" i="284"/>
  <c r="J45" i="284"/>
  <c r="J46" i="284"/>
  <c r="J47" i="284"/>
  <c r="J48" i="284"/>
  <c r="J49" i="284"/>
  <c r="J50" i="284"/>
  <c r="J51" i="284"/>
  <c r="J52" i="284"/>
  <c r="J53" i="284"/>
  <c r="L4" i="284"/>
  <c r="T15" i="258"/>
  <c r="L15" i="258"/>
  <c r="Q113" i="258"/>
  <c r="Q114" i="258"/>
  <c r="Q115" i="258"/>
  <c r="Q105" i="258"/>
  <c r="Q106" i="258"/>
  <c r="Q107" i="258"/>
  <c r="Q108" i="258"/>
  <c r="Q109" i="258"/>
  <c r="Q110" i="258"/>
  <c r="Q111" i="258"/>
  <c r="Q112" i="258"/>
  <c r="Q100" i="258"/>
  <c r="Q101" i="258"/>
  <c r="Q102" i="258"/>
  <c r="Q103" i="258"/>
  <c r="Q104" i="258"/>
  <c r="Q68" i="258"/>
  <c r="Q69" i="258"/>
  <c r="Q70" i="258"/>
  <c r="Q71" i="258"/>
  <c r="Q72" i="258"/>
  <c r="Q73" i="258"/>
  <c r="Q74" i="258"/>
  <c r="Q75" i="258"/>
  <c r="Q76" i="258"/>
  <c r="Q77" i="258"/>
  <c r="Q78" i="258"/>
  <c r="Q79" i="258"/>
  <c r="Q80" i="258"/>
  <c r="Q81" i="258"/>
  <c r="Q82" i="258"/>
  <c r="Q83" i="258"/>
  <c r="Q84" i="258"/>
  <c r="Q85" i="258"/>
  <c r="Q86" i="258"/>
  <c r="Q87" i="258"/>
  <c r="Q88" i="258"/>
  <c r="Q89" i="258"/>
  <c r="Q90" i="258"/>
  <c r="Q91" i="258"/>
  <c r="Q92" i="258"/>
  <c r="Q93" i="258"/>
  <c r="Q94" i="258"/>
  <c r="Q95" i="258"/>
  <c r="Q96" i="258"/>
  <c r="Q97" i="258"/>
  <c r="Q98" i="258"/>
  <c r="Q99" i="258"/>
  <c r="Q67" i="258"/>
  <c r="Q66" i="258"/>
  <c r="M4" i="284"/>
  <c r="M37" i="284"/>
  <c r="M14" i="284"/>
  <c r="R35" i="284"/>
  <c r="R12" i="284"/>
  <c r="M39" i="284"/>
  <c r="M25" i="284"/>
  <c r="R36" i="284"/>
  <c r="M16" i="284"/>
  <c r="M33" i="284"/>
  <c r="R9" i="284"/>
  <c r="M27" i="284"/>
  <c r="R52" i="284"/>
  <c r="M36" i="284"/>
  <c r="R27" i="284"/>
  <c r="M12" i="284"/>
  <c r="R20" i="284"/>
  <c r="M13" i="284"/>
  <c r="M6" i="284"/>
  <c r="R16" i="284"/>
  <c r="M35" i="284"/>
  <c r="M32" i="284"/>
  <c r="R41" i="284"/>
  <c r="R40" i="284"/>
  <c r="M8" i="284"/>
  <c r="M7" i="284"/>
  <c r="R38" i="284"/>
  <c r="M15" i="284"/>
  <c r="M23" i="284"/>
  <c r="R32" i="284"/>
  <c r="M43" i="284"/>
  <c r="R26" i="284"/>
  <c r="M20" i="284"/>
  <c r="R33" i="284"/>
  <c r="M41" i="284"/>
  <c r="R10" i="284"/>
  <c r="R25" i="284"/>
  <c r="M40" i="284"/>
  <c r="M26" i="284"/>
  <c r="M9" i="284"/>
  <c r="R53" i="284"/>
  <c r="R23" i="284"/>
  <c r="R15" i="284"/>
  <c r="R34" i="284"/>
  <c r="R39" i="284"/>
  <c r="R7" i="284"/>
  <c r="R8" i="284"/>
  <c r="R43" i="284"/>
  <c r="R4" i="284"/>
  <c r="R37" i="284"/>
  <c r="M34" i="284"/>
  <c r="M11" i="284"/>
  <c r="M38" i="284"/>
  <c r="R6" i="284"/>
  <c r="K27" i="289" l="1"/>
  <c r="J27" i="289" s="1"/>
  <c r="R54" i="284"/>
  <c r="A2" i="15"/>
  <c r="M54" i="284"/>
  <c r="A1" i="15"/>
  <c r="K45" i="289" l="1"/>
  <c r="J45" i="289" s="1"/>
  <c r="E45" i="289"/>
  <c r="E8" i="289"/>
  <c r="K37" i="289" l="1"/>
  <c r="J37" i="289" s="1"/>
  <c r="E37" i="289"/>
  <c r="F45" i="289"/>
  <c r="D45" i="289"/>
  <c r="K38" i="289"/>
  <c r="J38" i="289" s="1"/>
  <c r="E38" i="289"/>
  <c r="F8" i="289"/>
  <c r="D8" i="289"/>
  <c r="K8" i="289"/>
  <c r="E39" i="289"/>
  <c r="G8" i="289"/>
  <c r="G45" i="289"/>
  <c r="F38" i="289" l="1"/>
  <c r="D38" i="289"/>
  <c r="D39" i="289"/>
  <c r="F39" i="289"/>
  <c r="F37" i="289"/>
  <c r="D37" i="289"/>
  <c r="J8" i="289"/>
  <c r="E29" i="289"/>
  <c r="E27" i="289"/>
  <c r="E12" i="289"/>
  <c r="G39" i="289"/>
  <c r="G37" i="289"/>
  <c r="H8" i="289"/>
  <c r="H45" i="289"/>
  <c r="G38" i="289"/>
  <c r="F29" i="289" l="1"/>
  <c r="D29" i="289"/>
  <c r="D27" i="289"/>
  <c r="F27" i="289"/>
  <c r="F12" i="289"/>
  <c r="D12" i="289"/>
  <c r="G12" i="289"/>
  <c r="H38" i="289"/>
  <c r="G29" i="289"/>
  <c r="H39" i="289"/>
  <c r="G27" i="289"/>
  <c r="H37" i="289"/>
  <c r="K36" i="289" l="1"/>
  <c r="E36" i="289"/>
  <c r="H12" i="289"/>
  <c r="H29" i="289"/>
  <c r="H27" i="289"/>
  <c r="F36" i="289" l="1"/>
  <c r="D36" i="289"/>
  <c r="J36" i="289"/>
  <c r="K208" i="289"/>
  <c r="G36" i="289"/>
  <c r="J208" i="289" l="1"/>
  <c r="E14" i="289"/>
  <c r="H36" i="289"/>
  <c r="F14" i="289" l="1"/>
  <c r="D14" i="289"/>
  <c r="E16" i="289"/>
  <c r="E11" i="289"/>
  <c r="G14" i="289"/>
  <c r="D11" i="289" l="1"/>
  <c r="F11" i="289"/>
  <c r="E208" i="289"/>
  <c r="D16" i="289"/>
  <c r="F16" i="289"/>
  <c r="S15" i="258"/>
  <c r="G11" i="289"/>
  <c r="H14" i="289"/>
  <c r="G16" i="289"/>
  <c r="F208" i="289" l="1"/>
  <c r="D208" i="289"/>
  <c r="K15" i="258"/>
  <c r="AC15" i="258"/>
  <c r="Z15" i="258"/>
  <c r="Q65" i="258"/>
  <c r="Q64" i="258"/>
  <c r="Q63" i="258"/>
  <c r="Q62" i="258"/>
  <c r="Q61" i="258"/>
  <c r="Q60" i="258"/>
  <c r="Q59" i="258"/>
  <c r="Q58" i="258"/>
  <c r="Q57" i="258"/>
  <c r="Q56" i="258"/>
  <c r="Q55" i="258"/>
  <c r="Q54" i="258"/>
  <c r="Q53" i="258"/>
  <c r="Q52" i="258"/>
  <c r="Q51" i="258"/>
  <c r="Q50" i="258"/>
  <c r="Q49" i="258"/>
  <c r="Q48" i="258"/>
  <c r="Q47" i="258"/>
  <c r="Q46" i="258"/>
  <c r="Q45" i="258"/>
  <c r="Q44" i="258"/>
  <c r="Q43" i="258"/>
  <c r="Q42" i="258"/>
  <c r="Q41" i="258"/>
  <c r="Q40" i="258"/>
  <c r="Q39" i="258"/>
  <c r="Q38" i="258"/>
  <c r="Q37" i="258"/>
  <c r="Q36" i="258"/>
  <c r="Q35" i="258"/>
  <c r="Q34" i="258"/>
  <c r="Q33" i="258"/>
  <c r="Q32" i="258"/>
  <c r="Q31" i="258"/>
  <c r="Q30" i="258"/>
  <c r="Q29" i="258"/>
  <c r="Q28" i="258"/>
  <c r="Q27" i="258"/>
  <c r="Q26" i="258"/>
  <c r="Q25" i="258"/>
  <c r="Q24" i="258"/>
  <c r="Q23" i="258"/>
  <c r="Q22" i="258"/>
  <c r="Q21" i="258"/>
  <c r="Q20" i="258"/>
  <c r="Q19" i="258"/>
  <c r="Q17" i="258"/>
  <c r="Q18" i="258"/>
  <c r="Q16" i="258"/>
  <c r="H11" i="289"/>
  <c r="H16" i="289"/>
  <c r="H208" i="289" l="1"/>
  <c r="E9" i="258" s="1"/>
  <c r="V7" i="2"/>
  <c r="U7" i="2"/>
  <c r="T7" i="2"/>
  <c r="S7" i="2"/>
  <c r="R7" i="2"/>
  <c r="V6" i="2"/>
  <c r="U6" i="2"/>
  <c r="T6" i="2"/>
  <c r="S6" i="2"/>
  <c r="R6" i="2"/>
  <c r="V5" i="2"/>
  <c r="U5" i="2"/>
  <c r="T5" i="2"/>
  <c r="S5" i="2"/>
  <c r="R5" i="2"/>
  <c r="V4" i="2"/>
  <c r="U4" i="2"/>
  <c r="T4" i="2"/>
  <c r="S4" i="2"/>
  <c r="R4" i="2"/>
  <c r="V3" i="2"/>
  <c r="U3" i="2"/>
  <c r="T3" i="2"/>
  <c r="S3" i="2"/>
  <c r="R3" i="2"/>
  <c r="I10" i="258" l="1"/>
  <c r="I9" i="258"/>
  <c r="I11" i="258" l="1"/>
  <c r="K5" i="68" l="1"/>
  <c r="AI159" i="3" l="1"/>
  <c r="AI152" i="3"/>
  <c r="AI153" i="3"/>
  <c r="AI154" i="3"/>
  <c r="AI155" i="3"/>
  <c r="AI156" i="3"/>
  <c r="AI157" i="3"/>
  <c r="AI158" i="3"/>
  <c r="C6" i="68" l="1"/>
  <c r="AI150" i="3" l="1"/>
  <c r="AI98" i="3" l="1"/>
  <c r="AI151" i="3" l="1"/>
  <c r="AI149" i="3"/>
  <c r="AI148" i="3"/>
  <c r="AI147" i="3"/>
  <c r="AI146" i="3"/>
  <c r="AI145" i="3"/>
  <c r="AI144" i="3"/>
  <c r="AI143" i="3"/>
  <c r="AI142" i="3"/>
  <c r="AI141" i="3"/>
  <c r="AI140" i="3"/>
  <c r="AI139" i="3"/>
  <c r="AI138" i="3"/>
  <c r="AI137" i="3"/>
  <c r="AI136" i="3"/>
  <c r="AI135" i="3"/>
  <c r="AI134" i="3"/>
  <c r="AI133" i="3"/>
  <c r="AI132" i="3"/>
  <c r="AI131" i="3"/>
  <c r="AI130" i="3"/>
  <c r="AI129" i="3"/>
  <c r="AI128" i="3"/>
  <c r="AI127" i="3"/>
  <c r="AI126" i="3"/>
  <c r="AI125" i="3"/>
  <c r="AI124" i="3"/>
  <c r="AI123" i="3"/>
  <c r="AI122" i="3"/>
  <c r="AI121" i="3"/>
  <c r="AI120" i="3"/>
  <c r="AI119" i="3"/>
  <c r="AI118" i="3"/>
  <c r="AI117" i="3"/>
  <c r="AI116" i="3"/>
  <c r="AI115" i="3"/>
  <c r="AI114" i="3"/>
  <c r="AI113" i="3"/>
  <c r="AI112" i="3"/>
  <c r="AI111" i="3"/>
  <c r="AI110" i="3"/>
  <c r="AI109" i="3"/>
  <c r="AI108" i="3"/>
  <c r="AI107" i="3"/>
  <c r="AI106" i="3"/>
  <c r="AI105" i="3"/>
  <c r="AI104" i="3"/>
  <c r="AI103" i="3"/>
  <c r="AI102" i="3"/>
  <c r="AI101" i="3"/>
  <c r="AI100" i="3"/>
  <c r="AI99" i="3"/>
  <c r="AI97" i="3"/>
  <c r="AI96" i="3"/>
  <c r="AI95" i="3"/>
  <c r="AI94" i="3"/>
  <c r="AI93" i="3"/>
  <c r="AI92" i="3"/>
  <c r="AI91" i="3"/>
  <c r="AI90" i="3"/>
  <c r="AI89" i="3"/>
  <c r="AI88" i="3"/>
  <c r="AI87" i="3"/>
  <c r="AI86" i="3"/>
  <c r="AI85" i="3"/>
  <c r="AI84" i="3"/>
  <c r="AI83" i="3"/>
  <c r="AI82" i="3"/>
  <c r="AI81" i="3"/>
  <c r="AI80" i="3"/>
  <c r="AI79" i="3"/>
  <c r="AI78" i="3"/>
  <c r="AI77" i="3"/>
  <c r="AI76" i="3"/>
  <c r="AI75" i="3"/>
  <c r="AI74" i="3"/>
  <c r="AI73" i="3"/>
  <c r="AI72" i="3"/>
  <c r="AI71" i="3"/>
  <c r="AI70" i="3"/>
  <c r="AI69" i="3"/>
  <c r="AI68" i="3"/>
  <c r="AI67" i="3"/>
  <c r="AI66" i="3"/>
  <c r="AI65" i="3"/>
  <c r="AI64" i="3"/>
  <c r="AI63" i="3"/>
  <c r="AI62" i="3"/>
  <c r="AI61" i="3"/>
  <c r="AI60" i="3"/>
  <c r="AI59" i="3"/>
  <c r="AI58" i="3"/>
  <c r="AI57" i="3"/>
  <c r="AI56" i="3"/>
  <c r="AI55" i="3"/>
  <c r="AI54" i="3"/>
  <c r="AI53" i="3"/>
  <c r="AI52" i="3"/>
  <c r="AI51" i="3"/>
  <c r="AI50" i="3"/>
  <c r="AI49" i="3"/>
  <c r="AI48" i="3"/>
  <c r="AI47" i="3"/>
  <c r="AI46" i="3"/>
  <c r="AI45" i="3"/>
  <c r="AC77" i="68" l="1"/>
  <c r="AC79" i="68"/>
  <c r="AC73" i="68" l="1"/>
  <c r="AC84" i="68"/>
  <c r="AC76" i="68"/>
  <c r="AC81" i="68"/>
  <c r="AC105" i="68"/>
  <c r="AC104" i="68"/>
  <c r="AC83" i="68"/>
  <c r="AC78" i="68"/>
  <c r="AC80" i="68"/>
  <c r="AC106" i="68"/>
  <c r="AC108" i="68"/>
  <c r="AC107" i="68"/>
  <c r="AC82" i="68"/>
  <c r="AC98" i="68"/>
  <c r="AC74" i="68"/>
  <c r="AC86" i="68"/>
  <c r="AC96" i="68"/>
  <c r="AD96" i="68" s="1"/>
  <c r="AC90" i="68"/>
  <c r="AC95" i="68"/>
  <c r="AD95" i="68" s="1"/>
  <c r="AC97" i="68"/>
  <c r="AD97" i="68" s="1"/>
  <c r="AC94" i="68"/>
  <c r="AD94" i="68" s="1"/>
  <c r="AC92" i="68"/>
  <c r="AD92" i="68" s="1"/>
  <c r="AC88" i="68"/>
  <c r="AC89" i="68"/>
  <c r="AC103" i="68"/>
  <c r="AC93" i="68"/>
  <c r="AD93" i="68" s="1"/>
  <c r="AC99" i="68"/>
  <c r="AC100" i="68"/>
  <c r="AC102" i="68"/>
  <c r="AC87" i="68"/>
  <c r="AC101" i="68"/>
  <c r="AC91" i="68"/>
  <c r="AC75" i="68" l="1"/>
  <c r="AC72" i="68"/>
  <c r="AC85" i="68" s="1"/>
  <c r="AC7" i="2"/>
  <c r="AC6" i="2"/>
  <c r="AC5" i="2"/>
  <c r="AC4" i="2"/>
  <c r="AC3" i="2"/>
  <c r="AD7" i="2"/>
  <c r="AD6" i="2"/>
  <c r="AD5" i="2"/>
  <c r="AD4" i="2"/>
  <c r="AD3" i="2"/>
  <c r="AF3" i="2"/>
  <c r="AG3" i="2"/>
  <c r="AF4" i="2"/>
  <c r="AG4" i="2"/>
  <c r="AF5" i="2"/>
  <c r="AG5" i="2"/>
  <c r="AF6" i="2"/>
  <c r="AG6" i="2"/>
  <c r="AF7" i="2"/>
  <c r="AG7" i="2"/>
  <c r="AE3" i="2"/>
  <c r="AE4" i="2"/>
  <c r="AE5" i="2"/>
  <c r="AE6" i="2"/>
  <c r="AE7" i="2"/>
  <c r="O17" i="2" l="1"/>
  <c r="O18" i="2"/>
  <c r="O19" i="2"/>
  <c r="O20" i="2"/>
  <c r="O21" i="2"/>
  <c r="O22" i="2"/>
  <c r="O23" i="2"/>
  <c r="O24" i="2"/>
  <c r="O25" i="2"/>
  <c r="O26" i="2"/>
  <c r="O27" i="2"/>
  <c r="O28" i="2"/>
  <c r="O29" i="2"/>
  <c r="O30" i="2"/>
  <c r="O31" i="2"/>
  <c r="O32" i="2"/>
  <c r="O33" i="2"/>
  <c r="O34" i="2"/>
  <c r="O35" i="2"/>
  <c r="O36" i="2"/>
  <c r="O37" i="2"/>
  <c r="O38" i="2"/>
  <c r="O39" i="2"/>
  <c r="O40" i="2"/>
  <c r="O16" i="2"/>
  <c r="AB15" i="258"/>
  <c r="L18" i="289" l="1"/>
  <c r="L28" i="289"/>
  <c r="L37" i="289"/>
  <c r="L46" i="289"/>
  <c r="L55" i="289"/>
  <c r="L64" i="289"/>
  <c r="L73" i="289"/>
  <c r="L82" i="289"/>
  <c r="L130" i="289"/>
  <c r="L139" i="289"/>
  <c r="L148" i="289"/>
  <c r="L157" i="289"/>
  <c r="L176" i="289"/>
  <c r="L194" i="289"/>
  <c r="L10" i="289"/>
  <c r="L19" i="289"/>
  <c r="L29" i="289"/>
  <c r="L38" i="289"/>
  <c r="L47" i="289"/>
  <c r="L56" i="289"/>
  <c r="L65" i="289"/>
  <c r="L74" i="289"/>
  <c r="L83" i="289"/>
  <c r="L93" i="289"/>
  <c r="L102" i="289"/>
  <c r="L112" i="289"/>
  <c r="L122" i="289"/>
  <c r="L131" i="289"/>
  <c r="L140" i="289"/>
  <c r="L149" i="289"/>
  <c r="L158" i="289"/>
  <c r="L168" i="289"/>
  <c r="L177" i="289"/>
  <c r="L186" i="289"/>
  <c r="L195" i="289"/>
  <c r="L204" i="289"/>
  <c r="L11" i="289"/>
  <c r="L21" i="289"/>
  <c r="L30" i="289"/>
  <c r="L39" i="289"/>
  <c r="L48" i="289"/>
  <c r="L58" i="289"/>
  <c r="L66" i="289"/>
  <c r="L75" i="289"/>
  <c r="L85" i="289"/>
  <c r="L94" i="289"/>
  <c r="L103" i="289"/>
  <c r="L113" i="289"/>
  <c r="L123" i="289"/>
  <c r="L132" i="289"/>
  <c r="L141" i="289"/>
  <c r="L150" i="289"/>
  <c r="L160" i="289"/>
  <c r="L169" i="289"/>
  <c r="L178" i="289"/>
  <c r="L187" i="289"/>
  <c r="L196" i="289"/>
  <c r="L205" i="289"/>
  <c r="L34" i="289"/>
  <c r="L79" i="289"/>
  <c r="L97" i="289"/>
  <c r="L126" i="289"/>
  <c r="L154" i="289"/>
  <c r="L172" i="289"/>
  <c r="L200" i="289"/>
  <c r="L91" i="289"/>
  <c r="L12" i="289"/>
  <c r="L22" i="289"/>
  <c r="L31" i="289"/>
  <c r="L40" i="289"/>
  <c r="L50" i="289"/>
  <c r="L59" i="289"/>
  <c r="L67" i="289"/>
  <c r="L77" i="289"/>
  <c r="L86" i="289"/>
  <c r="L95" i="289"/>
  <c r="L104" i="289"/>
  <c r="L114" i="289"/>
  <c r="L124" i="289"/>
  <c r="L133" i="289"/>
  <c r="L142" i="289"/>
  <c r="L152" i="289"/>
  <c r="L161" i="289"/>
  <c r="L170" i="289"/>
  <c r="L179" i="289"/>
  <c r="L188" i="289"/>
  <c r="L197" i="289"/>
  <c r="L206" i="289"/>
  <c r="L14" i="289"/>
  <c r="L43" i="289"/>
  <c r="L52" i="289"/>
  <c r="L61" i="289"/>
  <c r="L70" i="289"/>
  <c r="L88" i="289"/>
  <c r="L106" i="289"/>
  <c r="L117" i="289"/>
  <c r="L145" i="289"/>
  <c r="L163" i="289"/>
  <c r="L181" i="289"/>
  <c r="L101" i="289"/>
  <c r="L185" i="289"/>
  <c r="L13" i="289"/>
  <c r="L23" i="289"/>
  <c r="L32" i="289"/>
  <c r="L42" i="289"/>
  <c r="L51" i="289"/>
  <c r="L60" i="289"/>
  <c r="L69" i="289"/>
  <c r="L78" i="289"/>
  <c r="L87" i="289"/>
  <c r="L96" i="289"/>
  <c r="L105" i="289"/>
  <c r="L115" i="289"/>
  <c r="L125" i="289"/>
  <c r="L134" i="289"/>
  <c r="L144" i="289"/>
  <c r="L153" i="289"/>
  <c r="L162" i="289"/>
  <c r="L171" i="289"/>
  <c r="L180" i="289"/>
  <c r="L189" i="289"/>
  <c r="L198" i="289"/>
  <c r="L24" i="289"/>
  <c r="L136" i="289"/>
  <c r="L190" i="289"/>
  <c r="L121" i="289"/>
  <c r="L15" i="289"/>
  <c r="L26" i="289"/>
  <c r="L35" i="289"/>
  <c r="L44" i="289"/>
  <c r="L53" i="289"/>
  <c r="L62" i="289"/>
  <c r="L71" i="289"/>
  <c r="L80" i="289"/>
  <c r="L89" i="289"/>
  <c r="L98" i="289"/>
  <c r="L107" i="289"/>
  <c r="L118" i="289"/>
  <c r="L128" i="289"/>
  <c r="L137" i="289"/>
  <c r="L146" i="289"/>
  <c r="L155" i="289"/>
  <c r="L164" i="289"/>
  <c r="L173" i="289"/>
  <c r="L182" i="289"/>
  <c r="L192" i="289"/>
  <c r="L201" i="289"/>
  <c r="L16" i="289"/>
  <c r="L27" i="289"/>
  <c r="L36" i="289"/>
  <c r="L45" i="289"/>
  <c r="L54" i="289"/>
  <c r="L63" i="289"/>
  <c r="L72" i="289"/>
  <c r="L81" i="289"/>
  <c r="L90" i="289"/>
  <c r="L99" i="289"/>
  <c r="L109" i="289"/>
  <c r="L120" i="289"/>
  <c r="L129" i="289"/>
  <c r="L138" i="289"/>
  <c r="L147" i="289"/>
  <c r="L156" i="289"/>
  <c r="L165" i="289"/>
  <c r="L174" i="289"/>
  <c r="L184" i="289"/>
  <c r="L193" i="289"/>
  <c r="L202" i="289"/>
  <c r="L110" i="289"/>
  <c r="L166" i="289"/>
  <c r="L203" i="289"/>
  <c r="L183" i="289"/>
  <c r="L119" i="289"/>
  <c r="L68" i="289"/>
  <c r="L9" i="289"/>
  <c r="L175" i="289"/>
  <c r="L111" i="289"/>
  <c r="L20" i="289"/>
  <c r="L167" i="289"/>
  <c r="L116" i="289"/>
  <c r="L57" i="289"/>
  <c r="L159" i="289"/>
  <c r="L108" i="289"/>
  <c r="L49" i="289"/>
  <c r="L76" i="289"/>
  <c r="L151" i="289"/>
  <c r="L100" i="289"/>
  <c r="L41" i="289"/>
  <c r="L207" i="289"/>
  <c r="L143" i="289"/>
  <c r="L92" i="289"/>
  <c r="L33" i="289"/>
  <c r="L199" i="289"/>
  <c r="L135" i="289"/>
  <c r="L84" i="289"/>
  <c r="L25" i="289"/>
  <c r="L191" i="289"/>
  <c r="L8" i="289"/>
  <c r="M121" i="289"/>
  <c r="M189" i="289"/>
  <c r="M164" i="289"/>
  <c r="M15" i="289"/>
  <c r="M25" i="289"/>
  <c r="M10" i="289"/>
  <c r="M55" i="289"/>
  <c r="M173" i="289"/>
  <c r="M122" i="289"/>
  <c r="M145" i="289"/>
  <c r="M142" i="289"/>
  <c r="M158" i="289"/>
  <c r="M197" i="289"/>
  <c r="M86" i="289"/>
  <c r="M101" i="289"/>
  <c r="M143" i="289"/>
  <c r="M198" i="289"/>
  <c r="M19" i="289"/>
  <c r="M85" i="289"/>
  <c r="M36" i="289"/>
  <c r="M184" i="289"/>
  <c r="M119" i="289"/>
  <c r="M11" i="289"/>
  <c r="M120" i="289"/>
  <c r="M67" i="289"/>
  <c r="M29" i="289"/>
  <c r="M46" i="289"/>
  <c r="M107" i="289"/>
  <c r="M87" i="289"/>
  <c r="M133" i="289"/>
  <c r="M157" i="289"/>
  <c r="M12" i="289"/>
  <c r="M60" i="289"/>
  <c r="M21" i="289"/>
  <c r="M134" i="289"/>
  <c r="M90" i="289"/>
  <c r="M93" i="289"/>
  <c r="M104" i="289"/>
  <c r="M110" i="289"/>
  <c r="M124" i="289"/>
  <c r="M64" i="289"/>
  <c r="M102" i="289"/>
  <c r="M50" i="289"/>
  <c r="M199" i="289"/>
  <c r="M155" i="289"/>
  <c r="M43" i="289"/>
  <c r="M117" i="289"/>
  <c r="M203" i="289"/>
  <c r="M111" i="289"/>
  <c r="M8" i="289"/>
  <c r="M138" i="289"/>
  <c r="M44" i="289"/>
  <c r="M28" i="289"/>
  <c r="M33" i="289"/>
  <c r="M162" i="289"/>
  <c r="M159" i="289"/>
  <c r="M141" i="289"/>
  <c r="M154" i="289"/>
  <c r="M109" i="289"/>
  <c r="M128" i="289"/>
  <c r="M146" i="289"/>
  <c r="M183" i="289"/>
  <c r="M181" i="289"/>
  <c r="M37" i="289"/>
  <c r="M62" i="289"/>
  <c r="M72" i="289"/>
  <c r="M45" i="289"/>
  <c r="M81" i="289"/>
  <c r="M54" i="289"/>
  <c r="M176" i="289"/>
  <c r="M42" i="289"/>
  <c r="M193" i="289"/>
  <c r="M68" i="289"/>
  <c r="M108" i="289"/>
  <c r="M135" i="289"/>
  <c r="M53" i="289"/>
  <c r="M171" i="289"/>
  <c r="M172" i="289"/>
  <c r="M196" i="289"/>
  <c r="M92" i="289"/>
  <c r="M125" i="289"/>
  <c r="M95" i="289"/>
  <c r="M180" i="289"/>
  <c r="M51" i="289"/>
  <c r="M65" i="289"/>
  <c r="M161" i="289"/>
  <c r="M187" i="289"/>
  <c r="M22" i="289"/>
  <c r="M75" i="289"/>
  <c r="M71" i="289"/>
  <c r="M188" i="289"/>
  <c r="M169" i="289"/>
  <c r="M201" i="289"/>
  <c r="M98" i="289"/>
  <c r="M105" i="289"/>
  <c r="M202" i="289"/>
  <c r="M191" i="289"/>
  <c r="M192" i="289"/>
  <c r="M200" i="289"/>
  <c r="M160" i="289"/>
  <c r="M152" i="289"/>
  <c r="M77" i="289"/>
  <c r="M74" i="289"/>
  <c r="M9" i="289"/>
  <c r="M115" i="289"/>
  <c r="M174" i="289"/>
  <c r="M47" i="289"/>
  <c r="M40" i="289"/>
  <c r="M59" i="289"/>
  <c r="M76" i="289"/>
  <c r="M149" i="289"/>
  <c r="M195" i="289"/>
  <c r="M100" i="289"/>
  <c r="M113" i="289"/>
  <c r="M129" i="289"/>
  <c r="M38" i="289"/>
  <c r="M78" i="289"/>
  <c r="M32" i="289"/>
  <c r="M88" i="289"/>
  <c r="M194" i="289"/>
  <c r="M140" i="289"/>
  <c r="M83" i="289"/>
  <c r="M30" i="289"/>
  <c r="M20" i="289"/>
  <c r="M96" i="289"/>
  <c r="M34" i="289"/>
  <c r="M139" i="289"/>
  <c r="M147" i="289"/>
  <c r="M137" i="289"/>
  <c r="M178" i="289"/>
  <c r="M148" i="289"/>
  <c r="M190" i="289"/>
  <c r="M97" i="289"/>
  <c r="M118" i="289"/>
  <c r="M13" i="289"/>
  <c r="M136" i="289"/>
  <c r="M91" i="289"/>
  <c r="M66" i="289"/>
  <c r="M175" i="289"/>
  <c r="M82" i="289"/>
  <c r="M31" i="289"/>
  <c r="M170" i="289"/>
  <c r="M144" i="289"/>
  <c r="M182" i="289"/>
  <c r="M61" i="289"/>
  <c r="M26" i="289"/>
  <c r="M16" i="289"/>
  <c r="M80" i="289"/>
  <c r="M123" i="289"/>
  <c r="M84" i="289"/>
  <c r="M156" i="289"/>
  <c r="M35" i="289"/>
  <c r="M206" i="289"/>
  <c r="M186" i="289"/>
  <c r="M179" i="289"/>
  <c r="M132" i="289"/>
  <c r="M106" i="289"/>
  <c r="M130" i="289"/>
  <c r="M89" i="289"/>
  <c r="M79" i="289"/>
  <c r="M27" i="289"/>
  <c r="M168" i="289"/>
  <c r="M63" i="289"/>
  <c r="M204" i="289"/>
  <c r="M24" i="289"/>
  <c r="M39" i="289"/>
  <c r="M58" i="289"/>
  <c r="M177" i="289"/>
  <c r="M112" i="289"/>
  <c r="M49" i="289"/>
  <c r="M99" i="289"/>
  <c r="M165" i="289"/>
  <c r="M48" i="289"/>
  <c r="M52" i="289"/>
  <c r="M151" i="289"/>
  <c r="M23" i="289"/>
  <c r="M131" i="289"/>
  <c r="M207" i="289"/>
  <c r="M150" i="289"/>
  <c r="M205" i="289"/>
  <c r="M167" i="289"/>
  <c r="M185" i="289"/>
  <c r="M69" i="289"/>
  <c r="M14" i="289"/>
  <c r="M73" i="289"/>
  <c r="M103" i="289"/>
  <c r="M166" i="289"/>
  <c r="M70" i="289"/>
  <c r="M57" i="289"/>
  <c r="M116" i="289"/>
  <c r="M18" i="289"/>
  <c r="M114" i="289"/>
  <c r="M41" i="289"/>
  <c r="M153" i="289"/>
  <c r="M163" i="289"/>
  <c r="M56" i="289"/>
  <c r="M94" i="289"/>
  <c r="M126" i="289"/>
  <c r="L127" i="289" l="1"/>
  <c r="L17" i="289"/>
  <c r="N37" i="289"/>
  <c r="N13" i="289"/>
  <c r="N151" i="289"/>
  <c r="N124" i="289"/>
  <c r="N114" i="289"/>
  <c r="N8" i="289"/>
  <c r="N105" i="289"/>
  <c r="N52" i="289"/>
  <c r="N190" i="289"/>
  <c r="N29" i="289"/>
  <c r="N117" i="289"/>
  <c r="N203" i="289"/>
  <c r="N188" i="289"/>
  <c r="N86" i="289"/>
  <c r="N98" i="289"/>
  <c r="N85" i="289"/>
  <c r="N46" i="289"/>
  <c r="N25" i="289"/>
  <c r="N126" i="289"/>
  <c r="N182" i="289"/>
  <c r="N106" i="289"/>
  <c r="N201" i="289"/>
  <c r="N144" i="289"/>
  <c r="N91" i="289"/>
  <c r="N207" i="289"/>
  <c r="N84" i="289"/>
  <c r="N60" i="289"/>
  <c r="N78" i="289"/>
  <c r="N159" i="289"/>
  <c r="N132" i="289"/>
  <c r="N89" i="289"/>
  <c r="N133" i="289"/>
  <c r="N206" i="289"/>
  <c r="N30" i="289"/>
  <c r="N75" i="289"/>
  <c r="N88" i="289"/>
  <c r="N150" i="289"/>
  <c r="N15" i="289"/>
  <c r="N65" i="289"/>
  <c r="N139" i="289"/>
  <c r="N197" i="289"/>
  <c r="N28" i="289"/>
  <c r="N145" i="289"/>
  <c r="N90" i="289"/>
  <c r="N34" i="289"/>
  <c r="N187" i="289"/>
  <c r="N146" i="289"/>
  <c r="N202" i="289"/>
  <c r="N68" i="289"/>
  <c r="N138" i="289"/>
  <c r="N154" i="289"/>
  <c r="N116" i="289"/>
  <c r="N41" i="289"/>
  <c r="N76" i="289"/>
  <c r="N26" i="289"/>
  <c r="N143" i="289"/>
  <c r="N155" i="289"/>
  <c r="N38" i="289"/>
  <c r="N14" i="289"/>
  <c r="N45" i="289"/>
  <c r="N92" i="289"/>
  <c r="N196" i="289"/>
  <c r="N194" i="289"/>
  <c r="N157" i="289"/>
  <c r="N170" i="289"/>
  <c r="N204" i="289"/>
  <c r="N120" i="289"/>
  <c r="N175" i="289"/>
  <c r="N82" i="289"/>
  <c r="N70" i="289"/>
  <c r="N134" i="289"/>
  <c r="N112" i="289"/>
  <c r="N161" i="289"/>
  <c r="N169" i="289"/>
  <c r="N93" i="289"/>
  <c r="N136" i="289"/>
  <c r="N56" i="289"/>
  <c r="N16" i="289"/>
  <c r="N173" i="289"/>
  <c r="N54" i="289"/>
  <c r="N47" i="289"/>
  <c r="N140" i="289"/>
  <c r="N168" i="289"/>
  <c r="N177" i="289"/>
  <c r="N27" i="289"/>
  <c r="N118" i="289"/>
  <c r="N49" i="289"/>
  <c r="N172" i="289"/>
  <c r="N40" i="289"/>
  <c r="N191" i="289"/>
  <c r="N32" i="289"/>
  <c r="N176" i="289"/>
  <c r="N33" i="289"/>
  <c r="N113" i="289"/>
  <c r="N36" i="289"/>
  <c r="N73" i="289"/>
  <c r="N147" i="289"/>
  <c r="N62" i="289"/>
  <c r="N50" i="289"/>
  <c r="N125" i="289"/>
  <c r="N193" i="289"/>
  <c r="N164" i="289"/>
  <c r="N20" i="289"/>
  <c r="N59" i="289"/>
  <c r="N44" i="289"/>
  <c r="N96" i="289"/>
  <c r="N180" i="289"/>
  <c r="N195" i="289"/>
  <c r="N10" i="289"/>
  <c r="N165" i="289"/>
  <c r="N99" i="289"/>
  <c r="N135" i="289"/>
  <c r="N121" i="289"/>
  <c r="N115" i="289"/>
  <c r="N43" i="289"/>
  <c r="N184" i="289"/>
  <c r="N71" i="289"/>
  <c r="N100" i="289"/>
  <c r="N198" i="289"/>
  <c r="N58" i="289"/>
  <c r="N108" i="289"/>
  <c r="N103" i="289"/>
  <c r="N31" i="289"/>
  <c r="N39" i="289"/>
  <c r="N178" i="289"/>
  <c r="N83" i="289"/>
  <c r="N95" i="289"/>
  <c r="N102" i="289"/>
  <c r="N123" i="289"/>
  <c r="N48" i="289"/>
  <c r="N35" i="289"/>
  <c r="M17" i="289"/>
  <c r="N67" i="289"/>
  <c r="N23" i="289"/>
  <c r="N163" i="289"/>
  <c r="N63" i="289"/>
  <c r="N205" i="289"/>
  <c r="N183" i="289"/>
  <c r="N158" i="289"/>
  <c r="N156" i="289"/>
  <c r="N171" i="289"/>
  <c r="N64" i="289"/>
  <c r="N87" i="289"/>
  <c r="N80" i="289"/>
  <c r="N189" i="289"/>
  <c r="N72" i="289"/>
  <c r="N162" i="289"/>
  <c r="N79" i="289"/>
  <c r="N21" i="289"/>
  <c r="N142" i="289"/>
  <c r="N192" i="289"/>
  <c r="N186" i="289"/>
  <c r="N74" i="289"/>
  <c r="N131" i="289"/>
  <c r="N77" i="289"/>
  <c r="M127" i="289"/>
  <c r="N22" i="289"/>
  <c r="N61" i="289"/>
  <c r="N128" i="289"/>
  <c r="N81" i="289"/>
  <c r="N130" i="289"/>
  <c r="N167" i="289"/>
  <c r="N141" i="289"/>
  <c r="N153" i="289"/>
  <c r="N148" i="289"/>
  <c r="N109" i="289"/>
  <c r="N69" i="289"/>
  <c r="N11" i="289"/>
  <c r="N181" i="289"/>
  <c r="N104" i="289"/>
  <c r="N12" i="289"/>
  <c r="N66" i="289"/>
  <c r="N101" i="289"/>
  <c r="N111" i="289"/>
  <c r="N174" i="289"/>
  <c r="N160" i="289"/>
  <c r="N185" i="289"/>
  <c r="N149" i="289"/>
  <c r="N24" i="289"/>
  <c r="N122" i="289"/>
  <c r="N97" i="289"/>
  <c r="N199" i="289"/>
  <c r="N94" i="289"/>
  <c r="N110" i="289"/>
  <c r="N42" i="289"/>
  <c r="N129" i="289"/>
  <c r="N179" i="289"/>
  <c r="N152" i="289"/>
  <c r="N53" i="289"/>
  <c r="N137" i="289"/>
  <c r="N18" i="289"/>
  <c r="N57" i="289"/>
  <c r="N107" i="289"/>
  <c r="N200" i="289"/>
  <c r="N119" i="289"/>
  <c r="N9" i="289"/>
  <c r="N55" i="289"/>
  <c r="N166" i="289"/>
  <c r="N51" i="289"/>
  <c r="N19" i="289"/>
  <c r="L208" i="289" l="1"/>
  <c r="Y15" i="258"/>
  <c r="N17" i="289"/>
  <c r="N127" i="289"/>
  <c r="N208" i="289" l="1"/>
  <c r="E10" i="258" s="1"/>
  <c r="E11" i="25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R218" authorId="0" shapeId="0" xr:uid="{68CD4489-0C00-4A32-A5D4-3B7320757D4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  Crane safety 
•  Excavation 
•  Mobile equipment 
•  Confined space 
•  Hazardous Materials Handling 
•  Exposure to chemicals 
•  Compressed gasses 
•  Flammable liquids 
•  Fall Protection 
•  Steel erection 
•  Cutting burning and welding 
•  Scaffolds 
•  Suspended workloads 
•  Temperature extremes 
•  Altitude 
•  Sources of Fumes 
•  Hydraulic systems 
•  Explosives 
•  Explosive Actuated tools 
•  Radiation 
•  Painting 
•  Rotating and moving parts 
•  Robotics 
•  Control of Hazardous Energy 
•  Rigging 
•  Ventilation 
•  Sanitary Facilities 
•  Fire and Evacuation Procedures 
•  Alarms, Sirens, Horns and Flashing Lights 
•  Restricted Area 
•  PPE 
•  Traffic patterns and speed 
•  Process hazards</t>
        </r>
      </text>
    </comment>
  </commentList>
</comments>
</file>

<file path=xl/sharedStrings.xml><?xml version="1.0" encoding="utf-8"?>
<sst xmlns="http://schemas.openxmlformats.org/spreadsheetml/2006/main" count="8374" uniqueCount="2104">
  <si>
    <t>1 - 10%</t>
  </si>
  <si>
    <t>10 - 25%</t>
  </si>
  <si>
    <t>25 - 50%</t>
  </si>
  <si>
    <t>50 - 90%</t>
  </si>
  <si>
    <t>90 - 100%</t>
  </si>
  <si>
    <t>Impact (Severity)</t>
  </si>
  <si>
    <t>VH</t>
  </si>
  <si>
    <t>H</t>
  </si>
  <si>
    <t>M</t>
  </si>
  <si>
    <t>L</t>
  </si>
  <si>
    <t>VL</t>
  </si>
  <si>
    <t>Probability (Likelihood)</t>
  </si>
  <si>
    <t>Phase Gate WBS Level 2 List</t>
  </si>
  <si>
    <t>Phase Gate Details</t>
  </si>
  <si>
    <t>Gate.0_Needs.Confirmation.RR.ABP</t>
  </si>
  <si>
    <t>Gate.1_Business.Case</t>
  </si>
  <si>
    <t>Gate.2_Delivery.Strategy.Tender.Preparation</t>
  </si>
  <si>
    <t>Gate.3_Investment.Decision.Procurement</t>
  </si>
  <si>
    <t>Gate.4_Readiness.For.Service.Construction</t>
  </si>
  <si>
    <t>Gate.5_Benefits.Realization.Operation</t>
  </si>
  <si>
    <t>Gate0_Needs.Confirmation.RR.ABP</t>
  </si>
  <si>
    <t>Gate1_Business.Case</t>
  </si>
  <si>
    <t>Gate2_Delivery.Strategy.Tender.Preparation</t>
  </si>
  <si>
    <t>Gate3_Investment.Decision.Procurement</t>
  </si>
  <si>
    <t>Gate4_Readiness.For.Service.Construction</t>
  </si>
  <si>
    <t>Gate5_ Benefits.Realization.Operation</t>
  </si>
  <si>
    <t>Feasibility Studies</t>
  </si>
  <si>
    <t>Engineering Cost</t>
  </si>
  <si>
    <t>Contract Development</t>
  </si>
  <si>
    <t>BAC Recommendation</t>
  </si>
  <si>
    <t>Backfill</t>
  </si>
  <si>
    <t>Benefits Audit</t>
  </si>
  <si>
    <t>AMP Projects and Systems Sizing</t>
  </si>
  <si>
    <t>Business Case Documentation</t>
  </si>
  <si>
    <t>Industrial Day</t>
  </si>
  <si>
    <t>Bid and Award Process</t>
  </si>
  <si>
    <t>Acceptance</t>
  </si>
  <si>
    <t>Benefits Realization Review</t>
  </si>
  <si>
    <t>Geotech</t>
  </si>
  <si>
    <t>Contractor Engagement</t>
  </si>
  <si>
    <t>Evaluation of Offers</t>
  </si>
  <si>
    <t>Basins &amp; Ponds</t>
  </si>
  <si>
    <t>Performance Metrics</t>
  </si>
  <si>
    <t>Concept Study</t>
  </si>
  <si>
    <t>Project Cost Approval</t>
  </si>
  <si>
    <t>Invitation of Bidders</t>
  </si>
  <si>
    <t>Submission of Bids</t>
  </si>
  <si>
    <t>Commissioning</t>
  </si>
  <si>
    <t>HOA Engagement</t>
  </si>
  <si>
    <t>Cost Estimate Final</t>
  </si>
  <si>
    <t>Instruction to Bidders</t>
  </si>
  <si>
    <t>Below ground services</t>
  </si>
  <si>
    <t>Review Declared Benefits</t>
  </si>
  <si>
    <t>Master Planning</t>
  </si>
  <si>
    <t>Scope Time Cost Firm up</t>
  </si>
  <si>
    <t>Market Sounding</t>
  </si>
  <si>
    <t>Tender Commercial Review</t>
  </si>
  <si>
    <t>Construction</t>
  </si>
  <si>
    <t>Probability</t>
  </si>
  <si>
    <t>Impact/Prob</t>
  </si>
  <si>
    <t>Risk Index</t>
  </si>
  <si>
    <t>Overall Status</t>
  </si>
  <si>
    <t>Concatenated</t>
  </si>
  <si>
    <t>Impact</t>
  </si>
  <si>
    <t>Risk Strategy (Mitigation)</t>
  </si>
  <si>
    <t>LGU Engagement</t>
  </si>
  <si>
    <t>Land Conversion</t>
  </si>
  <si>
    <t>Design Criteria</t>
  </si>
  <si>
    <t>Opening of Bids</t>
  </si>
  <si>
    <t>Civil and Site Development Works</t>
  </si>
  <si>
    <t>New Project Discovery</t>
  </si>
  <si>
    <t>Feasibiity Studies</t>
  </si>
  <si>
    <t>Preparation of Tender</t>
  </si>
  <si>
    <t>Tender Due Diligence</t>
  </si>
  <si>
    <t xml:space="preserve">Equipment &amp; Systems Installation </t>
  </si>
  <si>
    <t>Very Low</t>
  </si>
  <si>
    <t>High</t>
  </si>
  <si>
    <t>RED</t>
  </si>
  <si>
    <t>Low</t>
  </si>
  <si>
    <t>Medium</t>
  </si>
  <si>
    <t>Risk Avoidance</t>
  </si>
  <si>
    <t>Stop, or walk away from, the project.</t>
  </si>
  <si>
    <t>Needs Definition</t>
  </si>
  <si>
    <t xml:space="preserve">Development of Project WBS </t>
  </si>
  <si>
    <t>Project Bidding</t>
  </si>
  <si>
    <t>Concrete Pour</t>
  </si>
  <si>
    <t>Opportunity Exploitation</t>
  </si>
  <si>
    <t>Contract Drafting</t>
  </si>
  <si>
    <t>Tender Negotiation</t>
  </si>
  <si>
    <t>Mobilization</t>
  </si>
  <si>
    <t>YELLOW</t>
  </si>
  <si>
    <t>Risk Sharing</t>
  </si>
  <si>
    <t xml:space="preserve">Sharing (dividing) common risk to stake holders or to joint ventures or partnership. </t>
  </si>
  <si>
    <t>NGA Engagement</t>
  </si>
  <si>
    <t>Engineering Drawings</t>
  </si>
  <si>
    <t>Project Re-Bidding</t>
  </si>
  <si>
    <t>Construction Drawing Preparation</t>
  </si>
  <si>
    <t>Preliminary Design</t>
  </si>
  <si>
    <t>TOR Preparation</t>
  </si>
  <si>
    <t>Tender Technical Review</t>
  </si>
  <si>
    <t>Permitting</t>
  </si>
  <si>
    <t>GREEN</t>
  </si>
  <si>
    <t>Risk Reduction</t>
  </si>
  <si>
    <t>Reducing probability of occurrence or the severity of the consequences of an unwanted risk through Control.</t>
  </si>
  <si>
    <t>Optioneering</t>
  </si>
  <si>
    <t>Project Approval</t>
  </si>
  <si>
    <t>Tender Bulletin</t>
  </si>
  <si>
    <t>Construction Staging</t>
  </si>
  <si>
    <t>Preliminary Feasibility Study</t>
  </si>
  <si>
    <t>Preparation of Owner's Requirements</t>
  </si>
  <si>
    <t>Pipe Installation</t>
  </si>
  <si>
    <t>Risk Transfer</t>
  </si>
  <si>
    <t>Shift the burden of the risk consequence to another party or entity.</t>
  </si>
  <si>
    <t>Planning</t>
  </si>
  <si>
    <t>Project Timeline</t>
  </si>
  <si>
    <t>Contractor's Procurement of Materials and Equipment</t>
  </si>
  <si>
    <t>Programme Budget Setting</t>
  </si>
  <si>
    <t>Preparation of Specifications</t>
  </si>
  <si>
    <t>Testing</t>
  </si>
  <si>
    <t>Very High</t>
  </si>
  <si>
    <t>Risk Acceptance</t>
  </si>
  <si>
    <t>Project will proceed but do nothing on the identified risk.</t>
  </si>
  <si>
    <t>Project Scheme Design</t>
  </si>
  <si>
    <t>DW Borehole Development</t>
  </si>
  <si>
    <t xml:space="preserve">Rate Rebasing Master Budget </t>
  </si>
  <si>
    <t>Preparation of Reference Design</t>
  </si>
  <si>
    <t>Project Budget Analysis</t>
  </si>
  <si>
    <t>Site Acquisition</t>
  </si>
  <si>
    <t>DW Borehole Drilling</t>
  </si>
  <si>
    <t>Regulatory Requirement Translation</t>
  </si>
  <si>
    <t>Preparation of Detail Design</t>
  </si>
  <si>
    <t>Project Planning</t>
  </si>
  <si>
    <t>Site Development Plan</t>
  </si>
  <si>
    <t>Market Soundings</t>
  </si>
  <si>
    <t>DW Borehole Investigation</t>
  </si>
  <si>
    <t>Risk Status</t>
  </si>
  <si>
    <t>Project Research</t>
  </si>
  <si>
    <t>Stakeholder Engagement</t>
  </si>
  <si>
    <t>DW Borehole Rehab</t>
  </si>
  <si>
    <t>Pre-Feasibility Studies</t>
  </si>
  <si>
    <t>RETIRED</t>
  </si>
  <si>
    <t>Project Sizing</t>
  </si>
  <si>
    <t>WBS Development</t>
  </si>
  <si>
    <t>Project Plan Schedule</t>
  </si>
  <si>
    <t>DW Electro-Mech works</t>
  </si>
  <si>
    <t>OPEN</t>
  </si>
  <si>
    <t>Regulatory Review</t>
  </si>
  <si>
    <t>Scope Development</t>
  </si>
  <si>
    <t>DW Geores</t>
  </si>
  <si>
    <t>DW Install Submersible Pump</t>
  </si>
  <si>
    <t>Decision:</t>
  </si>
  <si>
    <t>Earth Retaining Works</t>
  </si>
  <si>
    <t>YES</t>
  </si>
  <si>
    <t>Water Source Investigation</t>
  </si>
  <si>
    <t>Specifications Requirements</t>
  </si>
  <si>
    <t>Earthworks</t>
  </si>
  <si>
    <t>NO</t>
  </si>
  <si>
    <t>Electrical Works</t>
  </si>
  <si>
    <t>Submission of Tender</t>
  </si>
  <si>
    <t>Engineer &amp; Control</t>
  </si>
  <si>
    <t>TOR preparation</t>
  </si>
  <si>
    <t>Equipment Set-Up</t>
  </si>
  <si>
    <t>Project.Gates</t>
  </si>
  <si>
    <t>Excavate &amp; Backfill</t>
  </si>
  <si>
    <t>Excavate &amp; Fill</t>
  </si>
  <si>
    <t>Risk Priority</t>
  </si>
  <si>
    <t>Excavate &amp; Pour Footing</t>
  </si>
  <si>
    <t>Critical</t>
  </si>
  <si>
    <t>Excavation Pipe Laying</t>
  </si>
  <si>
    <t>Non-Critical</t>
  </si>
  <si>
    <t>Fence</t>
  </si>
  <si>
    <t>Fill Site</t>
  </si>
  <si>
    <t>Filling Works</t>
  </si>
  <si>
    <t>Finish Grade &amp; Seed</t>
  </si>
  <si>
    <t>Finishes</t>
  </si>
  <si>
    <t>Form &amp; Pour Slab</t>
  </si>
  <si>
    <t>Project.Gates.WBS</t>
  </si>
  <si>
    <t>Form &amp; Pour walks</t>
  </si>
  <si>
    <t>Form &amp; Pour Walls</t>
  </si>
  <si>
    <t>Form Works</t>
  </si>
  <si>
    <t>Project.Gate</t>
  </si>
  <si>
    <t>Project.Phase</t>
  </si>
  <si>
    <t>Impact.Areas</t>
  </si>
  <si>
    <t>HVAC &amp; Electrical</t>
  </si>
  <si>
    <t>Needs Confirmation (RR/ABP)</t>
  </si>
  <si>
    <t>Initial Start Up &amp; Test</t>
  </si>
  <si>
    <t>Business Case</t>
  </si>
  <si>
    <t>Install Elec Switchboards</t>
  </si>
  <si>
    <t>Delivery Strategy (Tender Preparation)</t>
  </si>
  <si>
    <t>Install Electro-Mech</t>
  </si>
  <si>
    <t>Investment Decision (Procurement)</t>
  </si>
  <si>
    <t>Install Energy Meters</t>
  </si>
  <si>
    <t>Readiness For Service (Construction)</t>
  </si>
  <si>
    <t>Install FDAS</t>
  </si>
  <si>
    <t>Benefits Realization (Operation)</t>
  </si>
  <si>
    <t>Install Fire Fighting System</t>
  </si>
  <si>
    <t>Install Genset</t>
  </si>
  <si>
    <t>Install I&amp;C</t>
  </si>
  <si>
    <t>Install IT Equipment</t>
  </si>
  <si>
    <t>Install Lab Instruments</t>
  </si>
  <si>
    <t>RISK INDEX</t>
  </si>
  <si>
    <t>Install Motor Drives</t>
  </si>
  <si>
    <t>Install Network Meters</t>
  </si>
  <si>
    <t>Prob Range:</t>
  </si>
  <si>
    <t>50-90%</t>
  </si>
  <si>
    <t>10-25%</t>
  </si>
  <si>
    <t>25-50%</t>
  </si>
  <si>
    <t>90-100%</t>
  </si>
  <si>
    <t>0-10%</t>
  </si>
  <si>
    <t>Install Network Valves</t>
  </si>
  <si>
    <t>1-10%</t>
  </si>
  <si>
    <t>Install Outdoor MCC</t>
  </si>
  <si>
    <t>Install process and systems equipment</t>
  </si>
  <si>
    <t>Install Remote Instruments</t>
  </si>
  <si>
    <t>Install Utility Power</t>
  </si>
  <si>
    <t>Masonry &amp; Openings</t>
  </si>
  <si>
    <t>Masonry to Floor Level</t>
  </si>
  <si>
    <t>Metal Works</t>
  </si>
  <si>
    <t>RISK STRATEGY</t>
  </si>
  <si>
    <t>Paint &amp; Finishes</t>
  </si>
  <si>
    <t>Nature</t>
  </si>
  <si>
    <t>Threats</t>
  </si>
  <si>
    <t>Opportunities</t>
  </si>
  <si>
    <t>Avoid</t>
  </si>
  <si>
    <t>Exploit</t>
  </si>
  <si>
    <t>Piling and Drilling Foundation</t>
  </si>
  <si>
    <t>Transfer</t>
  </si>
  <si>
    <t>Share</t>
  </si>
  <si>
    <t>Pipe &amp; Electric Under Slab</t>
  </si>
  <si>
    <t>Mitigate</t>
  </si>
  <si>
    <t>Enhance</t>
  </si>
  <si>
    <t>Pipe Network Installation</t>
  </si>
  <si>
    <t>Accept</t>
  </si>
  <si>
    <t>Pipe Sewer Installation</t>
  </si>
  <si>
    <t>Pipe Transmission Installation</t>
  </si>
  <si>
    <t>Piping Works</t>
  </si>
  <si>
    <t>Plumbing</t>
  </si>
  <si>
    <t>Project Handover</t>
  </si>
  <si>
    <t>Project Substancial Completion</t>
  </si>
  <si>
    <t>Risk Evaluation: Classification</t>
  </si>
  <si>
    <t>Risk Relationship</t>
  </si>
  <si>
    <t>Project Testing &amp; Commissioning</t>
  </si>
  <si>
    <t xml:space="preserve">Accepted </t>
  </si>
  <si>
    <t>Independent</t>
  </si>
  <si>
    <t>Road Safety Systems</t>
  </si>
  <si>
    <t>Rejected</t>
  </si>
  <si>
    <t>Dependent</t>
  </si>
  <si>
    <t>Road Works</t>
  </si>
  <si>
    <t>Significant</t>
  </si>
  <si>
    <t>Interdependent</t>
  </si>
  <si>
    <t>Roads Re-Blocking</t>
  </si>
  <si>
    <t>None</t>
  </si>
  <si>
    <t>Roof Framing</t>
  </si>
  <si>
    <t>Roofing</t>
  </si>
  <si>
    <t>Set Equipment</t>
  </si>
  <si>
    <t>Set Precast Station</t>
  </si>
  <si>
    <t>Set Pumps &amp; Vault</t>
  </si>
  <si>
    <t>Project.Type</t>
  </si>
  <si>
    <t>Project Headlines</t>
  </si>
  <si>
    <t>Set Station Pipes</t>
  </si>
  <si>
    <t>A</t>
  </si>
  <si>
    <t>WS</t>
  </si>
  <si>
    <t>Signages</t>
  </si>
  <si>
    <t>B</t>
  </si>
  <si>
    <t>WW</t>
  </si>
  <si>
    <t>Site Development</t>
  </si>
  <si>
    <t>C</t>
  </si>
  <si>
    <t>CWN</t>
  </si>
  <si>
    <t>Site Entrance</t>
  </si>
  <si>
    <t>D1</t>
  </si>
  <si>
    <t>CWS</t>
  </si>
  <si>
    <t>Site Fencing</t>
  </si>
  <si>
    <t>D2</t>
  </si>
  <si>
    <t>Soil Stabilization</t>
  </si>
  <si>
    <t>E</t>
  </si>
  <si>
    <t>Steel Works</t>
  </si>
  <si>
    <t xml:space="preserve">OH </t>
  </si>
  <si>
    <t>Strip Topsoil</t>
  </si>
  <si>
    <t>IT</t>
  </si>
  <si>
    <t>Temfacil</t>
  </si>
  <si>
    <t>Temporary Backfill</t>
  </si>
  <si>
    <t>Temporary excavation &amp; Shoring</t>
  </si>
  <si>
    <t>Temporary Roads</t>
  </si>
  <si>
    <t>Tree Cutting</t>
  </si>
  <si>
    <t>Trenchless micro-tunnelling works</t>
  </si>
  <si>
    <t>Tunnel earth works handling</t>
  </si>
  <si>
    <t>Tunnel electro-mechanical installations</t>
  </si>
  <si>
    <t>Tunnel horizontal boring works TBM</t>
  </si>
  <si>
    <t>Tunnel metal works</t>
  </si>
  <si>
    <t>Tunnel pre-cast segment handling</t>
  </si>
  <si>
    <t>Tunnel pre-cast segment making and storage</t>
  </si>
  <si>
    <t>Tunnel segment mounting</t>
  </si>
  <si>
    <t>Tunnel water proofing</t>
  </si>
  <si>
    <t>Utility Comms</t>
  </si>
  <si>
    <t>Utility Power</t>
  </si>
  <si>
    <t>Utility Water</t>
  </si>
  <si>
    <t>Walk Ways</t>
  </si>
  <si>
    <t>Waterproofing Works</t>
  </si>
  <si>
    <t>5 x 5 Heat Map</t>
  </si>
  <si>
    <t>Potential Impact</t>
  </si>
  <si>
    <t>Very High (Extreme)</t>
  </si>
  <si>
    <t>High
(High)</t>
  </si>
  <si>
    <t>Moderate
(Medium)</t>
  </si>
  <si>
    <t>Low
(Low)</t>
  </si>
  <si>
    <t>Very Low
(Negligible)</t>
  </si>
  <si>
    <t>Moderate</t>
  </si>
  <si>
    <t>(Remote)</t>
  </si>
  <si>
    <t>(Unlikely)</t>
  </si>
  <si>
    <t>(Possible)</t>
  </si>
  <si>
    <t>(Likely)</t>
  </si>
  <si>
    <t>(Pobable)</t>
  </si>
  <si>
    <t>Likelihood</t>
  </si>
  <si>
    <t>% Ranges</t>
  </si>
  <si>
    <t xml:space="preserve">0 - 10 % </t>
  </si>
  <si>
    <t>10 - 25 %</t>
  </si>
  <si>
    <t>25 - 50 %</t>
  </si>
  <si>
    <t>50 - 90 %</t>
  </si>
  <si>
    <t>90 - 100 %</t>
  </si>
  <si>
    <t>Doc No: CPMG-PMO-PRR</t>
  </si>
  <si>
    <t>PROJECT RISK REPORT</t>
  </si>
  <si>
    <t>Report No: 01</t>
  </si>
  <si>
    <t>Project / Programme Name:</t>
  </si>
  <si>
    <t xml:space="preserve">Proj Mgr: </t>
  </si>
  <si>
    <t>Date:</t>
  </si>
  <si>
    <t>Project Risk Performance Dashboard</t>
  </si>
  <si>
    <t>Project Risk Distribution Charts</t>
  </si>
  <si>
    <t>Analysis and Recommendation:</t>
  </si>
  <si>
    <t>Reference Data:</t>
  </si>
  <si>
    <t>Total No of Risk</t>
  </si>
  <si>
    <t>Total Risk Cost, Php</t>
  </si>
  <si>
    <t>Total Revenue Potential Loss, Php</t>
  </si>
  <si>
    <t>Total Project Risk Cost</t>
  </si>
  <si>
    <t>Total Proj Risk Delay, Days</t>
  </si>
  <si>
    <t>High Risk Cost</t>
  </si>
  <si>
    <t>High Cost Risk Event</t>
  </si>
  <si>
    <t>High Risk Delay</t>
  </si>
  <si>
    <t>High Delay Risk Event</t>
  </si>
  <si>
    <t>Total Reserve Cost</t>
  </si>
  <si>
    <t>Total Mitigation Cost</t>
  </si>
  <si>
    <t>Total Savings after Mitigation</t>
  </si>
  <si>
    <t>Critical Risk No</t>
  </si>
  <si>
    <t>Non-Critical Risk No</t>
  </si>
  <si>
    <t>Engineering</t>
  </si>
  <si>
    <t>Environmental</t>
  </si>
  <si>
    <t>Operation</t>
  </si>
  <si>
    <t>Political</t>
  </si>
  <si>
    <t>PQM</t>
  </si>
  <si>
    <t>Procurement</t>
  </si>
  <si>
    <t>Risk Open</t>
  </si>
  <si>
    <t>Risk Retired</t>
  </si>
  <si>
    <t>Residual Risk Index</t>
  </si>
  <si>
    <t>Revision Record</t>
  </si>
  <si>
    <t>Version</t>
  </si>
  <si>
    <t>Description</t>
  </si>
  <si>
    <t>Author</t>
  </si>
  <si>
    <t>Date</t>
  </si>
  <si>
    <t>Rev 1.0</t>
  </si>
  <si>
    <t>First beta release.</t>
  </si>
  <si>
    <t>DSE</t>
  </si>
  <si>
    <t>Rev 1.1</t>
  </si>
  <si>
    <t>Inclusion of Monte Carlo Models and Formulas using freeware Argo</t>
  </si>
  <si>
    <t>Rev 1.2</t>
  </si>
  <si>
    <t>Change Monte Carlo model software to RiskAMP.</t>
  </si>
  <si>
    <t>User Guide</t>
  </si>
  <si>
    <t xml:space="preserve">This simple guideline provides quick information to get the user up to speed in using this project risk register template and provide guidance in the project risk assessment process. Below are the quick links for different topics which the user can follow help familiarized working with this template. </t>
  </si>
  <si>
    <t>1.0</t>
  </si>
  <si>
    <t>Risk Process Flow Chart</t>
  </si>
  <si>
    <t>2.0</t>
  </si>
  <si>
    <t>Impact Matrix</t>
  </si>
  <si>
    <t>3.0</t>
  </si>
  <si>
    <t>Probability Matrix</t>
  </si>
  <si>
    <t>4.0</t>
  </si>
  <si>
    <t>Heat Map and Risk Index</t>
  </si>
  <si>
    <t>5.0</t>
  </si>
  <si>
    <t>Definition of the different Project Gates</t>
  </si>
  <si>
    <t>RISK PROCESS FLOW CHART PROJ TYPES ABC</t>
  </si>
  <si>
    <t>Home</t>
  </si>
  <si>
    <t>IMPACT MATRIX</t>
  </si>
  <si>
    <t>PROBABILITY MATRIX</t>
  </si>
  <si>
    <t>HEAT MAP</t>
  </si>
  <si>
    <t>Description of Project Types</t>
  </si>
  <si>
    <t>Type</t>
  </si>
  <si>
    <t>Name</t>
  </si>
  <si>
    <t>Physical Parts</t>
  </si>
  <si>
    <t>Complex Systems</t>
  </si>
  <si>
    <t>·  Large pipeline networks</t>
  </si>
  <si>
    <t>·  New facilities</t>
  </si>
  <si>
    <t>-    Treatment plants (including utilities)</t>
  </si>
  <si>
    <t>-    Pumping stations</t>
  </si>
  <si>
    <t>-    Reservoirs</t>
  </si>
  <si>
    <t>-    Lifting stations (for Used Water)</t>
  </si>
  <si>
    <t>Simple systems/new facilities/new pipeline systems</t>
  </si>
  <si>
    <t>·  New large/medium pipeline networks (if any)</t>
  </si>
  <si>
    <t>·  New facilities (if any)</t>
  </si>
  <si>
    <t>Rehab/replacement of networks</t>
  </si>
  <si>
    <t>·  Pipeline networks</t>
  </si>
  <si>
    <t>Retrofitting of facilities</t>
  </si>
  <si>
    <t>·  Mostly civil works</t>
  </si>
  <si>
    <t>·  Minor modifications to plant Process &amp; Instrumentation Design (P&amp;ID)</t>
  </si>
  <si>
    <t>Refurbishment of facilities</t>
  </si>
  <si>
    <t>·  Replacement of equipment and auxiliaries including P&amp;ID</t>
  </si>
  <si>
    <t>Small pipeline laying</t>
  </si>
  <si>
    <t>·  Small pipelines</t>
  </si>
  <si>
    <t>OH</t>
  </si>
  <si>
    <t>Overhead</t>
  </si>
  <si>
    <t>Fleet, Properties</t>
  </si>
  <si>
    <t>PROJECT GATES</t>
  </si>
  <si>
    <t>RISK BREAKDOWN STRUCTURE</t>
  </si>
  <si>
    <t>Level
1</t>
  </si>
  <si>
    <t>Internal Project Risk</t>
  </si>
  <si>
    <t>External Project Risk (based on PESTLE Analaysis)</t>
  </si>
  <si>
    <t>Level 2</t>
  </si>
  <si>
    <t>Executive</t>
  </si>
  <si>
    <t>Human Resource</t>
  </si>
  <si>
    <t>Work Health Safety</t>
  </si>
  <si>
    <t>Organization</t>
  </si>
  <si>
    <t>Strategy</t>
  </si>
  <si>
    <t>Economic</t>
  </si>
  <si>
    <t>Social</t>
  </si>
  <si>
    <t>Technology</t>
  </si>
  <si>
    <t>Legal</t>
  </si>
  <si>
    <t>Level 3</t>
  </si>
  <si>
    <t>IR.EXE.010</t>
  </si>
  <si>
    <t>IR.OPS.010</t>
  </si>
  <si>
    <t>IR.HR.010</t>
  </si>
  <si>
    <t>IR.PRO.010</t>
  </si>
  <si>
    <t>IR.ENG.010</t>
  </si>
  <si>
    <t>IR.WHS.010</t>
  </si>
  <si>
    <t>IR.ORG.010</t>
  </si>
  <si>
    <t>IR.STR.010</t>
  </si>
  <si>
    <t>IR.PQM.010</t>
  </si>
  <si>
    <t>ER.POL.010</t>
  </si>
  <si>
    <t>ER.ECO.010</t>
  </si>
  <si>
    <t>ER.SOC.010</t>
  </si>
  <si>
    <t>ER.TEC.010</t>
  </si>
  <si>
    <t>ER.LEG.010</t>
  </si>
  <si>
    <t>ER.ENV.010</t>
  </si>
  <si>
    <t>Project Support</t>
  </si>
  <si>
    <t>Business Interruption</t>
  </si>
  <si>
    <t>Strategic</t>
  </si>
  <si>
    <t>Needs Analysis Planning</t>
  </si>
  <si>
    <t>Scope</t>
  </si>
  <si>
    <t>Chemicals Substance Hazard</t>
  </si>
  <si>
    <t>Company Culture</t>
  </si>
  <si>
    <t>Project Concept Strategy</t>
  </si>
  <si>
    <t>Scope Cost Time</t>
  </si>
  <si>
    <t>Government Stability</t>
  </si>
  <si>
    <t>Inflation</t>
  </si>
  <si>
    <t>Lifestyle</t>
  </si>
  <si>
    <t>Rate of Change</t>
  </si>
  <si>
    <t>Taxation</t>
  </si>
  <si>
    <t>Infrastructure</t>
  </si>
  <si>
    <t>Note: ROW issues are regulatory issues.</t>
  </si>
  <si>
    <t>IR.EXE.020</t>
  </si>
  <si>
    <t>IR.OPS.020</t>
  </si>
  <si>
    <t>IR.HR.020</t>
  </si>
  <si>
    <t>IR.PRO.020</t>
  </si>
  <si>
    <t>IR.ENG.020</t>
  </si>
  <si>
    <t>IR.WHS.020</t>
  </si>
  <si>
    <t>IR.ORG.020</t>
  </si>
  <si>
    <t>IR.STR.020</t>
  </si>
  <si>
    <t>IR.PQM.020</t>
  </si>
  <si>
    <t>ER.POL.020</t>
  </si>
  <si>
    <t>ER.ECO.020</t>
  </si>
  <si>
    <t>ER.SOC.020</t>
  </si>
  <si>
    <t>ER.TEC.020</t>
  </si>
  <si>
    <t>ER.LEG.020</t>
  </si>
  <si>
    <t>ER.ENV.020</t>
  </si>
  <si>
    <t>Executive Stakeholder Conflicts</t>
  </si>
  <si>
    <t>Human Factor</t>
  </si>
  <si>
    <t>Compliance</t>
  </si>
  <si>
    <t>Specifications</t>
  </si>
  <si>
    <t>Design</t>
  </si>
  <si>
    <t>Flammable Substances</t>
  </si>
  <si>
    <t>Change Management</t>
  </si>
  <si>
    <t>Initial Systems Design</t>
  </si>
  <si>
    <t>Project Acceptance</t>
  </si>
  <si>
    <t>Employment &amp; Operational Laws</t>
  </si>
  <si>
    <t>Taxes &amp; Duties</t>
  </si>
  <si>
    <t>Attitude &amp; Beliefs</t>
  </si>
  <si>
    <t>Use of Outsourcing</t>
  </si>
  <si>
    <t>Employment</t>
  </si>
  <si>
    <t>Cyclical Weather</t>
  </si>
  <si>
    <t>IR.EXE.030</t>
  </si>
  <si>
    <t>IR.OPS.030</t>
  </si>
  <si>
    <t>IR.HR.030</t>
  </si>
  <si>
    <t>IR.PRO.030</t>
  </si>
  <si>
    <t>IR.ENG.030</t>
  </si>
  <si>
    <t>IR.WHS.030</t>
  </si>
  <si>
    <t>IR.ORG.030</t>
  </si>
  <si>
    <t>IR.STR.030</t>
  </si>
  <si>
    <t>IR.PQM.030</t>
  </si>
  <si>
    <t>ER.POL.030</t>
  </si>
  <si>
    <t>ER.ECO.030</t>
  </si>
  <si>
    <t>ER.SOC.030</t>
  </si>
  <si>
    <t>ER.TEC.030</t>
  </si>
  <si>
    <t>ER.LEG.030</t>
  </si>
  <si>
    <t>ER.ENV.030</t>
  </si>
  <si>
    <t>Executive Turnover</t>
  </si>
  <si>
    <t>Equipment Failure</t>
  </si>
  <si>
    <t>Operational</t>
  </si>
  <si>
    <t>Purchasing Method</t>
  </si>
  <si>
    <t>Technology Adoption</t>
  </si>
  <si>
    <t>Biological Infectious Diseases</t>
  </si>
  <si>
    <t>Joint Ventures</t>
  </si>
  <si>
    <t>Initial Scope Budget Time</t>
  </si>
  <si>
    <t>Equipment Quality Issues</t>
  </si>
  <si>
    <t>Government Leadership</t>
  </si>
  <si>
    <t>Finance &amp; Credit</t>
  </si>
  <si>
    <t>Social Mobility</t>
  </si>
  <si>
    <t>Research &amp; Development</t>
  </si>
  <si>
    <t>Consumer</t>
  </si>
  <si>
    <t>Energy Availability &amp; Cost</t>
  </si>
  <si>
    <t>IR.OPS.040</t>
  </si>
  <si>
    <t>IR.HR.040</t>
  </si>
  <si>
    <t>IR.PRO.040</t>
  </si>
  <si>
    <t>IR.ENG.040</t>
  </si>
  <si>
    <t>IR.WHS.040</t>
  </si>
  <si>
    <t>IR.STR.040</t>
  </si>
  <si>
    <t>IR.PQM.040</t>
  </si>
  <si>
    <t>ER.POL.040</t>
  </si>
  <si>
    <t>ER.ECO.040</t>
  </si>
  <si>
    <t>ER.SOC.040</t>
  </si>
  <si>
    <t>ER.TEC.040</t>
  </si>
  <si>
    <t>ER.LEG.040</t>
  </si>
  <si>
    <t>ER.ENV.040</t>
  </si>
  <si>
    <t>Work Health &amp; Safety</t>
  </si>
  <si>
    <t>Financial</t>
  </si>
  <si>
    <t>Purchasing Documentation</t>
  </si>
  <si>
    <t>Quality Systems</t>
  </si>
  <si>
    <t>Physical Hazards</t>
  </si>
  <si>
    <t>Mission Vision</t>
  </si>
  <si>
    <t>Project Pre.Charter Review</t>
  </si>
  <si>
    <t>Process Quality Issues</t>
  </si>
  <si>
    <t>Trade Restrictions or Reform</t>
  </si>
  <si>
    <t>Working Practices</t>
  </si>
  <si>
    <t>Education</t>
  </si>
  <si>
    <t>Knowledge Management System</t>
  </si>
  <si>
    <t>Advertising</t>
  </si>
  <si>
    <t>Social Implications</t>
  </si>
  <si>
    <t>IR.OPS.050</t>
  </si>
  <si>
    <t>IR.PRO.050</t>
  </si>
  <si>
    <t>IR.ENG.050</t>
  </si>
  <si>
    <t>IR.WHS.050</t>
  </si>
  <si>
    <t>IR.STR.050</t>
  </si>
  <si>
    <t>IR.PQM.050</t>
  </si>
  <si>
    <t>ER.POL.050</t>
  </si>
  <si>
    <t>ER.ECO.050</t>
  </si>
  <si>
    <t>ER.SOC.050</t>
  </si>
  <si>
    <t>ER.TEC.050</t>
  </si>
  <si>
    <t>ER.LEG.050</t>
  </si>
  <si>
    <t>ER.ENV.050</t>
  </si>
  <si>
    <t>System Failure</t>
  </si>
  <si>
    <t>Inviting Clarifying Closing Offers</t>
  </si>
  <si>
    <t>Cost Estimate</t>
  </si>
  <si>
    <t>Manual Tasks Hazards</t>
  </si>
  <si>
    <t>Coordination &amp; Communication</t>
  </si>
  <si>
    <t>Feasibilty Studies Options</t>
  </si>
  <si>
    <t>Project Change Management</t>
  </si>
  <si>
    <t>Tax Regulations</t>
  </si>
  <si>
    <t>Exchange Rates</t>
  </si>
  <si>
    <t>Demographics</t>
  </si>
  <si>
    <t>Eliminate Bottlenecks</t>
  </si>
  <si>
    <t>Import and Export</t>
  </si>
  <si>
    <t>Disposal of Materials</t>
  </si>
  <si>
    <t>IR.OPS.060</t>
  </si>
  <si>
    <t>IR.PRO.060</t>
  </si>
  <si>
    <t>IR.ENG.060</t>
  </si>
  <si>
    <t>IR.WHS.060</t>
  </si>
  <si>
    <t>IR.STR.060</t>
  </si>
  <si>
    <t>IR.PQM.060</t>
  </si>
  <si>
    <t>ER.POL.060</t>
  </si>
  <si>
    <t>ER.ECO.060</t>
  </si>
  <si>
    <t>ER.SOC.060</t>
  </si>
  <si>
    <t>ER.TEC.060</t>
  </si>
  <si>
    <t>ER.LEG.060</t>
  </si>
  <si>
    <t>ER.ENV.060</t>
  </si>
  <si>
    <t>Outsourcing</t>
  </si>
  <si>
    <t>Evaluating Offers</t>
  </si>
  <si>
    <t>Environmental Hazards</t>
  </si>
  <si>
    <t>Leadership Issues</t>
  </si>
  <si>
    <t>Contingency Provisioning</t>
  </si>
  <si>
    <t>Communication</t>
  </si>
  <si>
    <t>Corruption Levels</t>
  </si>
  <si>
    <t>Cost of Living</t>
  </si>
  <si>
    <t>Ethics &amp; Religion</t>
  </si>
  <si>
    <t>Network Coverage</t>
  </si>
  <si>
    <t>Occupational Health &amp; Safety</t>
  </si>
  <si>
    <t>Ecological Consequences</t>
  </si>
  <si>
    <t>`</t>
  </si>
  <si>
    <t>IR.OPS.070</t>
  </si>
  <si>
    <t>IR.PRO.070</t>
  </si>
  <si>
    <t>IR.WHS.070</t>
  </si>
  <si>
    <t>IR.PQM.070</t>
  </si>
  <si>
    <t>ER.POL.070</t>
  </si>
  <si>
    <t>ER.ECO.070</t>
  </si>
  <si>
    <t>ER.SOC.070</t>
  </si>
  <si>
    <t>ER.TEC.070</t>
  </si>
  <si>
    <t>ER.LEG.070</t>
  </si>
  <si>
    <t>ER.ENV.070</t>
  </si>
  <si>
    <t>Insufficient Process</t>
  </si>
  <si>
    <t>Selection Successful Tenderer</t>
  </si>
  <si>
    <t>Psychosocial Hazards</t>
  </si>
  <si>
    <t>Reesource Optimization</t>
  </si>
  <si>
    <t>Project Execution Issues</t>
  </si>
  <si>
    <t>Bureaucracy Issues</t>
  </si>
  <si>
    <t>GDP &amp; GNP</t>
  </si>
  <si>
    <t>Historical Issues</t>
  </si>
  <si>
    <t>Production Efficiency</t>
  </si>
  <si>
    <t>Legislation</t>
  </si>
  <si>
    <t>IR.OPS.080</t>
  </si>
  <si>
    <t>IR.PRO.080</t>
  </si>
  <si>
    <t>ER.POL.080</t>
  </si>
  <si>
    <t>ER.ECO.080</t>
  </si>
  <si>
    <t>ER.SOC.080</t>
  </si>
  <si>
    <t>ER.TEC.080</t>
  </si>
  <si>
    <t>ER.LEG.080</t>
  </si>
  <si>
    <t>ER.ENV.080</t>
  </si>
  <si>
    <t>Process Failure</t>
  </si>
  <si>
    <t>Negotiations</t>
  </si>
  <si>
    <t>Prgam Services Collaboration</t>
  </si>
  <si>
    <t>Stability of Neighbors</t>
  </si>
  <si>
    <t>Globalization</t>
  </si>
  <si>
    <t>Cross.Cultural Communication</t>
  </si>
  <si>
    <t>Quality &amp; Pricing</t>
  </si>
  <si>
    <t>Regulatory Bodies</t>
  </si>
  <si>
    <t>Contamination</t>
  </si>
  <si>
    <t>IR.OPS.090</t>
  </si>
  <si>
    <t>IR.PRO.090</t>
  </si>
  <si>
    <t>ER.TEC.090</t>
  </si>
  <si>
    <t>ER.ENV.090</t>
  </si>
  <si>
    <t>System Quality</t>
  </si>
  <si>
    <t>Contract Management</t>
  </si>
  <si>
    <t>Business Continuity</t>
  </si>
  <si>
    <t>Intellectual Property</t>
  </si>
  <si>
    <t>Geographic Location</t>
  </si>
  <si>
    <t>IR.PRO.100</t>
  </si>
  <si>
    <t>ER.TEC.100</t>
  </si>
  <si>
    <t>ER.ENV.100</t>
  </si>
  <si>
    <t>Procurement Process Evaluation</t>
  </si>
  <si>
    <t>Patents &amp; Licenses</t>
  </si>
  <si>
    <t>Biohazard Pandemic</t>
  </si>
  <si>
    <t>IR.PRO.110</t>
  </si>
  <si>
    <t>ER.TEC.110</t>
  </si>
  <si>
    <t>Disposals</t>
  </si>
  <si>
    <t>Government Activity &amp; Legislation</t>
  </si>
  <si>
    <t>Internal</t>
  </si>
  <si>
    <t>External</t>
  </si>
  <si>
    <t>Risk Category Concatenated</t>
  </si>
  <si>
    <t>Category1</t>
  </si>
  <si>
    <t>Category2</t>
  </si>
  <si>
    <t>Category3</t>
  </si>
  <si>
    <t>Risk.Code</t>
  </si>
  <si>
    <t>Human.Resource</t>
  </si>
  <si>
    <t>Work.Health.Safety</t>
  </si>
  <si>
    <t>Project.Support</t>
  </si>
  <si>
    <t>Business.Interruption</t>
  </si>
  <si>
    <t>Needs.Analysis.Planning</t>
  </si>
  <si>
    <t>Chemicals.Substance.Hazard</t>
  </si>
  <si>
    <t>Company.Culture</t>
  </si>
  <si>
    <t>Project.Concept.Strategy</t>
  </si>
  <si>
    <t>Scope.Cost.Time</t>
  </si>
  <si>
    <t>Government.Stability</t>
  </si>
  <si>
    <t>Rate.of.Change</t>
  </si>
  <si>
    <t>Executive.Stakeholder.Conflicts</t>
  </si>
  <si>
    <t>Human.Factor</t>
  </si>
  <si>
    <t>Flammable.Substances</t>
  </si>
  <si>
    <t>Change.Management</t>
  </si>
  <si>
    <t>Initial.Systems.Design</t>
  </si>
  <si>
    <t>Project.Acceptance</t>
  </si>
  <si>
    <t>Employment.Operational.Laws</t>
  </si>
  <si>
    <t>Taxes.Duties</t>
  </si>
  <si>
    <t>Attitude.Beliefs</t>
  </si>
  <si>
    <t>Use.of.Outsourcing</t>
  </si>
  <si>
    <t>Cyclical.Weather</t>
  </si>
  <si>
    <t>Executive.Turnover</t>
  </si>
  <si>
    <t>Equipment.Failure</t>
  </si>
  <si>
    <t>Purchasing.Method</t>
  </si>
  <si>
    <t>Technology.Adoption</t>
  </si>
  <si>
    <t>Biological.Infectious.Diseases</t>
  </si>
  <si>
    <t>Joint.Ventures</t>
  </si>
  <si>
    <t>Initial.Scope.Budget.Time</t>
  </si>
  <si>
    <t>Equipment.Quality.Issues</t>
  </si>
  <si>
    <t>Government.Leadership</t>
  </si>
  <si>
    <t>Finance.Credit</t>
  </si>
  <si>
    <t>Social.Mobility</t>
  </si>
  <si>
    <t>Research.Development</t>
  </si>
  <si>
    <t>Energy.Availability.Cost</t>
  </si>
  <si>
    <t>Health.Safety</t>
  </si>
  <si>
    <t>Purchasing.Documentation</t>
  </si>
  <si>
    <t>Quality.Systems</t>
  </si>
  <si>
    <t>Physical.Hazards</t>
  </si>
  <si>
    <t>Mission.Vision</t>
  </si>
  <si>
    <t>Project.Pre_Charter.Review</t>
  </si>
  <si>
    <t>Process.Quality.Issues</t>
  </si>
  <si>
    <t>Trade.Restrictions.Reform</t>
  </si>
  <si>
    <t>Working.Practices</t>
  </si>
  <si>
    <t>Knowledge.Management.System</t>
  </si>
  <si>
    <t>Social.Implications</t>
  </si>
  <si>
    <t>System.Failure</t>
  </si>
  <si>
    <t>Inviting.Clarifying.Closing.Offers</t>
  </si>
  <si>
    <t>Cost.Estimate</t>
  </si>
  <si>
    <t>Manual.Tasks.Hazards</t>
  </si>
  <si>
    <t>Coordination.Communication</t>
  </si>
  <si>
    <t>Feasibility.Studies.Options</t>
  </si>
  <si>
    <t>Project.Change.Management</t>
  </si>
  <si>
    <t>Tax.Regulations</t>
  </si>
  <si>
    <t>Exchange.Rates</t>
  </si>
  <si>
    <t>Eliminate.Bottlenecks</t>
  </si>
  <si>
    <t>Import.Export</t>
  </si>
  <si>
    <t>Disposal.Materials</t>
  </si>
  <si>
    <t>Evaluating.Offers</t>
  </si>
  <si>
    <t>Project.Timeline</t>
  </si>
  <si>
    <t>Environmental.Hazards</t>
  </si>
  <si>
    <t>Leadership.Issues</t>
  </si>
  <si>
    <t>Contingency.Provisioning</t>
  </si>
  <si>
    <t>Corruption.Levels</t>
  </si>
  <si>
    <t>Cost.Living</t>
  </si>
  <si>
    <t>Ethics.Religion</t>
  </si>
  <si>
    <t>Network.Coverage</t>
  </si>
  <si>
    <t>Occupational.Health.Safety</t>
  </si>
  <si>
    <t>Ecological.Consequences</t>
  </si>
  <si>
    <t>Insufficient.Process</t>
  </si>
  <si>
    <t>Selection.Successful.Tenderer</t>
  </si>
  <si>
    <t>Psychosocial.Hazards</t>
  </si>
  <si>
    <t>Resource.Optimization</t>
  </si>
  <si>
    <t>Project.Execution.Issues</t>
  </si>
  <si>
    <t>Bureaucracy.Issues</t>
  </si>
  <si>
    <t>GDP.GNP</t>
  </si>
  <si>
    <t>Historical.Issues</t>
  </si>
  <si>
    <t>Production.Efficiency</t>
  </si>
  <si>
    <t>Workplace.Compliance</t>
  </si>
  <si>
    <t>Process.Failure</t>
  </si>
  <si>
    <t>Program.Services.Collaboration</t>
  </si>
  <si>
    <t>Stability.Neighbors</t>
  </si>
  <si>
    <t>Cross_Cultural.Communication</t>
  </si>
  <si>
    <t>Quality.Pricing</t>
  </si>
  <si>
    <t>Regulatory.Bodies</t>
  </si>
  <si>
    <t>System.Quality</t>
  </si>
  <si>
    <t>Contract.Management</t>
  </si>
  <si>
    <t>Business.Continuity</t>
  </si>
  <si>
    <t>Intellectual.Property</t>
  </si>
  <si>
    <t>Geographic.Location</t>
  </si>
  <si>
    <t>Procurement.Process.Evaluation</t>
  </si>
  <si>
    <t>Patents.Licenses</t>
  </si>
  <si>
    <t>Biohazard.Pandemic</t>
  </si>
  <si>
    <t>Government.Activity.Legislation</t>
  </si>
  <si>
    <t>Risk.Priority.Level</t>
  </si>
  <si>
    <t>Work Health Safety Hazards:</t>
  </si>
  <si>
    <t>chemicals and substances hazards . such as hazardous substances and dangerous goods, asbestos, lead and waste management</t>
  </si>
  <si>
    <t>flammable substances . such as LPG, acetylene, methane, ethanol, petrol, acetone, resins, and thinners for their fire and explosion risks and prevention</t>
  </si>
  <si>
    <t>biological hazards and infectious diseases . such as legionella and hendra virus</t>
  </si>
  <si>
    <t>physical hazards . such as equipment, confined spaces, electrical hazards and working at heights</t>
  </si>
  <si>
    <t>manual tasks hazards . such as the use of the human body to perform any kind of manual task</t>
  </si>
  <si>
    <t>environmental hazards . such as noise, lighting, surrounding environment (including uneven floor surfaces, etc.), cold, dust and heat stress</t>
  </si>
  <si>
    <t>psychosocial hazards . such as fatigue, work.related stress, workplace harassment and occupational violence.</t>
  </si>
  <si>
    <t>IR.ORG.040</t>
  </si>
  <si>
    <t>IR.ORG.050</t>
  </si>
  <si>
    <t>IR.ORG.060</t>
  </si>
  <si>
    <t>IR.ORG.070</t>
  </si>
  <si>
    <t>IR.ORG.080</t>
  </si>
  <si>
    <t>IR.ORG.090</t>
  </si>
  <si>
    <t>Employment.&amp;.Operational.Laws</t>
  </si>
  <si>
    <t>Taxes.&amp;.Duties</t>
  </si>
  <si>
    <t>Attitude.&amp;.Beliefs</t>
  </si>
  <si>
    <t>Finance.&amp;.Credit</t>
  </si>
  <si>
    <t>Research.&amp;.Development</t>
  </si>
  <si>
    <t>Energy.Availability.&amp;.Cost</t>
  </si>
  <si>
    <t>Project.Pre-Charter.Review</t>
  </si>
  <si>
    <t>Trade.Restrictions.or.Reform</t>
  </si>
  <si>
    <t>Coordination.&amp;.Communication</t>
  </si>
  <si>
    <t>Import.&amp;.Export</t>
  </si>
  <si>
    <t>Disposal.of.Materials</t>
  </si>
  <si>
    <t>Cost.of.Living</t>
  </si>
  <si>
    <t>Ethics.&amp;.Religion</t>
  </si>
  <si>
    <t>Occupational.Health.&amp;.Safety</t>
  </si>
  <si>
    <t>GDP.&amp;.GNP</t>
  </si>
  <si>
    <t>Program.&amp;.Services.Collaboration</t>
  </si>
  <si>
    <t>Stability.of.Neighbors</t>
  </si>
  <si>
    <t>Cross-Cultural.Communication</t>
  </si>
  <si>
    <t>Quality.&amp;.Pricing</t>
  </si>
  <si>
    <t>Patents.&amp;.Licenses</t>
  </si>
  <si>
    <t>Government.Activity.&amp;.Legislation</t>
  </si>
  <si>
    <t>Risks associated with the failure to provide executive support to the project; project team did not receive sufficient authority to execute critical decisions.</t>
  </si>
  <si>
    <t>Risks arising from members of executive management that are combative to the project; there is a disagreement over project issues at executive level.</t>
  </si>
  <si>
    <t>Risks associated with the changes in the company leadership, executives leaving the company, disruption at the leadership level.</t>
  </si>
  <si>
    <t xml:space="preserve">Risks arising from structure fires, utility services damage, loss of electricity or running water, equipment failure, third-party disruptions, crime or vandalism, natural disasters.  </t>
  </si>
  <si>
    <t>Risks associated with human errors in the workplace with factors such as psychological, physiological, behavioral, lapses, mistakes and violations.</t>
  </si>
  <si>
    <t xml:space="preserve">Risks associated with machine failure such as malfunction, incompatibility, intermittent failure, permanent failure, component fatigue, system failure, structural collapse, etc. </t>
  </si>
  <si>
    <t>Internal H&amp;S hazard in the operational workplaces such as in the offices, field works, project sites and plants which may affect project objectives.</t>
  </si>
  <si>
    <t>Risks associated with failure of a system or network or series of equipment with inter-dependencies; failure of automation, telemetry and SCADA system.</t>
  </si>
  <si>
    <t>Risks associated with outsourced talents, workforce, specialists and consultants)</t>
  </si>
  <si>
    <t>Risks associated with a process employed that is not meeting the required performance or output.</t>
  </si>
  <si>
    <t>Risks associated with the failure of a process such as in construction methodology and plant processes.</t>
  </si>
  <si>
    <t>Risks associated with the failure of quality process in project sites or plant, failure to implement project controls and project management systems.</t>
  </si>
  <si>
    <t>People-related issues that limit the ability to achieve strategic objectives. Key Sub-Areas: Talent Management and Succession, Planning, Ethics and Tone at the Top, Alignment of Pay and Performance.</t>
  </si>
  <si>
    <t>Processes/controls to keep a company out of trouble. Note that reducing these risks has little bearing on being able to make the business better. Key Sub-Areas: Regulatory compliance, Fraud, Monitoring regulatory changes.</t>
  </si>
  <si>
    <t>Operational (Meeting organizational objectives through effective/efficient use of human resources. Key Sub-Areas: Internal controls, Policies and procedures, Resource vendor management and sourcing, Employee training and development.</t>
  </si>
  <si>
    <t>Global organizations view this, along with compliance, as the most traditional categories of risk. Key Sub-Areas: Equity/incentive compensation, Financial accounting and disclosure, HR performance metrics and cost management.</t>
  </si>
  <si>
    <t>Risks arising from project statement, user needs, funding, timeframe and probity.</t>
  </si>
  <si>
    <t>Developing the Specification (Risks associated with product or systems specification, project definition, statement of requirements.</t>
  </si>
  <si>
    <t>Selecting the Purchasing Method creates Risks in failure to identify potential sources and selecting procurement method.</t>
  </si>
  <si>
    <t>Purchasing Documentation Risks arising from unacceptable Terms and Conditions and inadequate project information.</t>
  </si>
  <si>
    <t>Inviting, clarifying and closing offers (Risks associated with Tender bid bulletin, favoritism, breach of confidentiality, and insufficient number of bidders.</t>
  </si>
  <si>
    <t>Risks in failure to follow bidding protocol, breach of security, offers fail to meet demands and subjective decisions.</t>
  </si>
  <si>
    <t>Risks associated with selecting appropriate suppliers and selecting inappropriate product or Vendor/Contractor.</t>
  </si>
  <si>
    <t>Risks associated with project expectation, deadlock on details of agreement or policy, failure to secure mandatory conditions, unfair contract conditions and failure to reflect terms offered in the contract.</t>
  </si>
  <si>
    <t>Risks in variations, Supplier unwilling to accept contract, failure of either party to fulfill contract, inadequate contract administration, unauthorize early works, unauthorize increase in scope of works, loss of intellectual property, failure to meet liabilities of third parties, loss or damage to goods in transit, fraud and key personnel not available.</t>
  </si>
  <si>
    <t>Risks associated with failure to evaluate procurement and management processes.</t>
  </si>
  <si>
    <t>Risks associated with rigged auction bidding and inadequate tender management.</t>
  </si>
  <si>
    <t>Risks resulting from poor scope definition, ambiguity, unclear, over scope, under scope, scope variations, scope creep and unrelated scope.</t>
  </si>
  <si>
    <t xml:space="preserve">Risks resulting from poor design, design flaws, incomplete design, design deficiency, code compliance design issues, insufficient details, design not in MWCI standard, health and safety in design, constructability issues, operational &amp; maintenance issues and failure to determine project critical path.  </t>
  </si>
  <si>
    <t>Risks from adopting new systems and process affecting design, procurement, construction, operation and time frame of the project; new and unproven technology.</t>
  </si>
  <si>
    <t>Risks associated with Quality Management Systems (QMS) issues, such as  project process documentation, planning, reviews and resourcing.</t>
  </si>
  <si>
    <t>Risks arising from project cost estimates impacted by base cost, project phase, project geo-political location, volume-qty, lead times, construction methodology, mode of payment, warranties, specialty works, non-standard items and site conditions.</t>
  </si>
  <si>
    <t>Risks associated with project schedule, work breakdown schedule, etc.</t>
  </si>
  <si>
    <t>Risks arising from hazardous substances and dangerous goods, asbestos, lead and waste management</t>
  </si>
  <si>
    <t xml:space="preserve">LPG, acetylene, methane, ethanol, petrol, acetone, resins, and thinners for their fire and explosion risks and prevention. </t>
  </si>
  <si>
    <t xml:space="preserve">Risks related to infectious diseases and its outbreaks such as legionella, Hendra virus, SARS, insect bites, snake bites, etc. </t>
  </si>
  <si>
    <t xml:space="preserve">Risks arising from the operation of equipment, confined spaces, electrical hazards, working at heights, vibration, noise, radiation, pressure , etc. </t>
  </si>
  <si>
    <t>Risks in the use of the human body to perform any kind of manual tasks.</t>
  </si>
  <si>
    <t xml:space="preserve">Risks in noise, lighting, surrounding environment (including uneven floor surfaces, etc.), cold, dust and heat stress </t>
  </si>
  <si>
    <t>Risks arising from fatigue, work-related stress, workplace harassment and occupational violence.</t>
  </si>
  <si>
    <t>Risks associated with the failure in mismatch between the company culture/structure/process and the project undertaking.</t>
  </si>
  <si>
    <t>Risks associated with changes to management or major restructuring due to merger or acquisition throwing the project into chaos.</t>
  </si>
  <si>
    <t>Risks from joint venture undertakings.</t>
  </si>
  <si>
    <t>Risks arising from changes on company mandates, objectives and rationale.</t>
  </si>
  <si>
    <t>Risks arising from failure to establish strategic mechanisms on coordination &amp; communication, creating confusion and disturbances.</t>
  </si>
  <si>
    <t>Risks for failure to establish formal leadership on key positions and functions within the organization; erosion of organizational authority.</t>
  </si>
  <si>
    <t>Risks due to failure of resource allocation and resource optimization.</t>
  </si>
  <si>
    <t xml:space="preserve">Risks for failure to achieve outcome due to lack or insufficient cooperation between programme level and services level initiatives. </t>
  </si>
  <si>
    <t>Risks arising from the Organization’s failure to identify and formulate policies for business continuity efforts such as resiliency, recovery time and contingency plan.</t>
  </si>
  <si>
    <t xml:space="preserve">Risks associated with project concept, projects with accepted inherent risks </t>
  </si>
  <si>
    <t>Risks associated with erroneous initial designs without proper basis or filled with unfounded assumptions.</t>
  </si>
  <si>
    <t>Risks resulting from issues on project initial scoping, budgeting and scheduling.</t>
  </si>
  <si>
    <t>Risks associated with projects at its early stage Gate 0 without conducting a proper value assurance review.</t>
  </si>
  <si>
    <t>Risks arising from lack of feasibility studies, or studies with full of errors, wrong assumptions and poor strategy.</t>
  </si>
  <si>
    <t>Risks due to lack of contingency provision or misguided contingency.</t>
  </si>
  <si>
    <t xml:space="preserve">Risks due to issues on project management scope, cost and time changes or variations that are unplanned and unrestrained affecting the project objectives. </t>
  </si>
  <si>
    <t>Risks due to project acceptance issues such as non-conformance, plant performance deficiencies, unresolved punch list, etc., which will greatly impact project and business objectives and goals.</t>
  </si>
  <si>
    <t>Risks arising from equipment quality issues such as defective products or equipment, non-standard installation, early failures, etc., which will directly impact the project objectives.</t>
  </si>
  <si>
    <t xml:space="preserve">Risks arising from plant process control system issues, unsuitable process for the type of influent properties, process not meeting regulation requirements, process input requirements not sustainable, etc.   </t>
  </si>
  <si>
    <t>Risks resulting from changes in the management of project such as new project manager, scale down of work forces, change of Contractor and/or vendor, etc.</t>
  </si>
  <si>
    <t xml:space="preserve">Risks arising from poor project communication such as incomplete or unsuitable weekly project report information, failure to communicate through proper channels critical project risk and issues, failure to complete project information, unwillingness to follow project management tools </t>
  </si>
  <si>
    <t>Risks associated with construction or systems installation which include labor, equipment, materials, site H&amp;S, and technical.</t>
  </si>
  <si>
    <t>Project risks from local or national level such as political war, insurgents, public unrest, change of government and election turmoil.</t>
  </si>
  <si>
    <t xml:space="preserve">Project risks due to changes in labor law, worker’s compensation, employment discrimination, labor relations, family and medical leave, immigration, employee benefits, social security, wrongful termination, occupational safety  and health hazard, social security retirement insurance (SSS/GSIS) and minimum wage. </t>
  </si>
  <si>
    <t xml:space="preserve">Project risks arising from poor leadership in the government, national or local, e.g., failure in administrative processes, public decision making, relationships, public services and economic development. </t>
  </si>
  <si>
    <t>New import/export tariff rates, trade ban, trade sanctions and trade barriers.</t>
  </si>
  <si>
    <t>Business and income tax reforms, changes in federal tax codes, laws and regulations.</t>
  </si>
  <si>
    <t>National and local corruption level index is high (e.g., Corruption Perception Index CPI score, https://www.transparency.org): bribery, clientelism, embezzlement, lobbying and patronage cases are high.</t>
  </si>
  <si>
    <t>A bureaucracy is a large organization composed of appointed officials in which authority is divided among several managers. Issues in bureaucracy are red tape, conflict, duplication, imperialism, and waste.</t>
  </si>
  <si>
    <t xml:space="preserve">Project risks arising from territorial claims, cessation of bilateral political coordination between countries, processes in neighboring countries that might destabilize the region, organized international crime, and infiltration.  </t>
  </si>
  <si>
    <t>Project risk due to changes in inflation rates (CPI, annual variation in %) based on domestic performance and the international market.</t>
  </si>
  <si>
    <t xml:space="preserve">Tax and duty rates are long term factors affecting projects. </t>
  </si>
  <si>
    <t xml:space="preserve">Sources of risk factors from sources and availability of funds for projects, credit lines and institution investment policies </t>
  </si>
  <si>
    <t>Project risks due to working practices, de-skilling, e.g., loosing jobs due to implementation of machines and automation, people don’t speak to each other to get help as much anymore as they can find solution in the web, work motivation.</t>
  </si>
  <si>
    <t>Exposure to changes in foreign exchange rates fundamentally affects the project budget, and subsequently scope and schedule performances.</t>
  </si>
  <si>
    <t>The negative impact of high cost of living in meeting project objectives and implementation.</t>
  </si>
  <si>
    <t>The impact of GDP and GNP rating in meeting project objectives and implementation.</t>
  </si>
  <si>
    <t xml:space="preserve">The impact of globalized economy on managing projects: impact on project management processes, impact on absorptive (learning) capacity on cross-cultural context, impact on temporal alignment (project schedule, WBS), impact on social alignment (offshoring, co-sourcing), impact on vendor engagement. </t>
  </si>
  <si>
    <t xml:space="preserve">A way of living of individuals or the society as a whole expressed in works and behavior patterns that impacts the project objectives. </t>
  </si>
  <si>
    <t xml:space="preserve">These are assumptions and convictions a person hold to be true based on past experiences, on individual and communal level, that impact the objectives of the project. </t>
  </si>
  <si>
    <t>It is a change in social status relative to one's current social location within a given society and may impact project objectives.</t>
  </si>
  <si>
    <t>The education level of individual or of the society in general will have wide ranging impact on the success of project objectives.</t>
  </si>
  <si>
    <t>Social demographics has to do with the statistical characteristics of human population, including population density, ethnicity, education level, health, economic status, religious affiliation, etc., which may impact the success or failure of the project objectives.</t>
  </si>
  <si>
    <t xml:space="preserve">The moral belief systems and ethical values of individuals, community and society that affects the progress of the project objectives. These are expressed in the veneration of shrines, heritage areas, value systems, customs, manner and behavior transcended in the work and market places.  </t>
  </si>
  <si>
    <t>Social historical issues mostly are related to places, customs and people that may directly or indirectly impact the project objectives.</t>
  </si>
  <si>
    <t>Cross-cultural communication are susceptible to mis-understanding resulting to mis-coordination and has the potential to affect the project objectives.</t>
  </si>
  <si>
    <t>The evolving risk of emerging technologies such as adoption of new plant process, a new control and automation system, or a new chemical agent.</t>
  </si>
  <si>
    <t>Risks associated with the use of outside or foreign supplier of goods and/or services in lieu of internal resources. Project is exposed to loss of control, loss of innovation, loss of organizational trust, and higher than expected transaction cost.</t>
  </si>
  <si>
    <t xml:space="preserve">Recent trend in R&amp;D and technology direction will have impact on project objectives. </t>
  </si>
  <si>
    <t xml:space="preserve">Development or the lack of it in management system will have direct or indirect impact on project objectives. Knowledge-based management system based on old paradigm may not be suitable on new frontier projects; aggressive adoption of new management system may create confusion and gaps resulting in inefficiency with the end result of affecting the project objectives. </t>
  </si>
  <si>
    <t xml:space="preserve">Risks associated in the use of technology in removing bottlenecks and improving business processes. </t>
  </si>
  <si>
    <t>Risks associated with the availability and quality of communication network coverage for cloud-based solution impacting the project objectives.</t>
  </si>
  <si>
    <t>Risks associated with the implementation of systems and processes affecting production efficiencies that will impact the project objectives.</t>
  </si>
  <si>
    <t>The quality and pricing of technology devices, systems and processes will have an impact on the project objectives, e.g., risk of getting inferior products on a very highly competitive, unregulated and disruptive market.</t>
  </si>
  <si>
    <t>Risks associated with issues on IP affecting the project objectives; e.g., infringement on intellectual property.</t>
  </si>
  <si>
    <t>Risks associated with patents and licenses affecting the business objectives, e.g. expired government-issues license to operate.</t>
  </si>
  <si>
    <t>Risks associated with Government initiatives, or the lack of it, on innovation, cybercrime, license regulation, adoption of new systems and technologies that will impact the project objectives.</t>
  </si>
  <si>
    <t>Legal issues on taxation of business and projects, e.g., tax framework for Internet use, taxation for highly regulated utility product and services such as water distribution.</t>
  </si>
  <si>
    <t>Legal issues on employment policies and laws, its implication affecting the nature of the business and project objectives; e.g., employee use of social media, marijuana in the work place, independent contractors/consultants.</t>
  </si>
  <si>
    <t>Legal issues arising from the use of and consumption of product and services rendered by the Entity which will impact project objectives; e.g. consumer fraud issues, product safety and defects, personal injuries resulting from dangerous or defective products, false advertising and deceptive business practices.</t>
  </si>
  <si>
    <t xml:space="preserve">Legal issues arising from advertisement and community engagement, such as fora on social and political issues surrounding the business and the project, posting of contents that violates terms and conditions, copyright </t>
  </si>
  <si>
    <t xml:space="preserve">Legal issues on trade restrictions, supply contract, VAT, product compliance to technical requirements, product safety compliance issues, labeling and packaging and infringement on intellectual property rights.  </t>
  </si>
  <si>
    <t xml:space="preserve">Legal issues on occupational health and safety and safety in the workplace which will impact the project objectives. </t>
  </si>
  <si>
    <t>These are employer’s legal issues requiring compliance to the Government’s requirements on workplaces, such as general employment lay, drug testing program, employment practice audits, employee investigations, etc.</t>
  </si>
  <si>
    <t>Risks to project objectives associated with regulatory issues such as regulation of business sectors, industries and commodities. This includes regulatory risks, that is a change in regulations or legislation affecting security, company, or industry. It also includes issues on right of ways (ROW) for transmission projects.</t>
  </si>
  <si>
    <t>These are built properties like buildings and infrastructures affecting the project objectives.</t>
  </si>
  <si>
    <t xml:space="preserve">Typhoons, heavy rains, draught and other natural weather condition having direct or indirect impact on project objectives.  </t>
  </si>
  <si>
    <t xml:space="preserve">Impact of energy rate to production cost, affecting operation risk of projects. </t>
  </si>
  <si>
    <t>Acceptability of the project to the surrounding community, affecting project schedule, cost  and scope.</t>
  </si>
  <si>
    <t>Availability of disposal location, specialist contractor for disposal handling, internal resource capability for disposal of materials; these factors will affect project objectives.</t>
  </si>
  <si>
    <t>Impact of the project to the environment creating ecological consequences; the project is a risk to the environment and its surrounding.</t>
  </si>
  <si>
    <t>Impact of environmental legislation to the project objectives.</t>
  </si>
  <si>
    <t>Projects with plant process effluent (gas, solid, liquid) can be a source of contamination to the environment.</t>
  </si>
  <si>
    <t xml:space="preserve">Specific location of the project can be a risk impacting the project objectives; e.g., plant location is not suitable, not enough land for project development.     </t>
  </si>
  <si>
    <t xml:space="preserve">Biological risk belonging to WHO Risk Group 4, a virus outbreak in a large community and spreading across the country or even globally without known treatment or preventive measures causing a pandemic that paralyzes the Government, commerce and industry. </t>
  </si>
  <si>
    <t>Issues on lack of executive support on the project by the Board.</t>
  </si>
  <si>
    <t>Issues on Mancom member openly against the project</t>
  </si>
  <si>
    <t>Changes in corporate leadership risk.</t>
  </si>
  <si>
    <t>Crime or vandalism risk.</t>
  </si>
  <si>
    <t>Behavioral risk.</t>
  </si>
  <si>
    <t>Machine component fatigue risk.</t>
  </si>
  <si>
    <t>H&amp;S field works risk.</t>
  </si>
  <si>
    <t>Network SCADA and Telemetry failure risk.</t>
  </si>
  <si>
    <t>Outsourcing engineering consultant firm/entity risk.</t>
  </si>
  <si>
    <t>Issues on deep data, metrics and analytics on performance measurement</t>
  </si>
  <si>
    <t>Construction process failure risk.</t>
  </si>
  <si>
    <t>Construction quality management failure risk.</t>
  </si>
  <si>
    <t>Ethical issues at executive level risk.</t>
  </si>
  <si>
    <t>Issues with DOLE regulatory compliance</t>
  </si>
  <si>
    <t>HR internal controls risk.</t>
  </si>
  <si>
    <t>Compensation and salary risk.</t>
  </si>
  <si>
    <t>Impractical timeframe risk.</t>
  </si>
  <si>
    <t>Biased specification specification.</t>
  </si>
  <si>
    <t>Failure to identify potential sources risk.</t>
  </si>
  <si>
    <t>Bid documents not acceptable risk</t>
  </si>
  <si>
    <t>Issues on tender clarifications.</t>
  </si>
  <si>
    <t>Bid failure risk</t>
  </si>
  <si>
    <t>Failure on due diligence risk.</t>
  </si>
  <si>
    <t>Deadlock on details of agreement risk.</t>
  </si>
  <si>
    <t>Failure to meet liabilities of third parties (eg. royalties or third party property insurance) risk.</t>
  </si>
  <si>
    <t>Risk on failure to evaluate procurement and management processes.</t>
  </si>
  <si>
    <t>Collusive bidding at auction risk.</t>
  </si>
  <si>
    <t>Failure to identify project drivers risk.</t>
  </si>
  <si>
    <t>Code compliance design issues.</t>
  </si>
  <si>
    <t>Construction methodology risk.</t>
  </si>
  <si>
    <t>Issues on design review exercises.</t>
  </si>
  <si>
    <t>Cost escalation risk due to inflation, availability of materials and location.</t>
  </si>
  <si>
    <t>Issues on not aligned project timelines and WBS.</t>
  </si>
  <si>
    <t>Aerially deposited lead risk</t>
  </si>
  <si>
    <t>Risk on acetone hazards.</t>
  </si>
  <si>
    <t>Canine bite rabis infection risk.</t>
  </si>
  <si>
    <t>Cold Environments risk</t>
  </si>
  <si>
    <t>Manual lifting hazard risk.</t>
  </si>
  <si>
    <t>Air quality and air pollution hazard risk.</t>
  </si>
  <si>
    <t>Fatigue hazard risk.</t>
  </si>
  <si>
    <t>Risk in company culture mismatch with project undertaking.</t>
  </si>
  <si>
    <t>Change management risk</t>
  </si>
  <si>
    <t>Joint ventures risk.</t>
  </si>
  <si>
    <t>Change in company mandate risk.</t>
  </si>
  <si>
    <t>Risk on failure to establish mechanism on coordination.</t>
  </si>
  <si>
    <t>Risk on erosion of organizational authority.</t>
  </si>
  <si>
    <t>Risk due to failure of resource allocation.</t>
  </si>
  <si>
    <t>Insufficient cooperation between programme and services level risk.</t>
  </si>
  <si>
    <t>Risk due to issues on contingency plans.</t>
  </si>
  <si>
    <t>Budget limitation risk</t>
  </si>
  <si>
    <t>Risk on errors on simulation.</t>
  </si>
  <si>
    <t>Risk on intial project budgetary cost.</t>
  </si>
  <si>
    <t>Issues on project pre-charter review document missing or undocumented.</t>
  </si>
  <si>
    <t>Risk on errors in simulation.</t>
  </si>
  <si>
    <t>Risk on project with inadequate provision for contingency cost.</t>
  </si>
  <si>
    <t>Risk on cost changes</t>
  </si>
  <si>
    <t>Issues on incomplete systems and tie-ups</t>
  </si>
  <si>
    <t>Change of equipment brand model issues.</t>
  </si>
  <si>
    <t>Issues on the use and operation of new technologies.</t>
  </si>
  <si>
    <t>Change of Contractor risk.</t>
  </si>
  <si>
    <t>Failure to communicate critical project risk and issues.</t>
  </si>
  <si>
    <t>Contractor general performance issues.</t>
  </si>
  <si>
    <t>Change of government risk.</t>
  </si>
  <si>
    <t>Employee wrongful termination risk.</t>
  </si>
  <si>
    <t>Issues in economic development.</t>
  </si>
  <si>
    <t>Risk in the import and export rates policies.</t>
  </si>
  <si>
    <t>Issues in business and income tax reforms.</t>
  </si>
  <si>
    <t>Issues on high local corruption level index.</t>
  </si>
  <si>
    <t>Risk on conflict of interest issues.</t>
  </si>
  <si>
    <t>Issues on cessation of bilateral political coordination between countries.</t>
  </si>
  <si>
    <t>Higher borrowing cost risk.</t>
  </si>
  <si>
    <t>Issues on Customs tax and duties rates.</t>
  </si>
  <si>
    <t>Credit rating assessment risk.</t>
  </si>
  <si>
    <t>Risk due to failure of human interaction and communication.</t>
  </si>
  <si>
    <t>Forex rates fluctuation risk.</t>
  </si>
  <si>
    <t>Risk in high cost of living.</t>
  </si>
  <si>
    <t>Risk due to GDP growth rate issues.</t>
  </si>
  <si>
    <t>Risk on absortive capacity on cross-cultural context.</t>
  </si>
  <si>
    <t>Risk in behavior pattern of individual or society.</t>
  </si>
  <si>
    <t>Issues on community open resistance to the project.</t>
  </si>
  <si>
    <t>Risk in the change of social status relative to current social location.</t>
  </si>
  <si>
    <t>Risk on educational level of the community.</t>
  </si>
  <si>
    <t>Issue on the statistical characteristics of human population.</t>
  </si>
  <si>
    <t>Issues on heritage areas.</t>
  </si>
  <si>
    <t>Issues on customs with deep historical significance.</t>
  </si>
  <si>
    <t>Issues on local dialects.</t>
  </si>
  <si>
    <t>Risk in the adoption of innovative technologies.</t>
  </si>
  <si>
    <t>Risk in the use of external resource.</t>
  </si>
  <si>
    <t>Risk in the new development in R&amp;D.</t>
  </si>
  <si>
    <t>Risk in inefficiency due to the ineffective management system.</t>
  </si>
  <si>
    <t>Risk in the use of technology in removing bottlenecks.</t>
  </si>
  <si>
    <t>Risk due to network communication availability.</t>
  </si>
  <si>
    <t>Risk on the use of technology on systems and processes.</t>
  </si>
  <si>
    <t>Risk on the cost of technology.</t>
  </si>
  <si>
    <t>Risk on infringement.</t>
  </si>
  <si>
    <t>Risk on using patented products.</t>
  </si>
  <si>
    <t>Risk on Government lack of technology and systems innovation.</t>
  </si>
  <si>
    <t>Risk on legal issues on tax framework for water utility services.</t>
  </si>
  <si>
    <t>Risk on legal issue on use of social media in the workplace.</t>
  </si>
  <si>
    <t>Risk on legal issue on the public use of MWO water supply.</t>
  </si>
  <si>
    <t>Risk on legal issue on advertisement.</t>
  </si>
  <si>
    <t>Trade restriction risk.</t>
  </si>
  <si>
    <t>Risk on legal issue on occupational health safety.</t>
  </si>
  <si>
    <t>Risk on compliance to Government requirements on employment lay.</t>
  </si>
  <si>
    <t>Issues  on MOA of plant installation in private properties</t>
  </si>
  <si>
    <t>Issues on above grade structures and facilities</t>
  </si>
  <si>
    <t>Risk on typhoons.</t>
  </si>
  <si>
    <t>Risk on fluctuating energy cost.</t>
  </si>
  <si>
    <t>Issue on availability of disposal location.</t>
  </si>
  <si>
    <t>Risk on Downstream effect.</t>
  </si>
  <si>
    <t>Environmental law risk.</t>
  </si>
  <si>
    <t>Risk on carbon emmission using diesel Genset.</t>
  </si>
  <si>
    <t>Issues on conflict or clashes with other foreseeable built structures or below ground networks.</t>
  </si>
  <si>
    <t>Risk on pandemic.</t>
  </si>
  <si>
    <t>Issues on lack of sufficient authority of the project team.</t>
  </si>
  <si>
    <t>Mancom project issues disagreement risk.</t>
  </si>
  <si>
    <t>Issues on disruptions at the executive level.</t>
  </si>
  <si>
    <t>Equipment and machine failure risk.</t>
  </si>
  <si>
    <t>Lapses risk.</t>
  </si>
  <si>
    <t>Machine incompatibility risk.</t>
  </si>
  <si>
    <t>H&amp;S office premises risk.</t>
  </si>
  <si>
    <t>Plant automation failure risk.</t>
  </si>
  <si>
    <t>Outsourcing minor works specialist vendors or contractors risk</t>
  </si>
  <si>
    <t>Issues on IT &amp; Data Network process.</t>
  </si>
  <si>
    <t>IT &amp; Data Network process failure risk.</t>
  </si>
  <si>
    <t>Plant quality management failure risk.</t>
  </si>
  <si>
    <t>Issues &amp; challenges on on talent planning.</t>
  </si>
  <si>
    <t>Issues with LGU particular or special provisions labor code compliance</t>
  </si>
  <si>
    <t>HR policies and procedure risk.</t>
  </si>
  <si>
    <t>Equity and incentive package.</t>
  </si>
  <si>
    <t>Insufficient funding risk.</t>
  </si>
  <si>
    <t>Definition of inappropriate product or service risk.</t>
  </si>
  <si>
    <t>Selecting inappropriate method risk.</t>
  </si>
  <si>
    <t>Erroneous contract risk</t>
  </si>
  <si>
    <t>Risk on actual or perceived breach of confidentiality.</t>
  </si>
  <si>
    <t>Breaches of security risk.</t>
  </si>
  <si>
    <t>Selecting an inappropriate contractor risk.</t>
  </si>
  <si>
    <t>Failure to reflect the terms offered and agreed in the contract risk.</t>
  </si>
  <si>
    <t>Fraud risk.</t>
  </si>
  <si>
    <t>Risk on failure to identify and address problems.</t>
  </si>
  <si>
    <t>Inadequate disposal tender management risk.</t>
  </si>
  <si>
    <t>Over scope risk.</t>
  </si>
  <si>
    <t>Constructability issues.</t>
  </si>
  <si>
    <t>Failure to identify tie-ins risk.</t>
  </si>
  <si>
    <t>Risk on complete failure to fulfill Quality Management Systems of project.</t>
  </si>
  <si>
    <t>Cost risk due to expediting.</t>
  </si>
  <si>
    <t>Risk arising from moving project timelines and schedules.</t>
  </si>
  <si>
    <t>Asbestos risk.</t>
  </si>
  <si>
    <t>Risk on acetylene hazards.</t>
  </si>
  <si>
    <t>Insect bites risk</t>
  </si>
  <si>
    <t>Collision and Impact risk.</t>
  </si>
  <si>
    <t>Manual works hazard risk.</t>
  </si>
  <si>
    <t>Dust hazard risk.</t>
  </si>
  <si>
    <t>Occupational violence risk.</t>
  </si>
  <si>
    <t>Risk in company process mismatch with project undertaking.</t>
  </si>
  <si>
    <t>Company major restructuring risk.</t>
  </si>
  <si>
    <t>Undertaking risk.</t>
  </si>
  <si>
    <t>Change in company objectives risk.</t>
  </si>
  <si>
    <t>Risk on failure to establish mechanism on corporation communication.</t>
  </si>
  <si>
    <t>Risk on failure to establish formal leadership on key functions.</t>
  </si>
  <si>
    <t>Risk due to failure of resource optimization.</t>
  </si>
  <si>
    <t>Risk for failure to achieve outcome due to poor collaboration.</t>
  </si>
  <si>
    <t>Risk due to lack or resiliency.</t>
  </si>
  <si>
    <t>Community opposition risk.</t>
  </si>
  <si>
    <t>Risk on initial design due to unaccounted regulatory requirements.</t>
  </si>
  <si>
    <t>Risk on intial project schedule and timeline.</t>
  </si>
  <si>
    <t>Risk on project benefits not properly articulated or not documented.</t>
  </si>
  <si>
    <t>Risk on project with erroneous feasibility study report.</t>
  </si>
  <si>
    <t>Risk on project without provision for contingency cost.</t>
  </si>
  <si>
    <t>Risk on schedule changes</t>
  </si>
  <si>
    <t>Issues on the availability of required subject matter expert.</t>
  </si>
  <si>
    <t>Defective product or equipment risk.</t>
  </si>
  <si>
    <t>Plant process control system issues.</t>
  </si>
  <si>
    <t>Change of Owner's Engineer Consultant risk.</t>
  </si>
  <si>
    <t>Failure to communicate through proper channels risk.</t>
  </si>
  <si>
    <t>Issues on availability of construction documents and information at site.</t>
  </si>
  <si>
    <t>Election turmoil risk.</t>
  </si>
  <si>
    <t>Employees benefits risk.</t>
  </si>
  <si>
    <t>Issues in public decision making.</t>
  </si>
  <si>
    <t>Risk in trade ban.</t>
  </si>
  <si>
    <t>Issues on compliance tax risk.</t>
  </si>
  <si>
    <t>Issues on high national corruption level index.</t>
  </si>
  <si>
    <t>Risk on delays on the issuance of permits.</t>
  </si>
  <si>
    <t>Issues on sovereign territorial claims.</t>
  </si>
  <si>
    <t>Issues on goods competitive disadvantage.</t>
  </si>
  <si>
    <t>Issues on tax reforms.</t>
  </si>
  <si>
    <t>Institution investment policies risk.</t>
  </si>
  <si>
    <t>Risk due to work force de-skilling issues.</t>
  </si>
  <si>
    <t>Transaction exposure risk.</t>
  </si>
  <si>
    <t>Risk due to GNP growth rate issues.</t>
  </si>
  <si>
    <t>Risk on project management processes.</t>
  </si>
  <si>
    <t>Risk in changing lifestyle.</t>
  </si>
  <si>
    <t>Issues on personal and communal value system.</t>
  </si>
  <si>
    <t>Risk on the education level of available local talents and resource.</t>
  </si>
  <si>
    <t>Issues on economic status.</t>
  </si>
  <si>
    <t>Issues on the veneration of shrines.</t>
  </si>
  <si>
    <t>Issues on local places with historical significance.</t>
  </si>
  <si>
    <t>Issues on perceived community values and customs.</t>
  </si>
  <si>
    <t>Risk in the adoption of new cloud-based SCADA system.</t>
  </si>
  <si>
    <t>Risk in the use of foreign services.</t>
  </si>
  <si>
    <t>Risk in the obselences of the installed plant still in its prime economic condition.</t>
  </si>
  <si>
    <t>Risk in the adoption of unsuitable management system.</t>
  </si>
  <si>
    <t>Risk in the use of technology to improve business processes.</t>
  </si>
  <si>
    <t>Issues on internet bandwidth availability.</t>
  </si>
  <si>
    <t>Risk on technologies affecting efficiencies and production.</t>
  </si>
  <si>
    <t>Risk on the quality of technological equipment.</t>
  </si>
  <si>
    <t>Risk on intellectual property rights.</t>
  </si>
  <si>
    <t>Risk on using patented process.</t>
  </si>
  <si>
    <t>Risk on Government initiative on cybercrime.</t>
  </si>
  <si>
    <t>Risk on legal issues on tax framework on PPP portfolio projects.</t>
  </si>
  <si>
    <t>Risk on legal issue on the use of substance in the workplace.</t>
  </si>
  <si>
    <t>Risk on legal issue of consumer fraud.</t>
  </si>
  <si>
    <t>Risk on legal issue on community engagement.</t>
  </si>
  <si>
    <t>Supply contract risk.</t>
  </si>
  <si>
    <t>Risk on legal issue on safety in the workplace..</t>
  </si>
  <si>
    <t>Risk on compliance to Government requirements on drug testing.</t>
  </si>
  <si>
    <t>Issues  on MOA of plant installation in public and Government properties</t>
  </si>
  <si>
    <t>Issues on below grade utilities and structures.</t>
  </si>
  <si>
    <t>Risk on heavy rains.</t>
  </si>
  <si>
    <t>Risk on availability of energy at site.</t>
  </si>
  <si>
    <t>Issues on project negatively affecting the community.</t>
  </si>
  <si>
    <t>Issue on availability of specialist contractor disposal handling.</t>
  </si>
  <si>
    <t>Risk on ecological consequences.</t>
  </si>
  <si>
    <t>Risk on changes on Environmental laws and regulations.</t>
  </si>
  <si>
    <t>Risk on chemical contamination.</t>
  </si>
  <si>
    <t>Issues on deforestation.</t>
  </si>
  <si>
    <t>Risk on community quarantine.</t>
  </si>
  <si>
    <t>Issues on incumbent executives leaving the company.</t>
  </si>
  <si>
    <t>Loss of electric power supply risk.</t>
  </si>
  <si>
    <t>Mistakes risk.</t>
  </si>
  <si>
    <t>Machine intermittent failure risk.</t>
  </si>
  <si>
    <t>H&amp;S plant and warehouse premises risk.</t>
  </si>
  <si>
    <t>UW Lift stations failure risk.</t>
  </si>
  <si>
    <t>Outsourcing specialist and expert matter consultant risk.</t>
  </si>
  <si>
    <t>Issues on plant and production processes.</t>
  </si>
  <si>
    <t>Plant process failure risk.</t>
  </si>
  <si>
    <t>Project control &amp; monitoring failure risk.</t>
  </si>
  <si>
    <t>Issues on compensation package</t>
  </si>
  <si>
    <t>Labor code regulation changes risk.</t>
  </si>
  <si>
    <t>HR resource vendor management risk.</t>
  </si>
  <si>
    <t>HR cost management</t>
  </si>
  <si>
    <t>Needs overstatement risk.</t>
  </si>
  <si>
    <t>Inadequate statement of requirements risk.</t>
  </si>
  <si>
    <t>Issue on not enough time for Contractor/Vendor to prepare bids.</t>
  </si>
  <si>
    <t>Risk on actual or perceived favouritism in providing information.</t>
  </si>
  <si>
    <t>Decision made on subjective grounds risk.</t>
  </si>
  <si>
    <t>Selecting an inappropriate supplier or vendor risk.</t>
  </si>
  <si>
    <t>Inadvertently creating a contract without the delegate’s prior approval risk.</t>
  </si>
  <si>
    <t>Inadequately administering the contract risk.</t>
  </si>
  <si>
    <t>Poor scope definition risk.</t>
  </si>
  <si>
    <t>Design approval issues.</t>
  </si>
  <si>
    <t>Issues on executives not supporting new emerging technologies.</t>
  </si>
  <si>
    <t>Risk on failure on live project planning.</t>
  </si>
  <si>
    <t>Cost risk due to unaccounted environmental impact of the project.</t>
  </si>
  <si>
    <t>Risk on incomplete project timelines.</t>
  </si>
  <si>
    <t>Dangerous goods risk.</t>
  </si>
  <si>
    <t>Risk on ethanol hazards.</t>
  </si>
  <si>
    <t>Localized contagious virus risk</t>
  </si>
  <si>
    <t>Compressed Gases</t>
  </si>
  <si>
    <t>Gassy or potentially gassy operations risk.</t>
  </si>
  <si>
    <t>Workplace harassment risk.</t>
  </si>
  <si>
    <t>Risk in company structure mismatch with project undertaking.</t>
  </si>
  <si>
    <t>Merger &amp; acquisition risk.</t>
  </si>
  <si>
    <t>Change in company rationale risk.</t>
  </si>
  <si>
    <t>Risk on failure to establish formal leadership on key positions.</t>
  </si>
  <si>
    <t>Risk due to recovery time issues.</t>
  </si>
  <si>
    <t>Cost risk.</t>
  </si>
  <si>
    <t>Risk on initial designs based on unfounded assumptions.</t>
  </si>
  <si>
    <t>Risk on intial project scope, budget, schedule and timeline.</t>
  </si>
  <si>
    <t>Risk on project pre-charter review not conducted.</t>
  </si>
  <si>
    <t>Risk on project with feasibility studies having insufficient options.</t>
  </si>
  <si>
    <t>Unfounded provisioning for contingency risk.</t>
  </si>
  <si>
    <t>Risk on scope changes.</t>
  </si>
  <si>
    <t>Plant performance deficiency risk.</t>
  </si>
  <si>
    <t>Early failures risk.</t>
  </si>
  <si>
    <t>Plant process input requirements not sustainable.</t>
  </si>
  <si>
    <t>Change of Supplier or Vendor risk.</t>
  </si>
  <si>
    <t>Incomplete weekly project report risk.</t>
  </si>
  <si>
    <t>Issues on availability of space for construction machineries and equipment.</t>
  </si>
  <si>
    <t>Military movements risk</t>
  </si>
  <si>
    <t>Employment discrimination risk.</t>
  </si>
  <si>
    <t>Issues in public relationships.</t>
  </si>
  <si>
    <t>Risk in trade barriers.</t>
  </si>
  <si>
    <t>Issues on financial accounting tax risk.</t>
  </si>
  <si>
    <t>Risk on high bribery issues.</t>
  </si>
  <si>
    <t>Risk on delays on the processing and issuance of Government documents.</t>
  </si>
  <si>
    <t>Risk on infiltration issues.</t>
  </si>
  <si>
    <t>Purchasing power risk.</t>
  </si>
  <si>
    <t>Issues on VAT on import and export of goods.</t>
  </si>
  <si>
    <t>Issues on credit lines.</t>
  </si>
  <si>
    <t>Work motivation issue.</t>
  </si>
  <si>
    <t>Translation exposure risk.</t>
  </si>
  <si>
    <t>Risk on social alignment such as offshoring and co-sourcing.</t>
  </si>
  <si>
    <t>Risk in way of living of individual or society.</t>
  </si>
  <si>
    <t>Risk on conflicts of beliefs.</t>
  </si>
  <si>
    <t>Issus on religious affiliation.</t>
  </si>
  <si>
    <t>Risk on communal and societal customs, manner and behavior.</t>
  </si>
  <si>
    <t>Issues on society and its history.</t>
  </si>
  <si>
    <t>Risk in failure to communicate.</t>
  </si>
  <si>
    <t>Risk in the adoption of new plant process.</t>
  </si>
  <si>
    <t>Risk in the use of foreign supplied goods and materials.</t>
  </si>
  <si>
    <t>Risk in the obsolences of processes due to the latest R&amp;D global direction.</t>
  </si>
  <si>
    <t>Risk in the aggressive adoption of new management system.</t>
  </si>
  <si>
    <t>Risk on GSM coverage at remote project site.</t>
  </si>
  <si>
    <t>Risk on the quality of technology process and systems.</t>
  </si>
  <si>
    <t>Risk on using patented systems.</t>
  </si>
  <si>
    <t>Risk on Government license regulation.</t>
  </si>
  <si>
    <t>Risk on legal issue on product safety and defects.</t>
  </si>
  <si>
    <t>Risk on legal issue on fora on social &amp; political issues surrounding the project.</t>
  </si>
  <si>
    <t>Risk on VAT laws.</t>
  </si>
  <si>
    <t>Issues on DOLE regulatory requirements.</t>
  </si>
  <si>
    <t>Risk on compliance to Government requirements employment practice audit.</t>
  </si>
  <si>
    <t>Issues on land acquisitions</t>
  </si>
  <si>
    <t>Issues on excavation along newly built roads.</t>
  </si>
  <si>
    <t>Risk on draught.</t>
  </si>
  <si>
    <t>Risk on community acceptance of the project.</t>
  </si>
  <si>
    <t>Issue on MWO internal resource capability for disposal of materials.</t>
  </si>
  <si>
    <t>Risk on impact on air.</t>
  </si>
  <si>
    <t>Risk on environmental sanction</t>
  </si>
  <si>
    <t>Risk on environmental surface contamination.</t>
  </si>
  <si>
    <t>Issues on municipal boundary dispute of project location.</t>
  </si>
  <si>
    <t>Risk on large-scale viral infection.</t>
  </si>
  <si>
    <t>Loss of potable water risk.</t>
  </si>
  <si>
    <t>Physiological risk.</t>
  </si>
  <si>
    <t>Machine malfunction risk.</t>
  </si>
  <si>
    <t>H&amp;S project site risk.</t>
  </si>
  <si>
    <t>Water network booster failure risk.</t>
  </si>
  <si>
    <t>Outsourcing student internship (OJT) program risk.</t>
  </si>
  <si>
    <t>Issues on process employed on SCADA &amp; Telemetry.</t>
  </si>
  <si>
    <t>SCADA &amp; Telemetry process failure risk.</t>
  </si>
  <si>
    <t>Project management failure risk.</t>
  </si>
  <si>
    <t>Issues on talent performance</t>
  </si>
  <si>
    <t>Talent regularization issues.</t>
  </si>
  <si>
    <t>HR talent sourcing risk.</t>
  </si>
  <si>
    <t>HR financial accounting and disclosure risk.</t>
  </si>
  <si>
    <t>Needs understatement risk.</t>
  </si>
  <si>
    <t>Narrow definition or brand model partisan risk.</t>
  </si>
  <si>
    <t>Providing inadequate information risk.</t>
  </si>
  <si>
    <t>Risk on failure to adequately address enquiries from tenderers.</t>
  </si>
  <si>
    <t>Failure to follow effective evaluation procedures risk.</t>
  </si>
  <si>
    <t>Selecting inappropriate product risk.</t>
  </si>
  <si>
    <t>Risk on bloated or over budget bids.</t>
  </si>
  <si>
    <t>Issue on Supplier or Contractor unwilling to accept contract.</t>
  </si>
  <si>
    <t>Risk on scope not related to the project.</t>
  </si>
  <si>
    <t>Design deficiency risk.</t>
  </si>
  <si>
    <t>Issues on technology adoption not aligned with business strategy.</t>
  </si>
  <si>
    <t>Risk on failure on process documentation.</t>
  </si>
  <si>
    <t>Cost risk due to unaccounted hazardous waste removal and containment.</t>
  </si>
  <si>
    <t>Risk on insufficient project timelines.</t>
  </si>
  <si>
    <t>Leaks or release in air of toxic gas risk.</t>
  </si>
  <si>
    <t>Risk on handling hydro-carbon derived hazardous materials.</t>
  </si>
  <si>
    <t>Snake bites risk.</t>
  </si>
  <si>
    <t>Confined space risk.</t>
  </si>
  <si>
    <t>Lighting hazard risk.</t>
  </si>
  <si>
    <t>Work-related stress risk.</t>
  </si>
  <si>
    <t>Risk on failure to formulate policies on business continuity.</t>
  </si>
  <si>
    <t>Environmental risk.</t>
  </si>
  <si>
    <t>Risk on initial designs without proper basis.</t>
  </si>
  <si>
    <t>Risk on intial project scoping.</t>
  </si>
  <si>
    <t>Risk on project with feasibility studies having poor strategies.</t>
  </si>
  <si>
    <t>Risk on unplanned time extension</t>
  </si>
  <si>
    <t>Risk on mismatch on original and final project benefits.</t>
  </si>
  <si>
    <t>Issues on installed products that are not type-approved.</t>
  </si>
  <si>
    <t>Plant process not meeting regulation requirements risk.</t>
  </si>
  <si>
    <t>New construction manager risk.</t>
  </si>
  <si>
    <t>Poor project communication risk.</t>
  </si>
  <si>
    <t>Issues on civil and site development works</t>
  </si>
  <si>
    <t>Paramilitary and insurgent movements risk.</t>
  </si>
  <si>
    <t>Family and medical leave risk.</t>
  </si>
  <si>
    <t>Issues in public services.</t>
  </si>
  <si>
    <t>Risk in trade sanctions.</t>
  </si>
  <si>
    <t>Issues on operational tax risk.</t>
  </si>
  <si>
    <t>Risk on high clientelism issues.</t>
  </si>
  <si>
    <t>Risk on duplication issues.</t>
  </si>
  <si>
    <t>Risk on organized international crime.</t>
  </si>
  <si>
    <t>Risk due to changes in inflation rates.</t>
  </si>
  <si>
    <t>Risk on additional duties and taxes on import and export of goods.</t>
  </si>
  <si>
    <t>Sources of funds risk.</t>
  </si>
  <si>
    <t>Risk on temporal alignment such as WBS and project schedule.</t>
  </si>
  <si>
    <t>Risk in work values of individual or society.</t>
  </si>
  <si>
    <t>Risk on diversity in society and community.</t>
  </si>
  <si>
    <t>Risk on community health.</t>
  </si>
  <si>
    <t>Risk on value systems.</t>
  </si>
  <si>
    <t>Risk on the erosion of stakeholder local engagement.</t>
  </si>
  <si>
    <t>Risk in the use of new control and automation system.</t>
  </si>
  <si>
    <t>Risk in the use of obsolete project management system.</t>
  </si>
  <si>
    <t>Issues on using inferior products</t>
  </si>
  <si>
    <t>Risk on using expired government-issued license.</t>
  </si>
  <si>
    <t>Risk on Government adoption on new systems.</t>
  </si>
  <si>
    <t>Risk on legal issue on personal injuries resulting from the use of contaminated water.</t>
  </si>
  <si>
    <t>Risk on legal issue on posting of contents violating terms &amp; conditions.</t>
  </si>
  <si>
    <t>Risk on product compliance to technical requirements.</t>
  </si>
  <si>
    <t>Risk on compliance to Government requirements on employee investigations.</t>
  </si>
  <si>
    <t>Issues on land conversions</t>
  </si>
  <si>
    <t>Risk on available space due to existing facilities and structures.</t>
  </si>
  <si>
    <t>Risk on natural weather conditions.</t>
  </si>
  <si>
    <t>Issue on illegal disposal</t>
  </si>
  <si>
    <t>Risk on impact on biodiversity.</t>
  </si>
  <si>
    <t>Risk on fuel oil seepage.</t>
  </si>
  <si>
    <t>Issues on not enough plot of land or properties for project development.</t>
  </si>
  <si>
    <t>Risk on viral infection on project site and barracks.</t>
  </si>
  <si>
    <t>MWO building premises and structure fire risk.</t>
  </si>
  <si>
    <t>Psychological risk.</t>
  </si>
  <si>
    <t>Machine permanent failure risk.</t>
  </si>
  <si>
    <t>H&amp;S transport and mobility risk.</t>
  </si>
  <si>
    <t>Water network system valving failure risk.</t>
  </si>
  <si>
    <t>Outsourcing temporary rank and file staff risk.</t>
  </si>
  <si>
    <t>Issues on quality management process system.</t>
  </si>
  <si>
    <t>Talent management risk.</t>
  </si>
  <si>
    <t>HR talent training and development risk.</t>
  </si>
  <si>
    <t>HR performance metrics</t>
  </si>
  <si>
    <t>Probity issues.</t>
  </si>
  <si>
    <t>Risk on contract not suitable for project.</t>
  </si>
  <si>
    <t xml:space="preserve">Risk on insufficient number of accredited and qualified product vendors and suppliers </t>
  </si>
  <si>
    <t>Failure to identify a clear winner risk.</t>
  </si>
  <si>
    <t>Risk on failure to secure agreement in relation to Capdev Contracts Confidentiality Policy.</t>
  </si>
  <si>
    <t>Key personnel not available risk.</t>
  </si>
  <si>
    <t>Risk on strategic scope not translated to engineering scope.</t>
  </si>
  <si>
    <t>Design flaw risk.</t>
  </si>
  <si>
    <t>Risk on adopting new process technology.</t>
  </si>
  <si>
    <t>Risk on failure to do project reviews.</t>
  </si>
  <si>
    <t>Engineering cost estimate higher than ABP cost risk.</t>
  </si>
  <si>
    <t>Risk on very long project timelines.</t>
  </si>
  <si>
    <t>Waste management risk</t>
  </si>
  <si>
    <t>Risk on hydro derivative gas accumulation from STP tanks and chambers.</t>
  </si>
  <si>
    <t>Drowning risk</t>
  </si>
  <si>
    <t>Noise hazard risk.</t>
  </si>
  <si>
    <t>Governance and Regulation risk.</t>
  </si>
  <si>
    <t>Risk on initial plant sizing due to inconsistent load requirement analysis.</t>
  </si>
  <si>
    <t>Risk on project with feasibility studies using unfounded assumptions.</t>
  </si>
  <si>
    <t>Risk on unplanned variation order</t>
  </si>
  <si>
    <t xml:space="preserve">Risk on plant full performance test using partial loading only. </t>
  </si>
  <si>
    <t>Non-standard installation risk.</t>
  </si>
  <si>
    <t>Plant, system or process performance guarantee risk.</t>
  </si>
  <si>
    <t>New project manager risk.</t>
  </si>
  <si>
    <t>Risk on unwilingness to follow project management tools.</t>
  </si>
  <si>
    <t>Issues on construction equipment repair and maintenance.</t>
  </si>
  <si>
    <t>Political war risk.</t>
  </si>
  <si>
    <t>Immigration policies risk.</t>
  </si>
  <si>
    <t>Local government poor leadership risk.</t>
  </si>
  <si>
    <t>Issues on portfolio tax risk.</t>
  </si>
  <si>
    <t>Risk on high embezzlement issues.</t>
  </si>
  <si>
    <t>Risk on imperialism issues.</t>
  </si>
  <si>
    <t>Risk on regional destabilization due to processes in neighboring countries.</t>
  </si>
  <si>
    <t>Risk on changes on Customs tax and duties rates.</t>
  </si>
  <si>
    <t>Risk on vendor engagement.</t>
  </si>
  <si>
    <t>Risk on individual or communal assumptions and convictions.</t>
  </si>
  <si>
    <t>Risk on education level.</t>
  </si>
  <si>
    <t>Risk in the use of new model equipment.</t>
  </si>
  <si>
    <t>Risk on disruptive market technology.</t>
  </si>
  <si>
    <t>Risk on Government adoption on new technologies.</t>
  </si>
  <si>
    <t>Risk on legal issue on falsified advertising.</t>
  </si>
  <si>
    <t>Risk on legal issue on copyright.</t>
  </si>
  <si>
    <t>Product safety compliance issue.</t>
  </si>
  <si>
    <t>Issues on the use of Government-owned raw water input common facilities.</t>
  </si>
  <si>
    <t>Risk on un-accounted facilities in conflict with the project.</t>
  </si>
  <si>
    <t>Risk on thunderstorm.</t>
  </si>
  <si>
    <t>Risk on impact on climate.</t>
  </si>
  <si>
    <t>Risk on process plant effluent.</t>
  </si>
  <si>
    <t>Issues on protected areas.</t>
  </si>
  <si>
    <t>Risk on viral infection on the nearest community of the project.</t>
  </si>
  <si>
    <t>Natural disaster risk.</t>
  </si>
  <si>
    <t>Violations risk.</t>
  </si>
  <si>
    <t>Supporting Structure collapse risk.</t>
  </si>
  <si>
    <t>Water reservoir filling rate failure risk.</t>
  </si>
  <si>
    <t>Talent succession risk.</t>
  </si>
  <si>
    <t>User needs misinterpretation risk.</t>
  </si>
  <si>
    <t>Terms and conditions unacceptable to tenderers risk.</t>
  </si>
  <si>
    <t>Risk on insufficient number of accredited consultants</t>
  </si>
  <si>
    <t>Issues on Bidders requesting for time extension on tender submission.</t>
  </si>
  <si>
    <t>Risk on failure to secure mandatory conditions.</t>
  </si>
  <si>
    <t>Loss of intellectual property risk.</t>
  </si>
  <si>
    <t>Risk on undefined or varying WBS.</t>
  </si>
  <si>
    <t>Design not in MWO Standard risk.</t>
  </si>
  <si>
    <t>Risk on adopting proprietary technology.</t>
  </si>
  <si>
    <t>Risk on project resourcing.</t>
  </si>
  <si>
    <t>Issues on project base cost estimate.</t>
  </si>
  <si>
    <t>Risk on LPG hazards</t>
  </si>
  <si>
    <t>Electrical hazard risk.</t>
  </si>
  <si>
    <t>Project sitea area prone to landslide risk.</t>
  </si>
  <si>
    <t>HOA MOA issues</t>
  </si>
  <si>
    <t>Risk on initial plant sizing due to inconsistent water source analysis.</t>
  </si>
  <si>
    <t>Risk on project without feasibility studies.</t>
  </si>
  <si>
    <t>Risk on unrestrained cost escalation</t>
  </si>
  <si>
    <t>Risk on plant partial system test.</t>
  </si>
  <si>
    <t>Process proving issues</t>
  </si>
  <si>
    <t>Scaledown of work forces risk.</t>
  </si>
  <si>
    <t>Unsuitable project report information risk.</t>
  </si>
  <si>
    <t>Issues on construction site hazard management.</t>
  </si>
  <si>
    <t>Public unrest risk.</t>
  </si>
  <si>
    <t>Issues in social security retirment insurance SSS GSIS policies.</t>
  </si>
  <si>
    <t>National government poor leadership risk.</t>
  </si>
  <si>
    <t>Issues on reputational tax risk.</t>
  </si>
  <si>
    <t>Risk on high lobbying issues.</t>
  </si>
  <si>
    <t>Risk on LGU/NGA approval or no objection of design and studies.</t>
  </si>
  <si>
    <t>Risk on norms on the society.</t>
  </si>
  <si>
    <t>Risk on ethnicity.</t>
  </si>
  <si>
    <t>Risk in the use of newly developed checmial agents.</t>
  </si>
  <si>
    <t>Risk on legal issue on deceptive business practice.</t>
  </si>
  <si>
    <t>Labeling and packaging issues.</t>
  </si>
  <si>
    <t>Risk on change of regulations.</t>
  </si>
  <si>
    <t>Risk on impact on ecosystems.</t>
  </si>
  <si>
    <t>Issues on sewer influent flow rate.</t>
  </si>
  <si>
    <t>Risk on industrial, commercial business limited mobility</t>
  </si>
  <si>
    <t>Third-party disruption risk.</t>
  </si>
  <si>
    <t>System failure risk.</t>
  </si>
  <si>
    <t>Water transmission pipe failure risk.</t>
  </si>
  <si>
    <t>Tone at the top risk.</t>
  </si>
  <si>
    <t>TOR incomplete with loop holes risk.</t>
  </si>
  <si>
    <t>Risk on insufficient number of accredited contractors.</t>
  </si>
  <si>
    <t>Issues on Tender Evaluation</t>
  </si>
  <si>
    <t>Risk on not matching the expectations of buyer and tenderer.</t>
  </si>
  <si>
    <t>Loss or damage to goods in transit risk.</t>
  </si>
  <si>
    <t>Scope creep risk.</t>
  </si>
  <si>
    <t>Design not in MWSS Standards or MWSS TAGS risk.</t>
  </si>
  <si>
    <t>Risk on failure of the leadership to adopt to emerging technologies.</t>
  </si>
  <si>
    <t>Issues on project phasing.</t>
  </si>
  <si>
    <t>Risk on methane hazards.</t>
  </si>
  <si>
    <t>Fires risk</t>
  </si>
  <si>
    <t>Surrounding environment hazard risk.</t>
  </si>
  <si>
    <t>Inadequate or wrong assumptions risk</t>
  </si>
  <si>
    <t>Risk on over design of plant and systems.</t>
  </si>
  <si>
    <t>Risk on using wrong models.</t>
  </si>
  <si>
    <t>Risk on unrestrained project schedule delays</t>
  </si>
  <si>
    <t>Risk on project benefits without proper metrics.</t>
  </si>
  <si>
    <t>Unsuitable plant process issues.</t>
  </si>
  <si>
    <t>Issues on project key personnel change.</t>
  </si>
  <si>
    <t>Project design and construction coordination issues with critical Stakeholders.</t>
  </si>
  <si>
    <t>Issues on construction site proper house keeping.</t>
  </si>
  <si>
    <t>Terrorist activities risk.</t>
  </si>
  <si>
    <t>Labor relations risk.</t>
  </si>
  <si>
    <t>Risk in the failure of administrative processes.</t>
  </si>
  <si>
    <t>Issues on tax risk management.</t>
  </si>
  <si>
    <t>Risk on patronage issues.</t>
  </si>
  <si>
    <t>Risk on red tape issues.</t>
  </si>
  <si>
    <t>Risk on paradigm shift.</t>
  </si>
  <si>
    <t>Risk on population density.</t>
  </si>
  <si>
    <t>Risk in the use of proprietary technologies.</t>
  </si>
  <si>
    <t>Infringement on intellectual property rights.</t>
  </si>
  <si>
    <t>Risk on corporate legislation.</t>
  </si>
  <si>
    <t>Risk on impact on fisheries and migrations.</t>
  </si>
  <si>
    <t xml:space="preserve">Issues on site accessibility </t>
  </si>
  <si>
    <t>Utility services damage risk.</t>
  </si>
  <si>
    <t>TOR inimical to MWO risk.</t>
  </si>
  <si>
    <t>Risk on insufficient number of accredited specialists.</t>
  </si>
  <si>
    <t>Issues on Tender offers exceeding the budget.</t>
  </si>
  <si>
    <t>Unfair or onerous requirements on the tenderer in the contract conditions risk.</t>
  </si>
  <si>
    <t>Risk on Contractor or Vendor started work without NTP or signed Contract.</t>
  </si>
  <si>
    <t>Scope variations risk.</t>
  </si>
  <si>
    <t>Insufficient details on the design risk.</t>
  </si>
  <si>
    <t>Risk on failure to create guidelines and policies on the new adopted technology.</t>
  </si>
  <si>
    <t>Lead times risk.</t>
  </si>
  <si>
    <t>Risk on paint hazards.</t>
  </si>
  <si>
    <t>Hand / Arm Vibration risk</t>
  </si>
  <si>
    <t>Temperature stress risk</t>
  </si>
  <si>
    <t>Inadequate Planning Risk</t>
  </si>
  <si>
    <t>Risk on system sizing due to over population.</t>
  </si>
  <si>
    <t>Risk on system non-conformance.</t>
  </si>
  <si>
    <t>Issues on insufficient or outdated construction progress report.</t>
  </si>
  <si>
    <t>Issues on Contractor's performance on project management.</t>
  </si>
  <si>
    <t>Travel restrictions risk.</t>
  </si>
  <si>
    <t>Minimum wage issues.</t>
  </si>
  <si>
    <t>Issues on transactional tax risk.</t>
  </si>
  <si>
    <t>Risk on wastage issues.</t>
  </si>
  <si>
    <t>Risk on perceived value system.</t>
  </si>
  <si>
    <t>Risk on industry legislation.</t>
  </si>
  <si>
    <t>Risk on impact on flora and fauna.</t>
  </si>
  <si>
    <t>Issues on unsuitable project site location.</t>
  </si>
  <si>
    <t>Risk on insufficient number of responses.</t>
  </si>
  <si>
    <t>Issues on Tender offers excessively below budget.</t>
  </si>
  <si>
    <t>Risk on failure of Contractor to provide timely construction equipment and materials as per project timeline.</t>
  </si>
  <si>
    <t>Under scope risk.</t>
  </si>
  <si>
    <t>Issues in Health and Safety in Design.</t>
  </si>
  <si>
    <t>Risk on failure to do due diligence before adopting new technologies.</t>
  </si>
  <si>
    <t>Mode of payment risk.</t>
  </si>
  <si>
    <t>Risk on petrol hazards.</t>
  </si>
  <si>
    <t>Hot Environments risk</t>
  </si>
  <si>
    <t>Issues on failure to exhaust all areas of potential impact.</t>
  </si>
  <si>
    <t>Risk on system sizing due to under population.</t>
  </si>
  <si>
    <t>Risk on undefined project benefits.</t>
  </si>
  <si>
    <t>Issues on Electro-Mechanical systems and devices</t>
  </si>
  <si>
    <t>Risk due to changes in labor law.</t>
  </si>
  <si>
    <t>Risk in changes in federal tax codes, laws and regulations.</t>
  </si>
  <si>
    <t>Risk on public acceptance of products, goods and commodoties.</t>
  </si>
  <si>
    <t>Risk on regulation of business commodoties.</t>
  </si>
  <si>
    <t>Risk on impact on forest.</t>
  </si>
  <si>
    <t>Risk due to raw water source quality issues</t>
  </si>
  <si>
    <t>Risk on no response from known quality vendors or contractors.</t>
  </si>
  <si>
    <t>Offers fail to meet needs risk.</t>
  </si>
  <si>
    <t>Risk on failure of either party to fulfil the conditions of the contract</t>
  </si>
  <si>
    <t>Issues on delays on design and drawing production.</t>
  </si>
  <si>
    <t>Risk on failure to establish appropriate design criteria.</t>
  </si>
  <si>
    <t>Risk due to failure to account insurance rate on project coverage.</t>
  </si>
  <si>
    <t>Risk on resins hazards.</t>
  </si>
  <si>
    <t>Hyperbaric (High Pressure) Environments risk</t>
  </si>
  <si>
    <t>Issues on technical pre-works</t>
  </si>
  <si>
    <t>Risk on the issues of data accuracy on water demand projection.</t>
  </si>
  <si>
    <t>Unresolved punch list risk.</t>
  </si>
  <si>
    <t>Issues on equipment and systems failures during process probing.</t>
  </si>
  <si>
    <t>Risk due to changes in workers compensation.</t>
  </si>
  <si>
    <t>Risk in non-compliance to tax laws.</t>
  </si>
  <si>
    <t>Risk on public acceptance of project.</t>
  </si>
  <si>
    <t>Risk on regulation of business industries.</t>
  </si>
  <si>
    <t>Risk on impact on groundwater</t>
  </si>
  <si>
    <t>Risk due to used water influent quality issues.</t>
  </si>
  <si>
    <t>Risk on not enough contractors or vendors with sufficient project experience.</t>
  </si>
  <si>
    <t>Risk on failure to deliver goods on time or delayed deliveries.</t>
  </si>
  <si>
    <t>Issues on design on local control, plant systems coordination and SCADA.</t>
  </si>
  <si>
    <t>Risk on failure to establish basis of design.</t>
  </si>
  <si>
    <t>Risk on cost due to unaccounted code and regulatory compliance issues.</t>
  </si>
  <si>
    <t>Risk on thinners hazards.</t>
  </si>
  <si>
    <t>Hypobaric (Low Pressure) Environments risk</t>
  </si>
  <si>
    <t>LGU permits risk</t>
  </si>
  <si>
    <t>Issues on insuffienct manpower and skilled workers.</t>
  </si>
  <si>
    <t>Risk in occupational safety and health hazard policies.</t>
  </si>
  <si>
    <t>Risk on public acceptance of services.</t>
  </si>
  <si>
    <t>Risk on regulation of business sectors.</t>
  </si>
  <si>
    <t>Risk on impact on land.</t>
  </si>
  <si>
    <t>Risk on fault line</t>
  </si>
  <si>
    <t>Risk on too many bid bulletin and bid addenda.</t>
  </si>
  <si>
    <t>Risk on variances on delivered goods.</t>
  </si>
  <si>
    <t>Issues on over design of plant systems, networks and equipment.</t>
  </si>
  <si>
    <t>Risk on failure to identify technology champion within MWO.</t>
  </si>
  <si>
    <t>Risk on cost impact caused by modifications directed by governmental authorities.</t>
  </si>
  <si>
    <t>Ionizing Radiation risk</t>
  </si>
  <si>
    <t>Limited available real estate risk</t>
  </si>
  <si>
    <t>Issues on laydown areas</t>
  </si>
  <si>
    <t>Social security issues.</t>
  </si>
  <si>
    <t>Risk on public sentiments and reactions due to community impact of the project.</t>
  </si>
  <si>
    <t>Risk on security legislation.</t>
  </si>
  <si>
    <t>Risk on impact on noise pollution.</t>
  </si>
  <si>
    <t>Risk on flooding in or near the project area.</t>
  </si>
  <si>
    <t>Unauthorised increase in scope of work risk.</t>
  </si>
  <si>
    <t>Operational and maintenance issues.</t>
  </si>
  <si>
    <t>Risk on failure to institutionalize the adopted new technology.</t>
  </si>
  <si>
    <t>Risk on cost impact of purchased utilities during construction.</t>
  </si>
  <si>
    <t>Light, Lasers risk</t>
  </si>
  <si>
    <t>MMDA permits risk</t>
  </si>
  <si>
    <t>Issues on manpower loading as per project schedule and WBS.</t>
  </si>
  <si>
    <t>Risk on the issue of co-located and co-use Government facilities &amp; properties.</t>
  </si>
  <si>
    <t>Risk on impact on rare endangered and threatened species.</t>
  </si>
  <si>
    <t>Risk on geograhic location of the project.</t>
  </si>
  <si>
    <t>Variations in price and foreign exchange risk.</t>
  </si>
  <si>
    <t>Poor design risk.</t>
  </si>
  <si>
    <t>Risk on failure to provide sufficient data and information in the TOR.</t>
  </si>
  <si>
    <t>Risk on failure to account cost of quality assurance such as materials testing.</t>
  </si>
  <si>
    <t>Microwave and Radio-frequency risk</t>
  </si>
  <si>
    <t>New emerging technology risk</t>
  </si>
  <si>
    <t>Issues on MWO performance on project management.</t>
  </si>
  <si>
    <t>Risk on the issue of right of way</t>
  </si>
  <si>
    <t>Risk on impact on Riparian Habitat.</t>
  </si>
  <si>
    <t>Risk on landslide along excavation.</t>
  </si>
  <si>
    <t>Risk in design simulation.</t>
  </si>
  <si>
    <t>Risk on leadership culture towards technology adoption.</t>
  </si>
  <si>
    <t>Risk on failure to account provisions on difficult site access.</t>
  </si>
  <si>
    <t>NGA certification issuance risk</t>
  </si>
  <si>
    <t>Issues on not meeting project objectives during process probing.</t>
  </si>
  <si>
    <t>Risk on the use of easements and buffer zones.</t>
  </si>
  <si>
    <t>Risk on impact on soil.</t>
  </si>
  <si>
    <t>Risk on landslide near the project area</t>
  </si>
  <si>
    <t>Risk on design not in accord with good engineering practice.</t>
  </si>
  <si>
    <t>Risk on non-technical adoption risk.</t>
  </si>
  <si>
    <t>Risk on failure to allocate or define terms of warranty.</t>
  </si>
  <si>
    <t>Non-Ionizing Radiation risk</t>
  </si>
  <si>
    <t>Operational Risk.</t>
  </si>
  <si>
    <t>Issues on not meeting the project benefits during and/or after process probing.</t>
  </si>
  <si>
    <t>Risk on impact on water.</t>
  </si>
  <si>
    <t>Risk on low water table.</t>
  </si>
  <si>
    <t>Risk on failure to account as-built drawings in the design.</t>
  </si>
  <si>
    <t>Risk on using outdated technology.</t>
  </si>
  <si>
    <t>Risk on failure to identify cost on commissioning and startup costs.</t>
  </si>
  <si>
    <t>Operation of heavy equipment and machineries risk.</t>
  </si>
  <si>
    <t>Proprietary technology risk</t>
  </si>
  <si>
    <t>Issues on project or Contractor's expatriate resopurces</t>
  </si>
  <si>
    <t>Risk on impact on wildlife.</t>
  </si>
  <si>
    <t>Risk on narrow road pipe laying excavation</t>
  </si>
  <si>
    <t>Risk on failure to establish project critical path.</t>
  </si>
  <si>
    <t>Risk on failure to include provisions on envirnmental control cost.</t>
  </si>
  <si>
    <t>Power Frequency Electromagnetic Field (ELF) risk</t>
  </si>
  <si>
    <t>Public health illness risk.</t>
  </si>
  <si>
    <t>Issues on proper strorage of construction documentation.</t>
  </si>
  <si>
    <t>Risk on irreversible environmental impact.</t>
  </si>
  <si>
    <t>Risk on poor access road condition</t>
  </si>
  <si>
    <t>Risk on failure to validate data inputs on design.</t>
  </si>
  <si>
    <t>Risk on failure to include provisions on safety and industrial hygiene.</t>
  </si>
  <si>
    <t>Radiation hazard risk.</t>
  </si>
  <si>
    <t>Public health process related risk.</t>
  </si>
  <si>
    <t>Issues on roadworks safety implementations.</t>
  </si>
  <si>
    <t>Risk on poor soil condition for pipeline excavation.</t>
  </si>
  <si>
    <t>Risk on Incomplete design.</t>
  </si>
  <si>
    <t>Risk on failure to provide allowances on unforeseen items.</t>
  </si>
  <si>
    <t>Seismic risk</t>
  </si>
  <si>
    <t>Reputation risk.</t>
  </si>
  <si>
    <t>Issues on Temfacil</t>
  </si>
  <si>
    <t>Risk on poor soil for foundation.</t>
  </si>
  <si>
    <t>Risk on the use of partial data and information from sampling.</t>
  </si>
  <si>
    <t>Risk on failure to provide cost and identify sufficient areas for easements.</t>
  </si>
  <si>
    <t>Slips, Trips and Falls risk</t>
  </si>
  <si>
    <t>ROW issues</t>
  </si>
  <si>
    <t>Issues on temporary electrical cable installation practices.</t>
  </si>
  <si>
    <t>Risk on roadworks safety on busy highways.</t>
  </si>
  <si>
    <t>Risk on using outdated or inconsistent as-built drawings in the design.</t>
  </si>
  <si>
    <t>Risk on failure to provide cost on rental of heavy equipment.</t>
  </si>
  <si>
    <t>Thermal hazard risk</t>
  </si>
  <si>
    <t>Safety risk.</t>
  </si>
  <si>
    <t>Issues on undocumented safety meetings.</t>
  </si>
  <si>
    <t>Risk on rock layers during excavation.</t>
  </si>
  <si>
    <t>Risk on failure to provide redundancy of equipment on critical works or process.</t>
  </si>
  <si>
    <t>Tools and Machines Risk</t>
  </si>
  <si>
    <t>Site acquisition risk</t>
  </si>
  <si>
    <t>Issues on un-resolved construction punch lists.</t>
  </si>
  <si>
    <t>Risk on water source depletion.</t>
  </si>
  <si>
    <t>Risk on high cost due to construction methodology.</t>
  </si>
  <si>
    <t>Ultraviolet/Sunlight risk</t>
  </si>
  <si>
    <t>Technology adaption risk</t>
  </si>
  <si>
    <t>Issues on workers not properly trained for the job.</t>
  </si>
  <si>
    <t>Risk on insufficient or no provision on temfacil.</t>
  </si>
  <si>
    <t>Ventilation Risk</t>
  </si>
  <si>
    <t>Water source risk</t>
  </si>
  <si>
    <t>Project construction schedule issues.</t>
  </si>
  <si>
    <t>Risk on non-standard items.</t>
  </si>
  <si>
    <t>Whole-Body Vibration risk</t>
  </si>
  <si>
    <t>Risk on Contractor's labor dispute and work strike.</t>
  </si>
  <si>
    <t>Risk on project geo-political location.</t>
  </si>
  <si>
    <t>Working at heights risk.</t>
  </si>
  <si>
    <t>Risk on Contractor's procurement process of materials and equipment.</t>
  </si>
  <si>
    <t>Risk on site conditions.</t>
  </si>
  <si>
    <t>Risk on damage to existing structure and facilities.</t>
  </si>
  <si>
    <t>Risk on specialty works.</t>
  </si>
  <si>
    <t>Risk on failure of the Consultant to deliver the detailed design on time.</t>
  </si>
  <si>
    <t>Risk on studies and research required during construction phase.</t>
  </si>
  <si>
    <t>Risk on failure of the Contractor to complete on time approved scheduled construction drawings.</t>
  </si>
  <si>
    <t>Risk on volume-quantity.</t>
  </si>
  <si>
    <t>Risk on failure of the Contractor to enforce binding construction quality practices.</t>
  </si>
  <si>
    <t>Unsuitable Approved Business Project or ABP cost risk.</t>
  </si>
  <si>
    <t>Risk on failure to adhere to MWCI and industry best practice installation standards.</t>
  </si>
  <si>
    <t>Risk on failure to comply on DOLE H&amp;S regulatory requirements.</t>
  </si>
  <si>
    <t>Risk on failure to comply on fire safety and emergency evacuation on city &amp; national ordinance requirements.</t>
  </si>
  <si>
    <t>Risk on failure to enforce safety protocols on handling flammable and combustible materials.</t>
  </si>
  <si>
    <t>Risk on failure to enforce the health &amp; safety organization and mandate.</t>
  </si>
  <si>
    <t>Risk on failure to implement effective construction safety meetings.</t>
  </si>
  <si>
    <t>Risk on failure to implement proper management of lay down areas.</t>
  </si>
  <si>
    <t>Risk on failure to implement safety in the work place.</t>
  </si>
  <si>
    <t xml:space="preserve">Risk on failure to implement safety protocol on locked out tagged out. </t>
  </si>
  <si>
    <t>Risk on failure to perform due diligence on pre-construction phase.</t>
  </si>
  <si>
    <t>Risk on failure to properly design evacuation and emergency procedures.</t>
  </si>
  <si>
    <t>Risk on incompatible systems</t>
  </si>
  <si>
    <t>Risk on insufficient construction health &amp; safety training.</t>
  </si>
  <si>
    <t>Risk on machine &amp; equipment operators without the required training certificates.</t>
  </si>
  <si>
    <t>Risk on project technical issues.</t>
  </si>
  <si>
    <t>Risk on the availability of approved construction heavy equipment &amp; machineries.</t>
  </si>
  <si>
    <t>Risk on the use of uncertified and unlicensed construction equipment.</t>
  </si>
  <si>
    <t>Risk on workers not trained in H&amp;S in the workplace.</t>
  </si>
  <si>
    <t>RISK NAMES</t>
  </si>
  <si>
    <t>XX</t>
  </si>
  <si>
    <t>xxx</t>
  </si>
  <si>
    <t>PROJECT RISK CATEGORY LIST</t>
  </si>
  <si>
    <t>Risk Name</t>
  </si>
  <si>
    <t>Definition for Risk Category 3</t>
  </si>
  <si>
    <t>PROJECT RISK REGISTER FOR TYPES A,B &amp; C PROJECTS</t>
  </si>
  <si>
    <t>This document is the property of Manila Water Company, Inc (MWCI). No material may be used, distributed or reproduced in whole or in part without the prior written consent of MWCI. All rights reserved. 
UNCONTROLLED DOCUMENTS WHEN PRINTED OR CONVERTED TO PDF.</t>
  </si>
  <si>
    <t xml:space="preserve">PROJECT PLANNING PHASE                          </t>
  </si>
  <si>
    <t>Ver 1.2</t>
  </si>
  <si>
    <t>Project Name:</t>
  </si>
  <si>
    <t>Project Description:</t>
  </si>
  <si>
    <t>Signatories</t>
  </si>
  <si>
    <t>Name / Dep / Grp</t>
  </si>
  <si>
    <t>Signature</t>
  </si>
  <si>
    <t>Project Location:</t>
  </si>
  <si>
    <t>Prepared by:</t>
  </si>
  <si>
    <t>RR Project Code:</t>
  </si>
  <si>
    <t>Project Benefits:</t>
  </si>
  <si>
    <t>Project Base Cost:</t>
  </si>
  <si>
    <t>Project Base Duration (CDay):</t>
  </si>
  <si>
    <t>Reviewed by:</t>
  </si>
  <si>
    <t>Mitigation</t>
  </si>
  <si>
    <t>P90</t>
  </si>
  <si>
    <t>Gross Provision for Risk Mitigation (CDay):</t>
  </si>
  <si>
    <t>Project Type:</t>
  </si>
  <si>
    <t>Project Headline:</t>
  </si>
  <si>
    <t>Contingency</t>
  </si>
  <si>
    <t>Gross Provision for Risk Contingency (Cday):</t>
  </si>
  <si>
    <t>Name of Proponent :</t>
  </si>
  <si>
    <t>Approved by:</t>
  </si>
  <si>
    <t>Total Project Cost:</t>
  </si>
  <si>
    <t>Cumulative Total Project Duration:</t>
  </si>
  <si>
    <t>Group/Dept:</t>
  </si>
  <si>
    <t>Risk Identification</t>
  </si>
  <si>
    <t>Risk Assessment</t>
  </si>
  <si>
    <t>Qualitative Risk Analysis 
Pre-Mitigation</t>
  </si>
  <si>
    <t>Risk Mitigation</t>
  </si>
  <si>
    <t>Qualitative Risk Analysis 
Post-Mitigation</t>
  </si>
  <si>
    <t>Residual Risk Assessment</t>
  </si>
  <si>
    <t>Risk Contingency</t>
  </si>
  <si>
    <t>No</t>
  </si>
  <si>
    <t>Risk Description
(Sentence format: Issue, Risk, Impact)</t>
  </si>
  <si>
    <t>Risk Trigger Date</t>
  </si>
  <si>
    <t>Scope Impact (addition or removal of works)</t>
  </si>
  <si>
    <t>Cost Impact (Php)</t>
  </si>
  <si>
    <t>Schedule Impact (CDay)</t>
  </si>
  <si>
    <t>Affected Proj Gate</t>
  </si>
  <si>
    <t>Affected WBS</t>
  </si>
  <si>
    <t>Index</t>
  </si>
  <si>
    <t>Plan 
(use SMART Principle)</t>
  </si>
  <si>
    <t>Cost of Mitigation (Php)</t>
  </si>
  <si>
    <t>Add Duration for Mitigation (Cday)</t>
  </si>
  <si>
    <t>Schedule Additive   (%)</t>
  </si>
  <si>
    <t>Residual Cost Impact (Php)</t>
  </si>
  <si>
    <t>Residual Schedule Impact (CDay)</t>
  </si>
  <si>
    <t>Plan
(Use SMART Principle)</t>
  </si>
  <si>
    <t>Reserve Cost (Php)</t>
  </si>
  <si>
    <t>Reserve Schedule (Cday)</t>
  </si>
  <si>
    <t>Status</t>
  </si>
  <si>
    <t>Resolution Statement</t>
  </si>
  <si>
    <t>Issue: Landing of pipe on both sides of DPWH floodway. (RCX-17)
Risk: Acquisition of DPWH ROW on both sides of the Manggahan Floodway footbridge slope protection.
Impact: Possible delays on the land acquisition and ROW</t>
  </si>
  <si>
    <t>Expropriation of lots for the pipe bridge landing</t>
  </si>
  <si>
    <t>Coordinate with DPWH….</t>
  </si>
  <si>
    <t>Proceed with expropriation.</t>
  </si>
  <si>
    <t>Closed</t>
  </si>
  <si>
    <t xml:space="preserve">No longer relevant due to changed in alignment. </t>
  </si>
  <si>
    <t xml:space="preserve">Issue: Land for the Intermediate Shaft (Shaft 2) is a private property and no knowledge in how many lots will be affected. 
Risk: Land Acquisition for the Shaft 2
Impact: Possible delays on the land acquisition and will negatively impact the project timeline. </t>
  </si>
  <si>
    <t>Change of alignment and change of construction methodology</t>
  </si>
  <si>
    <t>Arcadis to nominate viable alternative shafts</t>
  </si>
  <si>
    <t>Open</t>
  </si>
  <si>
    <t>Issue: Land for the Shaft 1 
Risk: Negotiation with Antipolo LGU including WOP of less than 50meters
Impact: Possible delays on the land acquisition</t>
  </si>
  <si>
    <t>Pre-selling activities with LGU and convince them of the positive benefits of the project.
Coordinate closely with LGU, build relationship, and ensure their buy-in into the project.</t>
  </si>
  <si>
    <t>Issue: High number of complaints and possible Temporary Restraining Order (TRO) due to noise during implementation for Shaft 2 and 3 from neighbours
Risk: Work Stoppage
Impact: Delays in the construction of shaft and will eventually delay the project implementation</t>
  </si>
  <si>
    <t>Conduct public/stakeholder consultation and obtain "No objection letter" along with the barangay clearance from the barangay office.</t>
  </si>
  <si>
    <t>Issue: Pipelaying of 2 lines (along with Wawa 1600mm dia pipeline) in Roman Rojas Road will aggravate public sentiments and will generate numerous traffic complaints
Risk: Work Stoppage
Impact: Delays in the pipelaying construction and will eventually delay the project implementation</t>
  </si>
  <si>
    <t xml:space="preserve">Conduct public/stakeholder consultation and obtain "No objection letter" along with the barangay clearance from the barangay office.
Contractor to establish Grievance Mechanism. This to be included in the TOR.  </t>
  </si>
  <si>
    <t>Issue: Availability/Procurement of Tunnel Contractor using Tunnel Boring Machine (TBM)
Risk: Risk in Timeline delays should TBM not readily available before implementation
Impact: Project Delays</t>
  </si>
  <si>
    <t>Risk Accepted</t>
  </si>
  <si>
    <t>Issue: Risks related to concurrent construction of Pasig WTP and LTE Shaft 3
Risk: Risk on accessibility, mobility and storage issues
Impact: May pose delay in construction timeline</t>
  </si>
  <si>
    <t xml:space="preserve">Early coordination of WTP and LTE working committee for the alignment of works and activities and construction timeline. </t>
  </si>
  <si>
    <t xml:space="preserve">Inform management on this issue. </t>
  </si>
  <si>
    <t>Issue: Earthquakes during project construction will create ground shaking, landslides and rock burst inside the tunnel
Risk:  Affect the workers and equipment onsite.
Impact: Workers injury and possible fatality.
Damage of property resulting to work stoppage.</t>
  </si>
  <si>
    <t>Use of special rings for earthquake protection along fault lines.</t>
  </si>
  <si>
    <t>Issue: Some politically aligned officer in the DENR may pose difficulty in acquiring Tree Cutting Permit
Risk: Not able to get the tree cutting permit on time as per project schedule
Impact:  Delays in mobilization and will eventually delay the project implementation</t>
  </si>
  <si>
    <t xml:space="preserve">MWCI to do early pre-selling activities with DENR and secure all the requirements and complete the documents as early as possible. </t>
  </si>
  <si>
    <t>Issue: Damage to Existing Services and Utilities such as MERALCO distribution lines and poles.
Risk: Excavation works cannot proceed.
Impact: Delay in construction works</t>
  </si>
  <si>
    <t xml:space="preserve">MWCI to do early coordination with MERALCO on the relocation of electrical poles.  </t>
  </si>
  <si>
    <t>Add 30 days provision only for the early coordination of construction phase of water tower Shaft 3 and Pasig WTP</t>
  </si>
  <si>
    <t>Issue: Damage to properties such as buildings and houses near or adjacent to the construction sites. Possibility of building/house owners will not agree to any settlements. 
Risk: Excavation works cannot proceed.
Impact: Delay in construction works</t>
  </si>
  <si>
    <t xml:space="preserve">MWCI to do early pre-selling activities with barangay up to LGU level. </t>
  </si>
  <si>
    <t>Add 60 days provision only for the TBM construction phase</t>
  </si>
  <si>
    <t>Issue: Pipelaying construction challenges due to space constraints and creek crossings
Risk:  Pipe encroachment to private property area along the road shoulder
Impact: Legal impediment leading to work stoppage and project delays</t>
  </si>
  <si>
    <t>Conduct stakeholder consultation and obtain "No objection letter" on each individual lot owner, along with the barangay clearance from the barangay office.</t>
  </si>
  <si>
    <t>Issue:  TBM correct technical operation by construction personnel during the tunneling process is required to guarantee the safety of the tunnel project.
Risk:  The technical risks of TBM tunnel construction mainly include lining leakage, TBM tunneling offset, and anchor shaft force monitoring failing to meet the requirements. Meanwhile, a delay of pea-gravel back filling and grouting may induce a lack of timely support to surrounding rock, which increases the risk of TBM jamming.
Impact: Work stoppage and project delays</t>
  </si>
  <si>
    <t xml:space="preserve">Add 30 days to the TBM work schedule, as provision only due to technical issues. </t>
  </si>
  <si>
    <t>Issue: TBM Geological Risk which include bad rock surroundings, cave-entrance landslide, high groundwater level, rock explosion, karst gushing water, and fault fracture zones, as well as old mines workings
Risk:  TBM is prone to various geological hazards when digging in poor geological sections
Impact: Work stoppage and project delays</t>
  </si>
  <si>
    <t xml:space="preserve">1. Geotechnical investigation using sufficient borehole spacing as recommended by the consultant/geodetic engineer. 
2. Confirmatory geotechnical investigation by the design and build contractor. </t>
  </si>
  <si>
    <t>Issue: TBM Equipment Failure
Risk:  Equipment risks include failure of the pipe assembly, failure of the jacking system, failure of the grouting system, mismatch of the operation model selection, consumption of disc cutters, and failure of the shield tail seal
Impact: Work stoppage and project delays</t>
  </si>
  <si>
    <t xml:space="preserve">Add 120 days to the TBM work schedule, as provision only due to TBM equipment failure. </t>
  </si>
  <si>
    <t>Issue: Construction Management Risk
Risk: Insufficient construction control plan, low quality of management personnel, non-implementation of organization, poor construction control information, and backward effective control methods.
Impact: Work stoppage and project delays</t>
  </si>
  <si>
    <t xml:space="preserve">Contractor to include in the TOR the Contractor's Construction Management Plan. </t>
  </si>
  <si>
    <t xml:space="preserve">Add 60 days to the project work schedule, as provision only due to issues on construction management. </t>
  </si>
  <si>
    <t>Issue: Regional fault structure zones.  
Risk:  The tunnel will pass through regional fault structure zones, which may trigger water inrush (flooding inside the tunnel), mud inrush, collapse, machine blockage, and personnel safety risks such as drowning and fatality. 
Impact: Work stoppage and project delays</t>
  </si>
  <si>
    <t>Issue: Large plastic deformation of extremely soft rocks. The tunnel is deeply buried, and the level of underground water is very high. In addition, there might be soft cave sections. Thus, there is a risk of large plastic deformation.
Risk:  TBM direction misalignment.
Impact: Work stoppage and project delays</t>
  </si>
  <si>
    <t xml:space="preserve">Add 60 days to the project work schedule, as provision only due to issues on soil plasticity along the tunnel (TBM). </t>
  </si>
  <si>
    <t>Issue:  Manufacturing, operation, and maintenance of TBMs. 
Risk:  Operation risks exist in the processes of installation, starting, stepping, dismantling, and other procedures.
Impact: Work stoppage and project delays</t>
  </si>
  <si>
    <t xml:space="preserve">Contractor to include in the offer the critical spare parts, consumable materials and standard part for the TBM are complete within the Contractor's warehouse. </t>
  </si>
  <si>
    <t>Issue:  Operation and management of supporting facilities.  
Risk:  Supporting facilities for muck removal, ventilation, power supply, water supply and drainage, and material transportation have the characteristics of safety, reliability, durable stability, energy conservation, and high efficiency. 
Impact: Work stoppage and project delays</t>
  </si>
  <si>
    <t xml:space="preserve">Contractor to include in the offer the critical spare parts, consumable materials and standard part for all supporting facilities are complete within the Contractor's warehouse. </t>
  </si>
  <si>
    <t>Issue:  Working environment and labor security.  
Risk:  Potential risks exist in the working environment, such as low ventilation quality around the tunnel face, de-dusting and cooling measures, pollutant emission, and noise control in the tunnel excavation.
Impact: Work stoppage and project delays</t>
  </si>
  <si>
    <t>Issue:  Hard rock excavation and moderate rock burst.
Risk:  Granite and biotite gneiss are types of hard rock with a compressive strength greater than 180 MPa and with a quartz content of 20%–30%. These rocks present risks of tool wear and machine blockage. In the deeply buried sections of the tunnel, there is also a great probability of encountering moderate rock burst.
Impact: Work stoppage and project delays</t>
  </si>
  <si>
    <t>Issue: International conflict and war
Risk: Delay on materials and spare parts availability and increase in cost
Impact: Work stoppage and project delays</t>
  </si>
  <si>
    <t>Issue: Disputes (Contractors)
Risk: Contractor disputes occur during duration of project
Impact: Significant delay/ work stoppage</t>
  </si>
  <si>
    <t>Issue: Biological hazards (i.e. snakes, insects, dogs etc.);
Risk: People on site inspection may encounter danger such as be bitten by snakes, insects and others
Impact: Injury and fatality.</t>
  </si>
  <si>
    <t>Issue: COVID 19 related restrictions on mobility such as in the event of a stringent local quarantine
Risk: Travel restriction where field crew may not to be able to mobilize
Impact: Significant delay in the implementation schedule during the engineering, procurement and construction stage.</t>
  </si>
  <si>
    <t>Issue: Electrocution
Risk: Electrocution due electrical wiring which maybe peeled during welding works
Impact: Major incident. Fatality. Delays in work and possibly work stoppage</t>
  </si>
  <si>
    <t>Issue: Fire hazard
Risk: Possible occurrence of fire in the working area during welding works
Impact: Major incident. Fatality. Delays in work and possibly work stoppage</t>
  </si>
  <si>
    <t>ASSUMPTIONS AND CALCULATIONS ON COST AND SCHEDULE</t>
  </si>
  <si>
    <t>Risk Impact, Mitigation and Contingency</t>
  </si>
  <si>
    <t>BASE FEE</t>
  </si>
  <si>
    <t>1 month</t>
  </si>
  <si>
    <t>days</t>
  </si>
  <si>
    <t xml:space="preserve">Risk No. </t>
  </si>
  <si>
    <t>RISK IMPACT</t>
  </si>
  <si>
    <t>RISK MITIGATION</t>
  </si>
  <si>
    <t>RISK CONTINGENCY</t>
  </si>
  <si>
    <t>Cost Impact (PhP)</t>
  </si>
  <si>
    <t>Assumptions</t>
  </si>
  <si>
    <t>Impact Schedule
 (in calendar days)</t>
  </si>
  <si>
    <t>Total months affected in the schedule ( in months)</t>
  </si>
  <si>
    <t>Cost of Mitigation (PhP)</t>
  </si>
  <si>
    <t>Duration of Mitigation
(in calendar days)</t>
  </si>
  <si>
    <t>Schedule Additive (percentage)</t>
  </si>
  <si>
    <t>Residual Cost Impact/Reserve Cost (PhP)</t>
  </si>
  <si>
    <t>Reserve Schedule
(in calendar days)</t>
  </si>
  <si>
    <t>Particulars</t>
  </si>
  <si>
    <t>Value</t>
  </si>
  <si>
    <t>No. of days</t>
  </si>
  <si>
    <t>Remarks</t>
  </si>
  <si>
    <t>Land Area Value</t>
  </si>
  <si>
    <t>Property Value</t>
  </si>
  <si>
    <t>Cost of Relocation</t>
  </si>
  <si>
    <t>Remarks: Nomination of alternative shafts</t>
  </si>
  <si>
    <t>Remarks: 40 months allocation for LTE 1B Construction Schedule</t>
  </si>
  <si>
    <t>Remarks: Pre-selling activities with LGU</t>
  </si>
  <si>
    <t>Remarks: Allocated 6 months for the negotiation with Antipolo LGU</t>
  </si>
  <si>
    <t>Remarks: High number of complaints and possible Temporary Restraining Order (TRO) due to noise during implementation for Shaft 2 and 3 from neighbours</t>
  </si>
  <si>
    <t>Remarks:  Pipelaying of 2 lines (along with Wawa 1600mm dia pipeline) in Roman Rojas Road</t>
  </si>
  <si>
    <t>Remarks:  Risk in Timeline delays should TBM not readily available before implementation</t>
  </si>
  <si>
    <t>Remarks:  Add 30 days provision only for the early coordination of construction phase of water tower Shaft 3 and Pasig WTP</t>
  </si>
  <si>
    <t>Remarks:  Risk on accessibility, mobility and storage issues</t>
  </si>
  <si>
    <t>Project Base Cost</t>
  </si>
  <si>
    <t>Remarks:  Add 60 days provision only for the TBM construction phase</t>
  </si>
  <si>
    <t>Percentage</t>
  </si>
  <si>
    <t xml:space="preserve">Remarks:  6 months possible delay when earthquake occurs during project construction. </t>
  </si>
  <si>
    <t xml:space="preserve">Cost of special rings already built-in to the budget. No need for cost mitigation. </t>
  </si>
  <si>
    <t>Remarks:  Add 60 days provision only for the acquisition of DENR permit.</t>
  </si>
  <si>
    <t>Remarks:  6 months possible delay when not able to get the tree cutting permit on time as per project schedule</t>
  </si>
  <si>
    <t>Assumed cost per kilometer</t>
  </si>
  <si>
    <t xml:space="preserve">Remarks: Allocated three months for the relocation of electrical poles. </t>
  </si>
  <si>
    <t xml:space="preserve">Remarks:  2 months possible delay when excavation works cannot proceed due to damage to existing utility services such as MERALCO distribution lines and poles and additional 2 months for admin works. </t>
  </si>
  <si>
    <t>Total length</t>
  </si>
  <si>
    <t>Number of Houses Affected</t>
  </si>
  <si>
    <t>Remarks: Allocated six months</t>
  </si>
  <si>
    <t>Cost per house affected</t>
  </si>
  <si>
    <t>Remarks:  Allocated 12 months inclusive of litigation cases</t>
  </si>
  <si>
    <t>Cost</t>
  </si>
  <si>
    <t>XXX</t>
  </si>
  <si>
    <t xml:space="preserve">Remarks:  Add 30 days to the TBM work schedule, as provision only due to technical issues. </t>
  </si>
  <si>
    <t xml:space="preserve">Remarks:  Add 120 days to the TBM work schedule, as provision only due to TBM equipment failure. </t>
  </si>
  <si>
    <t xml:space="preserve">Remarks:  Add 60 days to the project work schedule, as provision only due to issues on construction management. </t>
  </si>
  <si>
    <t>Risk-Based Project Cost Estimate</t>
  </si>
  <si>
    <t>CONFIDENTIAL</t>
  </si>
  <si>
    <t>Risk No</t>
  </si>
  <si>
    <t>Mitigation Estimates</t>
  </si>
  <si>
    <t>MC Distribution</t>
  </si>
  <si>
    <t>Contingency Estimates</t>
  </si>
  <si>
    <t>Most</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</si>
  <si>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</si>
  <si>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</si>
  <si>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</si>
  <si>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</si>
  <si>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</si>
  <si>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</si>
  <si>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</si>
  <si>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</si>
  <si>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</si>
  <si>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</si>
  <si>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</si>
  <si>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</si>
  <si>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</si>
  <si>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</si>
  <si>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</si>
  <si>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</si>
  <si>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</si>
  <si>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</si>
  <si>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</si>
  <si>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</si>
  <si>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</si>
  <si>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</si>
  <si>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</si>
  <si>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</si>
  <si>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</si>
  <si>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</si>
  <si>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</si>
  <si>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</si>
  <si>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</si>
  <si>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</si>
  <si>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</si>
  <si>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</si>
  <si>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</si>
  <si>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</si>
  <si>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</si>
  <si>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</si>
  <si>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</si>
  <si>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</si>
  <si>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</si>
  <si>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</si>
  <si>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</si>
  <si>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</si>
  <si>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</si>
  <si>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</si>
  <si>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</si>
  <si>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</si>
  <si>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</si>
  <si>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</si>
  <si>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</si>
  <si>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</si>
  <si>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</si>
  <si>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</si>
  <si>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</si>
  <si>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</si>
  <si>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</si>
  <si>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</si>
  <si>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</si>
  <si>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</si>
  <si>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</si>
  <si>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</si>
  <si>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</si>
  <si>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</si>
  <si>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</si>
  <si>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</si>
  <si>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</si>
  <si>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</si>
  <si>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</si>
  <si>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</si>
  <si>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</si>
  <si>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</si>
  <si>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</si>
  <si>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</si>
  <si>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</si>
  <si>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</si>
  <si>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</si>
  <si>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</si>
  <si>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</si>
  <si>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</si>
  <si>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</si>
  <si>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</si>
  <si>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</si>
  <si>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</si>
  <si>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</si>
  <si>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</si>
  <si>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</si>
  <si>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</si>
  <si>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</si>
  <si>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</si>
  <si>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</si>
  <si>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P91</t>
  </si>
  <si>
    <t>P92</t>
  </si>
  <si>
    <t>P93</t>
  </si>
  <si>
    <t>P94</t>
  </si>
  <si>
    <t>P95</t>
  </si>
  <si>
    <t>P96</t>
  </si>
  <si>
    <t>P97</t>
  </si>
  <si>
    <t>P98</t>
  </si>
  <si>
    <t>P99</t>
  </si>
  <si>
    <t>P100</t>
  </si>
  <si>
    <t>Total</t>
  </si>
  <si>
    <t>Results Summary</t>
  </si>
  <si>
    <t>Percentile Distribution</t>
  </si>
  <si>
    <t>Histogram Data</t>
  </si>
  <si>
    <t>Interval Probability Data</t>
  </si>
  <si>
    <t>Mean</t>
  </si>
  <si>
    <t>Percentile</t>
  </si>
  <si>
    <t>Bin</t>
  </si>
  <si>
    <t>Frequency</t>
  </si>
  <si>
    <t>Number of Trials</t>
  </si>
  <si>
    <t>Standard error</t>
  </si>
  <si>
    <t>Minimum</t>
  </si>
  <si>
    <t>Maximum</t>
  </si>
  <si>
    <t>Median</t>
  </si>
  <si>
    <t>Range</t>
  </si>
  <si>
    <t>Standard Deviation</t>
  </si>
  <si>
    <t>Variance</t>
  </si>
  <si>
    <t>Skewness</t>
  </si>
  <si>
    <t>Kurtosis</t>
  </si>
  <si>
    <t>Risk Cost</t>
  </si>
  <si>
    <t>Risk Schedule Delays</t>
  </si>
  <si>
    <t>Mid</t>
  </si>
  <si>
    <t>MC</t>
  </si>
  <si>
    <t>Slow response and process of LGU Pasig City Hall Office for permitting acquisition due to current Pandemic and/or change of administration leading to limited personnel to assist on permitting application and data gathering for design reference. Hence, the work commencement cannot progress on time which may result to delay on project site implemention.</t>
  </si>
  <si>
    <t>Delay of survey works, EOT for surveyors and Additional cost for team supporting the project</t>
  </si>
  <si>
    <t>Unavailability of comprehensive existing drainage data hence the network feasibility designs cannot progress on time which may result to delay commencing needed network alignment surveys.</t>
  </si>
  <si>
    <t>Longer delivery of preliminary survey works and also delay in issuance of contractor's survey project specifications, EOT for surveyors, and designers to do FS and detailed design ( nos. of duration delays carried over already at permtting/stakeholders delays</t>
  </si>
  <si>
    <t>Inaccurate sewage flow measurement if done during rainy season thus sewer distribution system may not be accurately sized which may result to network under-utilization or over-utilization that would increase of cost due to work duplication.</t>
  </si>
  <si>
    <t>Conduct of survey flow validation/measurement of intercepted flow locations during dry season and redesign based on actual results</t>
  </si>
  <si>
    <t>Difficulty in procuring land for network pump/lift stations reason leading to difficulty and delay of Network designs finalization which may result to longer timelines for design feasibility approvals. 
Note: Exact Locations Coordinates has been given to MWCI Land Acquisition Team for market availability research.</t>
  </si>
  <si>
    <t>Exploration of multiple feasibility options for pump/lift stations locations.
Increase of standby Costs-say Php 150k/day plus expensive lot option</t>
  </si>
  <si>
    <t>Results of Ground Investigation Surveys may give very deep or poor ground conditions and liquefaction which may result to expensive ground improvement measures/solutions for network and pumps stations which could also impact cost effectiveness for buildability.</t>
  </si>
  <si>
    <t>Entails higher project costs for foundation works which may not be able to consider during project bid, addl days for bigger foundation</t>
  </si>
  <si>
    <t>Covid-19 current pandemic which put Project team, subcontractors/surveyors and other supporting group at risk to be also infected which may result to work stoppages and further delays.</t>
  </si>
  <si>
    <t>Project Delays and EOT, assumed 3 days budget /month for first  year of worked</t>
  </si>
  <si>
    <t>Limited interested subcontractors with sufficient experience in micro- tunnelling which could compromise the quality of deliverables of project requirements that could lead to unsuccessful outcome of project and further delay of implementation.</t>
  </si>
  <si>
    <t>Comprehensive evaluation of interested subcontractors.
Note. Cost Impact to be considered on Contractor's LS costs</t>
  </si>
  <si>
    <t>Unavailability of equipment and construction materials due to slow production because of pandemic which may delay project implementation that would directly impact to time and cost for the long lead procurement of equipment and construction materials.</t>
  </si>
  <si>
    <t>Additional cost for outscourcing project resources, 3% contingency</t>
  </si>
  <si>
    <t>Existing Pasig Cockfight Arena at Brgy. Santolan could be the only access to Intake area has been identified with potential ROW issues which could block the road and could lead to redesign or realignment of the network that could cause addl cost and time delays for the project.</t>
  </si>
  <si>
    <t>Acquisition of Lot or purchace land portion for access
or Possible redesign of network alignment</t>
  </si>
  <si>
    <t>Price escalation due to pandemic  and slow economic growth which lead to increase of project (network alignment) construction materails that may lead to exceed project budget and may result the project to put on hold.</t>
  </si>
  <si>
    <t>Estimated 6% annual estimated escalation on project budget</t>
  </si>
  <si>
    <t>Local hiring Ordinance of LGU which lead to shortage of skilled and capable manpower leading to slow overall project construction progress.</t>
  </si>
  <si>
    <t>Delays in construction, EOT for contractors (5% Contingency for maintrunk budget)</t>
  </si>
  <si>
    <t>Change in the administration in NGA Offices (MMDA, DPWH, etc) that could lead double effort in data information gathering,  coordination and clearance to start  construction which may lead for further delay of project site works.</t>
  </si>
  <si>
    <t>Delay in approvals i.e. MMDA, DPWH etc.
Cost estimate for Consultant Standby, 14 days</t>
  </si>
  <si>
    <t>Pipe laying LGU schedule and installation limitations may not in accordance with MWCI Contractor pipe laying activities programme  which would lead time extension and project delays.</t>
  </si>
  <si>
    <t>Delays in project completion, EOT for contractors, increase costs</t>
  </si>
  <si>
    <t>Existing utilities and/or buried services such as pipes, fiber optic lines of MMDA, DPWH, telecom, Maynilad services along the network which may lead to redesign or realignment of network which will impact to increase cost and addl  time  delays for the project.</t>
  </si>
  <si>
    <t>Validate with underground utility survey. EOT or additional time and costs ( Part of LS budget)</t>
  </si>
  <si>
    <t>On going Projects (DPWH, Maynilad, Manila Water) along the network alignment which would lead of several interfacing activities and potential clashing/conflict on network alignments which may result to redesign and realignment and further delay of project due to changes on construction stage.
Project Name: Rehabilitation of Floodway East Embankment Road Cainta-Taytay, RizaL  c/o Rizal Provincial Project.</t>
  </si>
  <si>
    <t>Delay in project construction, increase costs</t>
  </si>
  <si>
    <t>Availability of trees on network location and pump stations which would require tree cutting permit application which may may delay construction schedule.</t>
  </si>
  <si>
    <t>Changes on Project  Reqt. and Plans which affect change of CAPEX/OPEX estimates which lead to re-estimation and further budget approval which would delay project.</t>
  </si>
  <si>
    <t>Re-budgeting and increase costs, 15% budget allocation for VO</t>
  </si>
  <si>
    <t>Pipe crossing bridge leading to several design considerations which leading to increase of cost and time.</t>
  </si>
  <si>
    <t>Narrow roads/walkways which lead to difficulty of Construction and maintenance may delay project time implementation.
Note. Exact locations to be identified and confirmed in TMP report.</t>
  </si>
  <si>
    <t>Community resistance (e.g loss of business, disruption to traffic) may cause delay of implementation or project delays which may lead to big cost exposure to MWCI.</t>
  </si>
  <si>
    <t>STP location at Laguna lake side (both options: Taytay &amp; Angono STP) which may result complication of construction methodology leading to increase in overall project cost.</t>
  </si>
  <si>
    <t xml:space="preserve">Exploration of feasibile construction methodolgy, increase costs, </t>
  </si>
  <si>
    <t>Extreme flooding during construction that may result to work stoppage and limited access which may cause project construction delays and additional cost for standby fees.</t>
  </si>
  <si>
    <t>Delay in project construction, EOT, increase costs</t>
  </si>
  <si>
    <t>Splitting laterals out of the original scope for detailed design which may result to outdated design and considerations and impact for the main trunk network which may caused addl cost and time for the project.</t>
  </si>
  <si>
    <t>Longer Feasibilities, detailed design duration, EOT, increase costs</t>
  </si>
  <si>
    <t>Land and location for STP is still not available and defined which may delay finalization of the sewerage network design that would impact delays in target timeline and project cost</t>
  </si>
  <si>
    <t>Longer survey site investigation on network, addl. network length (3km) , longer detailed design duration, time extention</t>
  </si>
  <si>
    <t>To ensure all methodology risks for micro tunnelling shall be considered and applied for the construction of main trunk sewer to avoid risk on ground engineering investigations which would impact both cost and time of project requirement.</t>
  </si>
  <si>
    <t>Increase costs, risk in qualified contractors</t>
  </si>
  <si>
    <t>Lacking of MWCI Standards for screen for PS/LS creates risks on access and safety both in design and operation which leads to addl costs and delay of work due to further clarification if not finalized.</t>
  </si>
  <si>
    <t>Feasibile screen design is not per MWCI standards</t>
  </si>
  <si>
    <t>Poor response of Meralco for the power connection installation for pump ststions which would delay on commissioning works that may caused further delays on project timeline.</t>
  </si>
  <si>
    <t>Delay on Operation/Construction leading to EOT and inc of cost due to standby</t>
  </si>
  <si>
    <t xml:space="preserve">Poor Stakeholders Response in particular for Telcom and other private companies which delays the analysis and design of network due to no available data as project reference leading to addl time and cost requirement. </t>
  </si>
  <si>
    <t>Delay on design, EOT, standby cost</t>
  </si>
  <si>
    <t>Slow response and process of LGU Cainta Municipal Hall Office for permitting acquisition due to current Pandemic and/or Change of Administration leading to limited personnel to assist on permitting application and data gathering for design reference.Hence, the work commencement cannot progress on time which may result to delay on project site implementation.</t>
  </si>
  <si>
    <t>Slow response and process of LGU Antipolo City Hall Office for permitting acquisition due to current Pandemic and/or Change of Administration  leading to limited personnel to assist on permitting application and data gathering for design reference. Hence, the work commencement cannot progress on time which may result to delay on project site implementation.</t>
  </si>
  <si>
    <t>Slow response and process of LGU Taytay Municipal Hall Office for permitting acquisition due to current Pandemic and/or Change of Administration leading to limited personnel to assist on permitting application and data gathering for design reference. Hence, the work commencement cannot progress on time which may result to delay on project site implementation.</t>
  </si>
  <si>
    <t>Delay of survey works, EOT for surveyors</t>
  </si>
  <si>
    <t>Results of Ground Investigation surveys may give very deep or poor ground conditions and liquefaction which may result to expensive ground improvement measures/solutions for STP location which could also impact cost effectiveness for buildability.</t>
  </si>
  <si>
    <t>Entails higher project costs for ground improvement/mitigation, addl days for bigger foundation</t>
  </si>
  <si>
    <t>Existing Warehouse at Brgy. Santolan, Pasig City adjacent Marikina River will be needed as addl. access to Intake area which has been identified with potential ROW issues which could block the road and could lead to redesign or realignment of the network that could cause addl cost and time delays for the project.</t>
  </si>
  <si>
    <t>Possible redesign of network alignment</t>
  </si>
  <si>
    <t>Existing illegal settlers at the end of Brgy Santolan Pasig "New Road" has also been identified with potential ROW issues which blocking the road that might lead network re-alignment   and  redesign of the network that could cause addl cost and time delays for the project.</t>
  </si>
  <si>
    <t>Existing Road Warranty/ Road Moratorium on the Network Alignment which may prevent for further development in the same area which may require redesign and addl time and cost for the propose project.</t>
  </si>
  <si>
    <t>Possible redesign/rerouting of network alignment, amt budget for design fees</t>
  </si>
  <si>
    <t>Change in the administration in Regulator's Offices (MWSS, DENR, LLDA) that could lead double effort in getting data information gathering , coordination and clearance to start  construction which may lead for further delay of project site works.</t>
  </si>
  <si>
    <t>Delay in approvals of MWSS, DENR, LLDA, etc.</t>
  </si>
  <si>
    <t>Extreme flooding during Operations that may result to operation downtime and limited access  which may cause project construction delays and additional cost for standby fees.</t>
  </si>
  <si>
    <t>Delay and operation downtime,increase costs</t>
  </si>
  <si>
    <t>Slow response and process of LGU Angono Municipal Hall Office for permitting acquisition due to current Pandemic and/or Change of Administration leading to limited personnel to assist on permitting application and data gathering for design reference. Hence, the work commencement cannot progress on time which may result to delay on project site implemenation.</t>
  </si>
  <si>
    <t>Inaccurate sewer return factor used in the sewer model design simulation which risks the design capacity of sewerage system leading to over design or under design.</t>
  </si>
  <si>
    <t>Land swap arrangement of Angono LGU for the location of STP site which risks overall project timeline since more thorough investigations is needed to validate the viability and feasibility of the lot in the swamp area leading to higher construction cost and timeline delays.</t>
  </si>
  <si>
    <t>Strict Pasig LGU excavation permit requirements for GI survey works which risks commencement of borehole drilling leading to survey EOT and data evaluation delays.</t>
  </si>
  <si>
    <t>Longer Feasibilities and detailed design duration, EOT, increase costs</t>
  </si>
  <si>
    <t>Permanent change of traffic routing in Pasig City which risks the output of the traffic simulation modelling leading to reassessments and revalidation.</t>
  </si>
  <si>
    <t>Variation order for additional area or road scope of topographical surveys which risks the survey timeline leading to EOT and delay in finalization of the network alignment designs.</t>
  </si>
  <si>
    <t>Longer Feasibilities, detailed design duration, EOT, increase costs but already considered on item 23 budget</t>
  </si>
  <si>
    <t>Negotiation with Sta. Lucia Land Inc. developers to seek support on the network alignment in Greenland Subdivision Cainta which risks the finalization of network alignment leading to meet the developer's demands/request entailing additional cost</t>
  </si>
  <si>
    <t>Inclement weather. Continuous rain hampers the mobility of subcontractors</t>
  </si>
  <si>
    <t>National government's reimposition of heightened GCQ and ECQ from 06Aug2021 up to 20Aug2021. The ECQ might be extended depending on the situation of Covid19 infections to the populace. Aug 22 to Sept 7, 2021, NCR at MECQ category</t>
  </si>
  <si>
    <t>Change in LGU/ Barangay requirements in the conduct GPR prior to issuance of approved permit might delay the permitting process that might eventually delay the GI drilling activities.</t>
  </si>
  <si>
    <t>Strict Rizal LGU excavation permit requirements for GI survey works which risks commencement of borehole drilling leading to survey EOT and data evaluation delays.</t>
  </si>
  <si>
    <t>Temporary closure of DPWH Rizal office from Sep. 2-20, 2021 due to Covid19 pandemic which affects securing excavation permit of the subcontractor.</t>
  </si>
  <si>
    <t>Delay on the post processing report of the engineering surveys such as GPR surveys which impact the commencement of borehole drilling and road &amp; profiles which delays the topographic evaluation of the network design.</t>
  </si>
  <si>
    <t>TOTAL RISK COST PHP</t>
  </si>
  <si>
    <t>TOTAL RISK DELAYS DAYS</t>
  </si>
  <si>
    <t>Spider Chart: 'MC'!$R$54</t>
  </si>
  <si>
    <t>Tornado Chart: 'MC'!$R$54</t>
  </si>
  <si>
    <t>Input</t>
  </si>
  <si>
    <t>Output</t>
  </si>
  <si>
    <t>Downside</t>
  </si>
  <si>
    <t>Upside</t>
  </si>
  <si>
    <t>MC'!$R$43</t>
  </si>
  <si>
    <t>MC'!$R$27</t>
  </si>
  <si>
    <t>MC'!$R$8</t>
  </si>
  <si>
    <t>MC'!$R$35</t>
  </si>
  <si>
    <t>MC'!$R$16</t>
  </si>
  <si>
    <t>MC'!$R$36</t>
  </si>
  <si>
    <t>MC'!$R$37</t>
  </si>
  <si>
    <t>MC'!$R$38</t>
  </si>
  <si>
    <t>MC'!$R$9</t>
  </si>
  <si>
    <t>MC'!$R$53</t>
  </si>
  <si>
    <t>MC'!$R$6</t>
  </si>
  <si>
    <t>MC'!$R$7</t>
  </si>
  <si>
    <t>MC'!$R$12</t>
  </si>
  <si>
    <t>MC'!$R$20</t>
  </si>
  <si>
    <t>MC'!$R$23</t>
  </si>
  <si>
    <t>MC'!$R$26</t>
  </si>
  <si>
    <t>MC'!$R$4</t>
  </si>
  <si>
    <t>MC'!$R$32</t>
  </si>
  <si>
    <t>MC'!$R$33</t>
  </si>
  <si>
    <t>MC'!$R$34</t>
  </si>
  <si>
    <t>Spider Chart: TOTAL RISK COST PHP</t>
  </si>
  <si>
    <t>Tornado Chart: TOTAL RISK COST PHP</t>
  </si>
  <si>
    <t>MC'!$M$27</t>
  </si>
  <si>
    <t>MC'!$M$20</t>
  </si>
  <si>
    <t>MC'!$M$13</t>
  </si>
  <si>
    <t>MC'!$M$14</t>
  </si>
  <si>
    <t>MC'!$M$35</t>
  </si>
  <si>
    <t>MC'!$M$8</t>
  </si>
  <si>
    <t>MC'!$M$43</t>
  </si>
  <si>
    <t>MC'!$M$11</t>
  </si>
  <si>
    <t>MC'!$M$7</t>
  </si>
  <si>
    <t>MC'!$M$16</t>
  </si>
  <si>
    <t>MC'!$M$12</t>
  </si>
  <si>
    <t>MC'!$M$23</t>
  </si>
  <si>
    <t>MC'!$M$36</t>
  </si>
  <si>
    <t>MC'!$M$37</t>
  </si>
  <si>
    <t>MC'!$M$38</t>
  </si>
  <si>
    <t>MC'!$M$9</t>
  </si>
  <si>
    <t>MC'!$M$6</t>
  </si>
  <si>
    <t>MC'!$M$41</t>
  </si>
  <si>
    <t>MC'!$M$32</t>
  </si>
  <si>
    <t>MC'!$M$33</t>
  </si>
  <si>
    <t>DSN Files Count:</t>
  </si>
  <si>
    <t>Long Term East Line 1</t>
  </si>
  <si>
    <t>Number of trees</t>
  </si>
  <si>
    <t>Cost per tree (PhP)</t>
  </si>
  <si>
    <t>Issue: Width of the Road along Solid Cement Road
Risk: ROW risk along solid cement road due to the width of the road and the space needed for public vehicles to pass on one lane. 
Impact: Project Delays</t>
  </si>
  <si>
    <t>Arcadis to nominate viable alternative alignment</t>
  </si>
  <si>
    <t xml:space="preserve">Contractor to include in the TOR the Contractor's Health and Safety Management Plan. </t>
  </si>
  <si>
    <t>Issue:  Run-through survey and traverse-survey control
Risk:  The tunnel is divided into sections. A lack of accuracy and reliability in the ground control net and in the traverse survey of the tunnel will present challenges to the creation of an accurate run-through of the tunnel
Impact: Project delays</t>
  </si>
  <si>
    <t xml:space="preserve">Designer to double check the accuracy of survey and survey control prior to approval. </t>
  </si>
  <si>
    <t>Use of special rings for earthquake protection along fault lines. A double lining is installed and filled by a porous material</t>
  </si>
  <si>
    <t xml:space="preserve">Add 60 days to the work schedule, as provision for earthquake during project construction.  </t>
  </si>
  <si>
    <t xml:space="preserve">Add 60 days to the project work schedule, as provision only due to ihard rpck excavation and moderate rock burst. </t>
  </si>
  <si>
    <t xml:space="preserve">Contractor to provide alternative source of materials/spare parts from other non-conflicted countries. </t>
  </si>
  <si>
    <t>Establish robust communication plan between Consultant, Manila Water and Contractor through shared document folders, continuous weekly meetings, minute meetings and other forms of communication</t>
  </si>
  <si>
    <t>Issue: Non-compliance of Contractor to safety requirements of site owner. 
Risk: Complaints and and non-compiance report from Manila Water
Impact: Work stoppage/delay on project implementation</t>
  </si>
  <si>
    <t xml:space="preserve">Provide Health and Safety Program and Briefing during pre-construction meeting. 
Ensure that an Occupational Health and Safety Committee is established with the  safety officer present on site at all times. </t>
  </si>
  <si>
    <t>- Clearing of work area prior to site walkthrough especially at vegetated area
- Specific preventive measures in health and safety plan on management of biological hazards.</t>
  </si>
  <si>
    <t xml:space="preserve">
Early coordination with local government/authorities.</t>
  </si>
  <si>
    <t>Ensure all wirings and connections are in good working condition</t>
  </si>
  <si>
    <t>Ensures that all workers must wear their 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</si>
</sst>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43" formatCode="_-* #,##0.00_-;\-* #,##0.00_-;_-* &quot;-&quot;??_-;_-@_-"/>
    <numFmt numFmtId="164" formatCode="dd\-mmm\-yyyy"/>
    <numFmt numFmtId="165" formatCode="0.0%"/>
    <numFmt numFmtId="166" formatCode="_-* #,##0_-;\-* #,##0_-;_-* &quot;-&quot;??_-;_-@_-"/>
    <numFmt numFmtId="167" formatCode="&quot;₱&quot;#,##0.00"/>
    <numFmt numFmtId="168" formatCode="##,###%"/>
    <numFmt numFmtId="169" formatCode="[$-F800]dddd\,\ mmmm\ dd\,\ yyyy"/>
  </numFmts>
  <fonts count="58" x14ac:knownFonts="1">
    <font>
      <sz val="11"/>
      <color theme="1"/>
      <name val="Calibri"/>
      <family val="2"/>
      <scheme val="minor"/>
    </font>
    <font>
      <sz val="9"/>
      <color theme="1"/>
      <name val="Calibri"/>
      <family val="2"/>
      <scheme val="minor"/>
    </font>
    <font>
      <b/>
      <sz val="9"/>
      <color theme="1"/>
      <name val="Calibri"/>
      <family val="2"/>
      <scheme val="minor"/>
    </font>
    <font>
      <sz val="9"/>
      <color theme="1"/>
      <name val="Arial"/>
      <family val="2"/>
    </font>
    <font>
      <sz val="8"/>
      <color theme="1"/>
      <name val="Arial"/>
      <family val="2"/>
    </font>
    <font>
      <b/>
      <sz val="9"/>
      <color theme="1" tint="0.249977111117893"/>
      <name val="Arial"/>
      <family val="2"/>
    </font>
    <font>
      <b/>
      <sz val="8"/>
      <color theme="1"/>
      <name val="Arial"/>
      <family val="2"/>
    </font>
    <font>
      <b/>
      <sz val="9"/>
      <name val="Calibri"/>
      <family val="2"/>
      <scheme val="minor"/>
    </font>
    <font>
      <sz val="11"/>
      <color theme="1"/>
      <name val="Calibri"/>
      <family val="2"/>
      <scheme val="minor"/>
    </font>
    <font>
      <sz val="10"/>
      <color theme="1"/>
      <name val="Arial"/>
      <family val="2"/>
    </font>
    <font>
      <sz val="8"/>
      <color theme="1" tint="0.249977111117893"/>
      <name val="Arial"/>
      <family val="2"/>
    </font>
    <font>
      <sz val="9"/>
      <color theme="0"/>
      <name val="Calibri"/>
      <family val="2"/>
      <scheme val="minor"/>
    </font>
    <font>
      <sz val="12"/>
      <name val="Times New Roman"/>
      <family val="1"/>
    </font>
    <font>
      <sz val="12"/>
      <name val="Times New Roman"/>
      <family val="1"/>
    </font>
    <font>
      <sz val="8"/>
      <name val="Calibri"/>
      <family val="2"/>
      <scheme val="minor"/>
    </font>
    <font>
      <u/>
      <sz val="11"/>
      <color theme="10"/>
      <name val="Calibri"/>
      <family val="2"/>
      <scheme val="minor"/>
    </font>
    <font>
      <b/>
      <u/>
      <sz val="11"/>
      <color theme="1"/>
      <name val="Calibri"/>
      <family val="2"/>
      <scheme val="minor"/>
    </font>
    <font>
      <b/>
      <u/>
      <sz val="9"/>
      <color theme="1"/>
      <name val="Calibri"/>
      <family val="2"/>
      <scheme val="minor"/>
    </font>
    <font>
      <b/>
      <sz val="11"/>
      <color theme="1"/>
      <name val="Arial"/>
      <family val="2"/>
    </font>
    <font>
      <b/>
      <sz val="9"/>
      <color theme="1"/>
      <name val="Arial"/>
      <family val="2"/>
    </font>
    <font>
      <b/>
      <sz val="14"/>
      <color theme="8" tint="-0.499984740745262"/>
      <name val="Arial"/>
      <family val="2"/>
    </font>
    <font>
      <b/>
      <sz val="9"/>
      <color theme="1" tint="0.14999847407452621"/>
      <name val="Arial"/>
      <family val="2"/>
    </font>
    <font>
      <b/>
      <sz val="10"/>
      <color rgb="FF485970"/>
      <name val="Arial"/>
      <family val="2"/>
    </font>
    <font>
      <u val="singleAccounting"/>
      <sz val="9"/>
      <color theme="1"/>
      <name val="Arial"/>
      <family val="2"/>
    </font>
    <font>
      <sz val="9"/>
      <color theme="1" tint="0.249977111117893"/>
      <name val="Arial"/>
      <family val="2"/>
    </font>
    <font>
      <b/>
      <sz val="11"/>
      <color theme="1"/>
      <name val="Calibri"/>
      <family val="2"/>
      <scheme val="minor"/>
    </font>
    <font>
      <sz val="9"/>
      <color rgb="FFFF0000"/>
      <name val="Arial"/>
      <family val="2"/>
    </font>
    <font>
      <sz val="9"/>
      <name val="Arial"/>
      <family val="2"/>
    </font>
    <font>
      <b/>
      <sz val="9"/>
      <name val="Arial"/>
      <family val="2"/>
    </font>
    <font>
      <b/>
      <sz val="9"/>
      <color theme="1" tint="0.34998626667073579"/>
      <name val="Calibri"/>
      <family val="2"/>
      <scheme val="minor"/>
    </font>
    <font>
      <sz val="9"/>
      <color theme="1" tint="0.34998626667073579"/>
      <name val="Calibri"/>
      <family val="2"/>
      <scheme val="minor"/>
    </font>
    <font>
      <b/>
      <sz val="10"/>
      <color theme="1"/>
      <name val="Arial"/>
      <family val="2"/>
    </font>
    <font>
      <sz val="10"/>
      <name val="Arial"/>
      <family val="2"/>
    </font>
    <font>
      <b/>
      <sz val="14"/>
      <color theme="1" tint="0.249977111117893"/>
      <name val="Arial"/>
      <family val="2"/>
    </font>
    <font>
      <sz val="9"/>
      <color theme="1" tint="0.14999847407452621"/>
      <name val="Arial"/>
      <family val="2"/>
    </font>
    <font>
      <b/>
      <u/>
      <sz val="14"/>
      <color theme="1"/>
      <name val="Calibri"/>
      <family val="2"/>
      <scheme val="minor"/>
    </font>
    <font>
      <b/>
      <sz val="14"/>
      <color theme="1"/>
      <name val="Calibri"/>
      <family val="2"/>
      <scheme val="minor"/>
    </font>
    <font>
      <u/>
      <sz val="11"/>
      <color theme="1" tint="0.249977111117893"/>
      <name val="Calibri"/>
      <family val="2"/>
      <scheme val="minor"/>
    </font>
    <font>
      <sz val="9"/>
      <color theme="1" tint="0.499984740745262"/>
      <name val="Arial"/>
      <family val="2"/>
    </font>
    <font>
      <b/>
      <sz val="18"/>
      <color rgb="FF0070C0"/>
      <name val="Arial"/>
      <family val="2"/>
    </font>
    <font>
      <sz val="14"/>
      <color theme="1" tint="0.249977111117893"/>
      <name val="Arial"/>
      <family val="2"/>
    </font>
    <font>
      <sz val="9"/>
      <color rgb="FFFF0000"/>
      <name val="Calibri"/>
      <family val="2"/>
      <scheme val="minor"/>
    </font>
    <font>
      <b/>
      <sz val="11"/>
      <name val="Calibri"/>
      <family val="2"/>
      <scheme val="minor"/>
    </font>
    <font>
      <b/>
      <sz val="9"/>
      <color rgb="FFFF0000"/>
      <name val="Calibri"/>
      <family val="2"/>
      <scheme val="minor"/>
    </font>
    <font>
      <sz val="8"/>
      <color theme="1"/>
      <name val="Calibri Light"/>
      <family val="2"/>
    </font>
    <font>
      <b/>
      <sz val="11"/>
      <color rgb="FFFFFFFF"/>
      <name val="Calibri"/>
      <family val="2"/>
      <scheme val="minor"/>
    </font>
    <font>
      <b/>
      <sz val="14"/>
      <color theme="5" tint="-0.249977111117893"/>
      <name val="Calibri"/>
      <family val="2"/>
      <scheme val="minor"/>
    </font>
    <font>
      <sz val="10"/>
      <color theme="1" tint="0.249977111117893"/>
      <name val="Calibri"/>
      <family val="2"/>
      <scheme val="minor"/>
    </font>
    <font>
      <b/>
      <sz val="9"/>
      <color theme="1" tint="0.14999847407452621"/>
      <name val="Calibri"/>
      <family val="2"/>
      <scheme val="minor"/>
    </font>
    <font>
      <sz val="9"/>
      <color theme="1" tint="0.14999847407452621"/>
      <name val="Calibri"/>
      <family val="2"/>
      <scheme val="minor"/>
    </font>
    <font>
      <sz val="10"/>
      <color theme="1"/>
      <name val="Calibri"/>
      <family val="2"/>
      <scheme val="minor"/>
    </font>
    <font>
      <b/>
      <sz val="18"/>
      <color theme="5" tint="-0.249977111117893"/>
      <name val="Calibri"/>
      <family val="2"/>
      <scheme val="minor"/>
    </font>
    <font>
      <b/>
      <sz val="16"/>
      <color theme="8" tint="-0.499984740745262"/>
      <name val="Calibri"/>
      <family val="2"/>
      <scheme val="minor"/>
    </font>
    <font>
      <b/>
      <sz val="10"/>
      <color theme="1"/>
      <name val="Calibri"/>
      <family val="2"/>
      <scheme val="minor"/>
    </font>
    <font>
      <b/>
      <sz val="12"/>
      <color theme="1"/>
      <name val="Calibri"/>
      <family val="2"/>
      <scheme val="minor"/>
    </font>
    <font>
      <b/>
      <sz val="9"/>
      <color theme="0"/>
      <name val="Calibri"/>
      <family val="2"/>
      <scheme val="minor"/>
    </font>
    <font>
      <b/>
      <sz val="16"/>
      <color theme="1"/>
      <name val="Calibri"/>
      <family val="2"/>
      <scheme val="minor"/>
    </font>
    <font>
      <sz val="13"/>
      <color rgb="FF000000"/>
      <name val="Arial"/>
      <family val="2"/>
    </font>
  </fonts>
  <fills count="48">
    <fill>
      <patternFill patternType="none"/>
    </fill>
    <fill>
      <patternFill patternType="gray125"/>
    </fill>
    <fill>
      <patternFill patternType="solid">
        <fgColor theme="8" tint="0.79998168889431442"/>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6" tint="-0.249977111117893"/>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96944A"/>
        <bgColor indexed="64"/>
      </patternFill>
    </fill>
    <fill>
      <patternFill patternType="solid">
        <fgColor rgb="FFB5B367"/>
        <bgColor indexed="64"/>
      </patternFill>
    </fill>
    <fill>
      <patternFill patternType="solid">
        <fgColor rgb="FFFBEEC1"/>
        <bgColor indexed="64"/>
      </patternFill>
    </fill>
    <fill>
      <patternFill patternType="solid">
        <fgColor rgb="FFFDF7DF"/>
        <bgColor indexed="64"/>
      </patternFill>
    </fill>
    <fill>
      <patternFill patternType="solid">
        <fgColor rgb="FFBC986A"/>
        <bgColor indexed="64"/>
      </patternFill>
    </fill>
    <fill>
      <patternFill patternType="solid">
        <fgColor rgb="FFD4BEA0"/>
        <bgColor indexed="64"/>
      </patternFill>
    </fill>
    <fill>
      <patternFill patternType="solid">
        <fgColor rgb="FFDAAD86"/>
        <bgColor indexed="64"/>
      </patternFill>
    </fill>
    <fill>
      <patternFill patternType="solid">
        <fgColor rgb="FFE9CDB5"/>
        <bgColor indexed="64"/>
      </patternFill>
    </fill>
    <fill>
      <patternFill patternType="solid">
        <fgColor rgb="FF659DBD"/>
        <bgColor indexed="64"/>
      </patternFill>
    </fill>
    <fill>
      <patternFill patternType="solid">
        <fgColor rgb="FF84B1CA"/>
        <bgColor indexed="64"/>
      </patternFill>
    </fill>
    <fill>
      <patternFill patternType="solid">
        <fgColor rgb="FF00B0F0"/>
        <bgColor indexed="64"/>
      </patternFill>
    </fill>
    <fill>
      <patternFill patternType="solid">
        <fgColor rgb="FF9D9DBD"/>
        <bgColor indexed="64"/>
      </patternFill>
    </fill>
    <fill>
      <patternFill patternType="solid">
        <fgColor rgb="FFC6C6D8"/>
        <bgColor indexed="64"/>
      </patternFill>
    </fill>
    <fill>
      <patternFill patternType="solid">
        <fgColor theme="0" tint="-0.249977111117893"/>
        <bgColor indexed="64"/>
      </patternFill>
    </fill>
    <fill>
      <patternFill patternType="solid">
        <fgColor rgb="FFF5F5F5"/>
        <bgColor indexed="64"/>
      </patternFill>
    </fill>
    <fill>
      <patternFill patternType="solid">
        <fgColor rgb="FF8080FF"/>
        <bgColor indexed="64"/>
      </patternFill>
    </fill>
    <fill>
      <patternFill patternType="solid">
        <fgColor rgb="FF59D9D2"/>
        <bgColor indexed="64"/>
      </patternFill>
    </fill>
    <fill>
      <patternFill patternType="solid">
        <fgColor rgb="FF7DDDFF"/>
        <bgColor indexed="64"/>
      </patternFill>
    </fill>
    <fill>
      <patternFill patternType="solid">
        <fgColor rgb="FFB3EBFF"/>
        <bgColor indexed="64"/>
      </patternFill>
    </fill>
    <fill>
      <patternFill patternType="solid">
        <fgColor theme="5"/>
        <bgColor indexed="64"/>
      </patternFill>
    </fill>
    <fill>
      <patternFill patternType="solid">
        <fgColor rgb="FF7030A0"/>
        <bgColor indexed="64"/>
      </patternFill>
    </fill>
    <fill>
      <patternFill patternType="solid">
        <fgColor theme="7"/>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bottom style="thin">
        <color theme="1" tint="0.499984740745262"/>
      </bottom>
      <diagonal/>
    </border>
    <border>
      <left/>
      <right style="thin">
        <color theme="0"/>
      </right>
      <top style="thin">
        <color theme="0"/>
      </top>
      <bottom/>
      <diagonal/>
    </border>
    <border>
      <left/>
      <right style="thin">
        <color theme="0"/>
      </right>
      <top/>
      <bottom style="thin">
        <color theme="0"/>
      </bottom>
      <diagonal/>
    </border>
    <border>
      <left/>
      <right style="thin">
        <color theme="0"/>
      </right>
      <top/>
      <bottom/>
      <diagonal/>
    </border>
    <border>
      <left/>
      <right/>
      <top style="thin">
        <color theme="0"/>
      </top>
      <bottom/>
      <diagonal/>
    </border>
    <border>
      <left/>
      <right/>
      <top/>
      <bottom style="thin">
        <color theme="0"/>
      </bottom>
      <diagonal/>
    </border>
    <border>
      <left style="thin">
        <color theme="0"/>
      </left>
      <right/>
      <top style="thin">
        <color theme="0"/>
      </top>
      <bottom/>
      <diagonal/>
    </border>
    <border>
      <left style="thin">
        <color theme="0"/>
      </left>
      <right/>
      <top/>
      <bottom style="thin">
        <color theme="0"/>
      </bottom>
      <diagonal/>
    </border>
    <border>
      <left style="thin">
        <color theme="0"/>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
      <left style="thin">
        <color theme="1" tint="0.24994659260841701"/>
      </left>
      <right style="thin">
        <color theme="1" tint="0.24994659260841701"/>
      </right>
      <top/>
      <bottom style="thin">
        <color theme="1"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indexed="64"/>
      </top>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indexed="64"/>
      </right>
      <top style="thin">
        <color indexed="64"/>
      </top>
      <bottom/>
      <diagonal/>
    </border>
    <border>
      <left/>
      <right style="thin">
        <color theme="0" tint="-0.24994659260841701"/>
      </right>
      <top/>
      <bottom style="thin">
        <color indexed="64"/>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indexed="64"/>
      </right>
      <top/>
      <bottom style="thin">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right/>
      <top style="thin">
        <color theme="1" tint="0.499984740745262"/>
      </top>
      <bottom/>
      <diagonal/>
    </border>
    <border>
      <left style="thin">
        <color theme="1" tint="0.499984740745262"/>
      </left>
      <right/>
      <top/>
      <bottom style="thin">
        <color theme="1" tint="0.499984740745262"/>
      </bottom>
      <diagonal/>
    </border>
    <border>
      <left style="thin">
        <color theme="1" tint="0.499984740745262"/>
      </left>
      <right style="thin">
        <color theme="0" tint="-0.24994659260841701"/>
      </right>
      <top style="thin">
        <color theme="1" tint="0.499984740745262"/>
      </top>
      <bottom style="thin">
        <color theme="0" tint="-0.24994659260841701"/>
      </bottom>
      <diagonal/>
    </border>
    <border>
      <left style="thin">
        <color theme="0" tint="-0.24994659260841701"/>
      </left>
      <right style="thin">
        <color theme="0" tint="-0.24994659260841701"/>
      </right>
      <top style="thin">
        <color theme="1" tint="0.499984740745262"/>
      </top>
      <bottom style="thin">
        <color theme="0" tint="-0.24994659260841701"/>
      </bottom>
      <diagonal/>
    </border>
    <border>
      <left style="thin">
        <color theme="0" tint="-0.24994659260841701"/>
      </left>
      <right style="thin">
        <color theme="1" tint="0.499984740745262"/>
      </right>
      <top style="thin">
        <color theme="1" tint="0.499984740745262"/>
      </top>
      <bottom style="thin">
        <color theme="0" tint="-0.24994659260841701"/>
      </bottom>
      <diagonal/>
    </border>
    <border>
      <left style="thin">
        <color theme="1" tint="0.499984740745262"/>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0" tint="-0.24994659260841701"/>
      </right>
      <top style="thin">
        <color theme="0" tint="-0.24994659260841701"/>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1" tint="0.499984740745262"/>
      </bottom>
      <diagonal/>
    </border>
    <border>
      <left style="thin">
        <color theme="0" tint="-0.24994659260841701"/>
      </left>
      <right style="thin">
        <color theme="1" tint="0.499984740745262"/>
      </right>
      <top style="thin">
        <color theme="0" tint="-0.24994659260841701"/>
      </top>
      <bottom style="thin">
        <color theme="1" tint="0.499984740745262"/>
      </bottom>
      <diagonal/>
    </border>
    <border>
      <left style="thin">
        <color theme="0" tint="-0.24994659260841701"/>
      </left>
      <right/>
      <top style="thin">
        <color theme="1" tint="0.499984740745262"/>
      </top>
      <bottom style="thin">
        <color theme="0" tint="-0.24994659260841701"/>
      </bottom>
      <diagonal/>
    </border>
    <border>
      <left/>
      <right/>
      <top style="thin">
        <color theme="1" tint="0.499984740745262"/>
      </top>
      <bottom style="thin">
        <color theme="0" tint="-0.24994659260841701"/>
      </bottom>
      <diagonal/>
    </border>
    <border>
      <left/>
      <right style="thin">
        <color theme="0" tint="-0.24994659260841701"/>
      </right>
      <top style="thin">
        <color theme="1" tint="0.499984740745262"/>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indexed="64"/>
      </top>
      <bottom style="thin">
        <color indexed="64"/>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1" tint="0.499984740745262"/>
      </bottom>
      <diagonal/>
    </border>
    <border>
      <left/>
      <right style="thin">
        <color theme="1" tint="0.499984740745262"/>
      </right>
      <top style="thin">
        <color theme="1" tint="0.499984740745262"/>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1" tint="0.499984740745262"/>
      </right>
      <top/>
      <bottom style="thin">
        <color theme="0" tint="-0.2499465926084170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1" tint="0.499984740745262"/>
      </right>
      <top/>
      <bottom/>
      <diagonal/>
    </border>
    <border>
      <left/>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top style="medium">
        <color theme="1"/>
      </top>
      <bottom style="thin">
        <color indexed="64"/>
      </bottom>
      <diagonal/>
    </border>
    <border>
      <left style="thin">
        <color theme="1"/>
      </left>
      <right style="thin">
        <color theme="1"/>
      </right>
      <top style="thin">
        <color theme="1"/>
      </top>
      <bottom style="thin">
        <color theme="1"/>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0" tint="-0.24994659260841701"/>
      </left>
      <right/>
      <top style="thin">
        <color indexed="64"/>
      </top>
      <bottom/>
      <diagonal/>
    </border>
    <border>
      <left style="thin">
        <color theme="0" tint="-0.24994659260841701"/>
      </left>
      <right/>
      <top/>
      <bottom style="thin">
        <color indexed="64"/>
      </bottom>
      <diagonal/>
    </border>
    <border>
      <left/>
      <right style="thin">
        <color theme="1"/>
      </right>
      <top style="thin">
        <color theme="1"/>
      </top>
      <bottom style="thin">
        <color theme="1"/>
      </bottom>
      <diagonal/>
    </border>
  </borders>
  <cellStyleXfs count="10">
    <xf numFmtId="0" fontId="0" fillId="0" borderId="0"/>
    <xf numFmtId="9" fontId="8" fillId="0" borderId="0" applyFont="0" applyFill="0" applyBorder="0" applyAlignment="0" applyProtection="0"/>
    <xf numFmtId="9" fontId="12" fillId="0" borderId="0" applyFont="0" applyFill="0" applyBorder="0" applyAlignment="0" applyProtection="0"/>
    <xf numFmtId="0" fontId="13" fillId="0" borderId="0"/>
    <xf numFmtId="44" fontId="8" fillId="0" borderId="0" applyFont="0" applyFill="0" applyBorder="0" applyAlignment="0" applyProtection="0"/>
    <xf numFmtId="43" fontId="8" fillId="0" borderId="0" applyFont="0" applyFill="0" applyBorder="0" applyAlignment="0" applyProtection="0"/>
    <xf numFmtId="0" fontId="15" fillId="0" borderId="0" applyNumberFormat="0" applyFill="0" applyBorder="0" applyAlignment="0" applyProtection="0"/>
    <xf numFmtId="0" fontId="12" fillId="0" borderId="0"/>
    <xf numFmtId="44" fontId="8" fillId="0" borderId="0" applyFont="0" applyFill="0" applyBorder="0" applyAlignment="0" applyProtection="0"/>
    <xf numFmtId="43" fontId="8" fillId="0" borderId="0" applyFont="0" applyFill="0" applyBorder="0" applyAlignment="0" applyProtection="0"/>
  </cellStyleXfs>
  <cellXfs count="583">
    <xf numFmtId="0" fontId="0" fillId="0" borderId="0" xfId="0"/>
    <xf numFmtId="0" fontId="3"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6"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4" fillId="0" borderId="0" xfId="0" applyFont="1" applyAlignment="1">
      <alignment horizontal="left" vertical="center" wrapText="1"/>
    </xf>
    <xf numFmtId="0" fontId="3" fillId="0" borderId="0" xfId="0" applyFont="1" applyAlignment="1">
      <alignment horizontal="left" vertical="center"/>
    </xf>
    <xf numFmtId="0" fontId="1" fillId="0" borderId="0" xfId="0" applyFont="1" applyAlignment="1">
      <alignment horizontal="center"/>
    </xf>
    <xf numFmtId="0" fontId="1" fillId="0" borderId="0" xfId="0" applyFont="1"/>
    <xf numFmtId="0" fontId="2" fillId="7" borderId="1" xfId="0" applyFont="1" applyFill="1" applyBorder="1" applyAlignment="1">
      <alignment horizontal="center"/>
    </xf>
    <xf numFmtId="0" fontId="2" fillId="11" borderId="1" xfId="0" applyFont="1" applyFill="1" applyBorder="1" applyAlignment="1">
      <alignment horizontal="center"/>
    </xf>
    <xf numFmtId="0" fontId="2" fillId="7" borderId="1" xfId="0" applyFont="1" applyFill="1" applyBorder="1"/>
    <xf numFmtId="0" fontId="1" fillId="0" borderId="1" xfId="0" applyFont="1" applyBorder="1" applyAlignment="1">
      <alignment horizontal="center" vertical="center"/>
    </xf>
    <xf numFmtId="0" fontId="1" fillId="11" borderId="1" xfId="0" applyFont="1" applyFill="1" applyBorder="1" applyAlignment="1">
      <alignment horizontal="center" vertical="center"/>
    </xf>
    <xf numFmtId="0" fontId="1" fillId="0" borderId="1" xfId="0" applyFont="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14" borderId="1" xfId="0" applyFont="1" applyFill="1" applyBorder="1" applyAlignment="1">
      <alignment horizontal="left" vertical="center"/>
    </xf>
    <xf numFmtId="0" fontId="3" fillId="0" borderId="1" xfId="0" applyFont="1" applyBorder="1" applyAlignment="1">
      <alignment horizontal="left" vertical="center" indent="1"/>
    </xf>
    <xf numFmtId="0" fontId="3" fillId="7" borderId="1" xfId="0" applyFont="1" applyFill="1" applyBorder="1" applyAlignment="1">
      <alignment horizontal="left" vertical="center"/>
    </xf>
    <xf numFmtId="0" fontId="1" fillId="13" borderId="1" xfId="0" applyFont="1" applyFill="1" applyBorder="1"/>
    <xf numFmtId="0" fontId="4" fillId="17" borderId="1" xfId="0"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horizontal="center" vertical="center"/>
    </xf>
    <xf numFmtId="0" fontId="1" fillId="0" borderId="0" xfId="0" applyFont="1" applyAlignment="1">
      <alignment vertical="center"/>
    </xf>
    <xf numFmtId="0" fontId="9" fillId="0" borderId="0" xfId="0" applyFont="1"/>
    <xf numFmtId="0" fontId="1" fillId="10" borderId="1" xfId="0" applyFont="1" applyFill="1" applyBorder="1"/>
    <xf numFmtId="0" fontId="1" fillId="14" borderId="8" xfId="0" applyFont="1" applyFill="1" applyBorder="1"/>
    <xf numFmtId="0" fontId="1" fillId="0" borderId="8" xfId="0" applyFont="1" applyBorder="1"/>
    <xf numFmtId="0" fontId="1" fillId="9" borderId="1" xfId="0" applyFont="1" applyFill="1" applyBorder="1"/>
    <xf numFmtId="0" fontId="0" fillId="0" borderId="18" xfId="0" applyBorder="1"/>
    <xf numFmtId="0" fontId="4" fillId="0" borderId="21" xfId="0" applyFont="1" applyBorder="1" applyAlignment="1">
      <alignment horizontal="right" vertical="center" wrapText="1"/>
    </xf>
    <xf numFmtId="0" fontId="4" fillId="0" borderId="20" xfId="0" applyFont="1" applyBorder="1" applyAlignment="1">
      <alignment horizontal="right" vertical="center" wrapText="1"/>
    </xf>
    <xf numFmtId="0" fontId="0" fillId="0" borderId="16" xfId="0" applyBorder="1"/>
    <xf numFmtId="0" fontId="0" fillId="0" borderId="20" xfId="0" applyBorder="1"/>
    <xf numFmtId="0" fontId="0" fillId="0" borderId="19" xfId="0" applyBorder="1"/>
    <xf numFmtId="0" fontId="1" fillId="12" borderId="1" xfId="0" applyFont="1" applyFill="1"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44" fontId="6" fillId="0" borderId="10" xfId="4" applyFont="1" applyBorder="1" applyAlignment="1">
      <alignment horizontal="center" vertical="center" wrapText="1"/>
    </xf>
    <xf numFmtId="9" fontId="1" fillId="0" borderId="0" xfId="1" applyFont="1" applyAlignment="1">
      <alignment horizontal="center" vertical="center"/>
    </xf>
    <xf numFmtId="165" fontId="1" fillId="0" borderId="0" xfId="1" applyNumberFormat="1" applyFont="1" applyAlignment="1">
      <alignment horizontal="center" vertical="center"/>
    </xf>
    <xf numFmtId="0" fontId="1" fillId="0" borderId="12" xfId="0" applyFont="1" applyBorder="1"/>
    <xf numFmtId="0" fontId="1" fillId="0" borderId="13" xfId="0" applyFont="1" applyBorder="1"/>
    <xf numFmtId="0" fontId="1" fillId="0" borderId="5" xfId="0" applyFont="1" applyBorder="1"/>
    <xf numFmtId="0" fontId="1" fillId="0" borderId="6" xfId="0" applyFont="1" applyBorder="1"/>
    <xf numFmtId="0" fontId="1" fillId="0" borderId="7" xfId="0" applyFont="1" applyBorder="1"/>
    <xf numFmtId="0" fontId="1" fillId="20" borderId="2" xfId="0" applyFont="1" applyFill="1" applyBorder="1"/>
    <xf numFmtId="0" fontId="1" fillId="20" borderId="3" xfId="0" applyFont="1" applyFill="1" applyBorder="1"/>
    <xf numFmtId="0" fontId="1" fillId="20" borderId="4" xfId="0" applyFont="1" applyFill="1" applyBorder="1"/>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18" borderId="1" xfId="0" applyFont="1" applyFill="1" applyBorder="1" applyAlignment="1">
      <alignment horizontal="center" vertical="center"/>
    </xf>
    <xf numFmtId="0" fontId="7" fillId="3" borderId="31"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1" fillId="20" borderId="0" xfId="0" applyFont="1" applyFill="1"/>
    <xf numFmtId="0" fontId="3" fillId="0" borderId="0" xfId="0" applyFont="1" applyAlignment="1">
      <alignment vertical="center"/>
    </xf>
    <xf numFmtId="0" fontId="4" fillId="0" borderId="0" xfId="0" applyFont="1" applyAlignment="1">
      <alignment horizontal="center" vertical="center" wrapText="1"/>
    </xf>
    <xf numFmtId="0" fontId="18" fillId="0" borderId="0" xfId="0" applyFont="1" applyAlignment="1">
      <alignment horizontal="left"/>
    </xf>
    <xf numFmtId="0" fontId="3" fillId="0" borderId="0" xfId="0" applyFont="1"/>
    <xf numFmtId="43" fontId="3" fillId="0" borderId="0" xfId="5" applyFont="1" applyBorder="1"/>
    <xf numFmtId="43" fontId="3" fillId="0" borderId="0" xfId="5" applyFont="1"/>
    <xf numFmtId="0" fontId="3" fillId="0" borderId="0" xfId="5" applyNumberFormat="1" applyFont="1"/>
    <xf numFmtId="0" fontId="3" fillId="0" borderId="0" xfId="5" applyNumberFormat="1" applyFont="1" applyBorder="1"/>
    <xf numFmtId="0" fontId="4" fillId="0" borderId="0" xfId="5" applyNumberFormat="1" applyFont="1" applyBorder="1"/>
    <xf numFmtId="0" fontId="4" fillId="0" borderId="0" xfId="0" applyFont="1"/>
    <xf numFmtId="0" fontId="4" fillId="0" borderId="34" xfId="5" applyNumberFormat="1" applyFont="1" applyBorder="1"/>
    <xf numFmtId="0" fontId="4" fillId="0" borderId="34" xfId="0" applyFont="1" applyBorder="1"/>
    <xf numFmtId="0" fontId="4" fillId="0" borderId="35" xfId="0" applyFont="1" applyBorder="1"/>
    <xf numFmtId="0" fontId="3" fillId="0" borderId="34" xfId="0" applyFont="1" applyBorder="1"/>
    <xf numFmtId="0" fontId="3" fillId="0" borderId="35" xfId="0" applyFont="1" applyBorder="1"/>
    <xf numFmtId="0" fontId="20" fillId="0" borderId="0" xfId="5" applyNumberFormat="1" applyFont="1"/>
    <xf numFmtId="0" fontId="19" fillId="0" borderId="0" xfId="5" applyNumberFormat="1" applyFont="1" applyBorder="1" applyAlignment="1">
      <alignment horizontal="left" indent="1"/>
    </xf>
    <xf numFmtId="0" fontId="19" fillId="0" borderId="0" xfId="0" applyFont="1" applyAlignment="1">
      <alignment horizontal="left" indent="1"/>
    </xf>
    <xf numFmtId="43" fontId="19" fillId="0" borderId="33" xfId="5" applyFont="1" applyBorder="1"/>
    <xf numFmtId="43" fontId="23" fillId="0" borderId="34" xfId="5" applyFont="1" applyBorder="1"/>
    <xf numFmtId="0" fontId="23" fillId="0" borderId="34" xfId="0" applyFont="1" applyBorder="1"/>
    <xf numFmtId="0" fontId="10" fillId="0" borderId="33" xfId="0" applyFont="1" applyBorder="1" applyAlignment="1">
      <alignment vertical="center"/>
    </xf>
    <xf numFmtId="0" fontId="10" fillId="0" borderId="33" xfId="5" applyNumberFormat="1" applyFont="1" applyBorder="1" applyAlignment="1">
      <alignment horizontal="left" vertical="center"/>
    </xf>
    <xf numFmtId="0" fontId="6" fillId="0" borderId="34" xfId="0" applyFont="1" applyBorder="1"/>
    <xf numFmtId="0" fontId="4" fillId="0" borderId="34" xfId="0" applyFont="1" applyBorder="1" applyAlignment="1">
      <alignment horizontal="right"/>
    </xf>
    <xf numFmtId="0" fontId="24" fillId="22" borderId="0" xfId="0" applyFont="1" applyFill="1"/>
    <xf numFmtId="0" fontId="24" fillId="22" borderId="0" xfId="5" applyNumberFormat="1" applyFont="1" applyFill="1"/>
    <xf numFmtId="43" fontId="24" fillId="22" borderId="0" xfId="5" applyFont="1" applyFill="1"/>
    <xf numFmtId="0" fontId="24" fillId="22" borderId="32" xfId="0" applyFont="1" applyFill="1" applyBorder="1"/>
    <xf numFmtId="43" fontId="24" fillId="22" borderId="32" xfId="5" applyFont="1" applyFill="1" applyBorder="1"/>
    <xf numFmtId="166" fontId="24" fillId="22" borderId="32" xfId="5" applyNumberFormat="1" applyFont="1" applyFill="1" applyBorder="1"/>
    <xf numFmtId="43" fontId="24" fillId="22" borderId="32" xfId="5" applyFont="1" applyFill="1" applyBorder="1" applyAlignment="1">
      <alignment horizontal="right"/>
    </xf>
    <xf numFmtId="166" fontId="24" fillId="22" borderId="32" xfId="0" applyNumberFormat="1" applyFont="1" applyFill="1" applyBorder="1"/>
    <xf numFmtId="43" fontId="24" fillId="22" borderId="32" xfId="0" applyNumberFormat="1" applyFont="1" applyFill="1" applyBorder="1"/>
    <xf numFmtId="0" fontId="3" fillId="0" borderId="0" xfId="0" applyFont="1" applyAlignment="1">
      <alignment vertical="top"/>
    </xf>
    <xf numFmtId="0" fontId="19" fillId="16" borderId="1" xfId="0" applyFont="1" applyFill="1" applyBorder="1" applyAlignment="1">
      <alignment horizontal="center" vertical="center"/>
    </xf>
    <xf numFmtId="0" fontId="19" fillId="14" borderId="1" xfId="0" applyFont="1" applyFill="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12" xfId="0" applyFont="1" applyBorder="1" applyAlignment="1">
      <alignment horizontal="center" vertical="center"/>
    </xf>
    <xf numFmtId="0" fontId="3" fillId="0" borderId="0" xfId="0" applyFont="1" applyAlignment="1">
      <alignment horizontal="right" vertical="center"/>
    </xf>
    <xf numFmtId="0" fontId="27" fillId="0" borderId="1" xfId="0" applyFont="1" applyBorder="1" applyAlignment="1">
      <alignment horizontal="left" vertical="center"/>
    </xf>
    <xf numFmtId="0" fontId="28" fillId="0" borderId="10" xfId="0" applyFont="1" applyBorder="1" applyAlignment="1">
      <alignment horizontal="center" vertical="center"/>
    </xf>
    <xf numFmtId="0" fontId="27" fillId="0" borderId="9" xfId="0" applyFont="1" applyBorder="1" applyAlignment="1">
      <alignment horizontal="left" vertical="center"/>
    </xf>
    <xf numFmtId="0" fontId="27" fillId="0" borderId="41" xfId="0" applyFont="1" applyBorder="1" applyAlignment="1">
      <alignment horizontal="left" vertical="center"/>
    </xf>
    <xf numFmtId="0" fontId="27" fillId="0" borderId="42" xfId="0" applyFont="1" applyBorder="1" applyAlignment="1">
      <alignment horizontal="left" vertical="center"/>
    </xf>
    <xf numFmtId="0" fontId="27" fillId="0" borderId="43" xfId="0" applyFont="1" applyBorder="1" applyAlignment="1">
      <alignment horizontal="left" vertical="center"/>
    </xf>
    <xf numFmtId="0" fontId="27" fillId="0" borderId="44" xfId="0" applyFont="1" applyBorder="1" applyAlignment="1">
      <alignment horizontal="left" vertical="center"/>
    </xf>
    <xf numFmtId="0" fontId="27" fillId="5" borderId="41" xfId="0" applyFont="1" applyFill="1" applyBorder="1" applyAlignment="1">
      <alignment horizontal="left" vertical="center"/>
    </xf>
    <xf numFmtId="0" fontId="3" fillId="0" borderId="45" xfId="0" applyFont="1" applyBorder="1" applyAlignment="1">
      <alignment horizontal="left" vertical="center"/>
    </xf>
    <xf numFmtId="0" fontId="3" fillId="0" borderId="8" xfId="0" applyFont="1" applyBorder="1" applyAlignment="1">
      <alignment horizontal="left" vertical="center"/>
    </xf>
    <xf numFmtId="0" fontId="19" fillId="6" borderId="1" xfId="0" applyFont="1" applyFill="1" applyBorder="1" applyAlignment="1">
      <alignment horizontal="center" vertical="center"/>
    </xf>
    <xf numFmtId="0" fontId="17" fillId="0" borderId="0" xfId="0" applyFont="1" applyAlignment="1">
      <alignment vertical="top"/>
    </xf>
    <xf numFmtId="0" fontId="29" fillId="14" borderId="1" xfId="0" applyFont="1" applyFill="1" applyBorder="1" applyAlignment="1">
      <alignment horizontal="center" vertical="center"/>
    </xf>
    <xf numFmtId="0" fontId="17" fillId="0" borderId="0" xfId="0" applyFont="1"/>
    <xf numFmtId="0" fontId="30" fillId="0" borderId="1" xfId="0" applyFont="1" applyBorder="1" applyAlignment="1">
      <alignment horizontal="left" vertical="center"/>
    </xf>
    <xf numFmtId="0" fontId="5" fillId="0" borderId="46" xfId="0" applyFont="1" applyBorder="1" applyAlignment="1">
      <alignment horizontal="center" vertical="center"/>
    </xf>
    <xf numFmtId="0" fontId="3" fillId="0" borderId="46" xfId="0" applyFont="1" applyBorder="1" applyAlignment="1">
      <alignment horizontal="left" vertical="center"/>
    </xf>
    <xf numFmtId="0" fontId="3" fillId="0" borderId="46" xfId="0" applyFont="1" applyBorder="1" applyAlignment="1">
      <alignment horizontal="center" vertical="center"/>
    </xf>
    <xf numFmtId="0" fontId="28" fillId="0" borderId="46" xfId="0" applyFont="1" applyBorder="1" applyAlignment="1">
      <alignment horizontal="center" vertical="center"/>
    </xf>
    <xf numFmtId="0" fontId="27" fillId="0" borderId="12" xfId="0" applyFont="1" applyBorder="1" applyAlignment="1">
      <alignment horizontal="center" vertical="center" wrapText="1"/>
    </xf>
    <xf numFmtId="0" fontId="27" fillId="0" borderId="12" xfId="0" applyFont="1" applyBorder="1" applyAlignment="1">
      <alignment horizontal="center" vertical="center"/>
    </xf>
    <xf numFmtId="0" fontId="27" fillId="0" borderId="46" xfId="0" applyFont="1" applyBorder="1" applyAlignment="1">
      <alignment horizontal="left" vertical="center"/>
    </xf>
    <xf numFmtId="0" fontId="26" fillId="0" borderId="46" xfId="0" applyFont="1" applyBorder="1" applyAlignment="1">
      <alignment horizontal="left" vertical="center"/>
    </xf>
    <xf numFmtId="0" fontId="26" fillId="23" borderId="46" xfId="0" applyFont="1" applyFill="1" applyBorder="1" applyAlignment="1">
      <alignment horizontal="left" vertical="center"/>
    </xf>
    <xf numFmtId="49" fontId="6" fillId="0" borderId="34" xfId="0" applyNumberFormat="1" applyFont="1" applyBorder="1" applyAlignment="1">
      <alignment horizontal="left"/>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left" vertical="center"/>
    </xf>
    <xf numFmtId="0" fontId="3" fillId="0" borderId="50" xfId="0" applyFont="1" applyBorder="1" applyAlignment="1">
      <alignment horizontal="left" vertical="center"/>
    </xf>
    <xf numFmtId="0" fontId="1" fillId="0" borderId="1" xfId="0" applyFont="1" applyBorder="1" applyAlignment="1">
      <alignment horizontal="center"/>
    </xf>
    <xf numFmtId="0" fontId="19" fillId="12" borderId="1" xfId="0" applyFont="1" applyFill="1" applyBorder="1" applyAlignment="1">
      <alignment horizontal="center" vertical="center"/>
    </xf>
    <xf numFmtId="0" fontId="9" fillId="0" borderId="0" xfId="0" applyFont="1" applyAlignment="1">
      <alignment horizontal="left" vertical="center" wrapText="1"/>
    </xf>
    <xf numFmtId="0" fontId="31" fillId="21" borderId="32" xfId="0" applyFont="1" applyFill="1" applyBorder="1" applyAlignment="1">
      <alignment horizontal="center" vertical="center" wrapText="1"/>
    </xf>
    <xf numFmtId="0" fontId="9" fillId="0" borderId="32" xfId="0" applyFont="1" applyBorder="1" applyAlignment="1">
      <alignment horizontal="left" vertical="center" wrapText="1"/>
    </xf>
    <xf numFmtId="0" fontId="32" fillId="0" borderId="32" xfId="0" applyFont="1" applyBorder="1" applyAlignment="1">
      <alignment horizontal="left" vertical="center" wrapText="1"/>
    </xf>
    <xf numFmtId="0" fontId="9" fillId="0" borderId="0" xfId="0" applyFont="1" applyAlignment="1">
      <alignment vertical="center" wrapText="1"/>
    </xf>
    <xf numFmtId="0" fontId="9" fillId="0" borderId="32" xfId="0" applyFont="1" applyBorder="1" applyAlignment="1">
      <alignment vertical="center" wrapText="1"/>
    </xf>
    <xf numFmtId="0" fontId="35" fillId="0" borderId="0" xfId="0" applyFont="1"/>
    <xf numFmtId="0" fontId="0" fillId="0" borderId="0" xfId="0" applyAlignment="1">
      <alignment horizontal="center"/>
    </xf>
    <xf numFmtId="0" fontId="2" fillId="0" borderId="0" xfId="0" applyFont="1"/>
    <xf numFmtId="0" fontId="24" fillId="27" borderId="51" xfId="0" applyFont="1" applyFill="1" applyBorder="1" applyAlignment="1">
      <alignment horizontal="center" vertical="center"/>
    </xf>
    <xf numFmtId="0" fontId="24" fillId="35" borderId="51" xfId="0" applyFont="1" applyFill="1" applyBorder="1" applyAlignment="1">
      <alignment horizontal="center" vertical="center"/>
    </xf>
    <xf numFmtId="0" fontId="24" fillId="33" borderId="51" xfId="0" applyFont="1" applyFill="1" applyBorder="1" applyAlignment="1">
      <alignment horizontal="center" vertical="center" wrapText="1"/>
    </xf>
    <xf numFmtId="0" fontId="24" fillId="31" borderId="51" xfId="0" applyFont="1" applyFill="1" applyBorder="1" applyAlignment="1">
      <alignment horizontal="center" vertical="center"/>
    </xf>
    <xf numFmtId="0" fontId="24" fillId="31" borderId="51" xfId="0" applyFont="1" applyFill="1" applyBorder="1" applyAlignment="1">
      <alignment horizontal="center" vertical="center" wrapText="1"/>
    </xf>
    <xf numFmtId="164" fontId="34" fillId="0" borderId="51" xfId="0" applyNumberFormat="1" applyFont="1" applyBorder="1" applyAlignment="1" applyProtection="1">
      <alignment horizontal="left" vertical="center" wrapText="1"/>
      <protection locked="0"/>
    </xf>
    <xf numFmtId="44" fontId="34" fillId="0" borderId="51" xfId="0" applyNumberFormat="1" applyFont="1" applyBorder="1" applyAlignment="1" applyProtection="1">
      <alignment horizontal="left" vertical="center" wrapText="1"/>
      <protection locked="0"/>
    </xf>
    <xf numFmtId="1" fontId="34" fillId="0" borderId="51" xfId="0" applyNumberFormat="1" applyFont="1" applyBorder="1" applyAlignment="1" applyProtection="1">
      <alignment horizontal="center" vertical="center" wrapText="1"/>
      <protection locked="0"/>
    </xf>
    <xf numFmtId="0" fontId="34" fillId="0" borderId="51" xfId="0" applyFont="1" applyBorder="1" applyAlignment="1" applyProtection="1">
      <alignment horizontal="center" vertical="center" wrapText="1"/>
      <protection locked="0"/>
    </xf>
    <xf numFmtId="0" fontId="34" fillId="0" borderId="51" xfId="0" applyFont="1" applyBorder="1" applyAlignment="1">
      <alignment horizontal="center" vertical="center" wrapText="1"/>
    </xf>
    <xf numFmtId="1" fontId="34" fillId="0" borderId="51" xfId="5" applyNumberFormat="1" applyFont="1" applyBorder="1" applyAlignment="1" applyProtection="1">
      <alignment horizontal="center" vertical="center" wrapText="1"/>
      <protection locked="0"/>
    </xf>
    <xf numFmtId="0" fontId="2" fillId="0" borderId="3" xfId="0" applyFont="1" applyBorder="1" applyAlignment="1">
      <alignment vertical="center"/>
    </xf>
    <xf numFmtId="0" fontId="2" fillId="0" borderId="6" xfId="0" applyFont="1" applyBorder="1" applyAlignment="1">
      <alignment vertical="center"/>
    </xf>
    <xf numFmtId="0" fontId="2" fillId="0" borderId="0" xfId="0" applyFont="1" applyAlignment="1">
      <alignment horizontal="left" vertical="center"/>
    </xf>
    <xf numFmtId="0" fontId="1" fillId="0" borderId="0" xfId="0" applyFont="1" applyAlignment="1">
      <alignment horizontal="right" vertical="center"/>
    </xf>
    <xf numFmtId="0" fontId="35" fillId="0" borderId="33" xfId="0" applyFont="1" applyBorder="1"/>
    <xf numFmtId="0" fontId="0" fillId="0" borderId="34" xfId="0" applyBorder="1"/>
    <xf numFmtId="0" fontId="0" fillId="0" borderId="35" xfId="0" applyBorder="1"/>
    <xf numFmtId="0" fontId="16" fillId="0" borderId="39" xfId="0" applyFont="1" applyBorder="1"/>
    <xf numFmtId="0" fontId="0" fillId="0" borderId="40" xfId="0" applyBorder="1"/>
    <xf numFmtId="0" fontId="15" fillId="0" borderId="39" xfId="6" quotePrefix="1" applyBorder="1" applyAlignment="1">
      <alignment horizontal="center"/>
    </xf>
    <xf numFmtId="0" fontId="0" fillId="0" borderId="36" xfId="0" applyBorder="1" applyAlignment="1">
      <alignment horizontal="center"/>
    </xf>
    <xf numFmtId="0" fontId="0" fillId="0" borderId="37" xfId="0" applyBorder="1"/>
    <xf numFmtId="0" fontId="0" fillId="0" borderId="38" xfId="0" applyBorder="1"/>
    <xf numFmtId="0" fontId="36" fillId="0" borderId="0" xfId="0" quotePrefix="1" applyFont="1"/>
    <xf numFmtId="0" fontId="37" fillId="36" borderId="0" xfId="6" applyFont="1" applyFill="1" applyAlignment="1">
      <alignment horizontal="right" vertical="center"/>
    </xf>
    <xf numFmtId="0" fontId="36" fillId="0" borderId="0" xfId="0" applyFont="1"/>
    <xf numFmtId="0" fontId="1" fillId="6" borderId="58" xfId="0" applyFont="1" applyFill="1" applyBorder="1"/>
    <xf numFmtId="0" fontId="1" fillId="5" borderId="58" xfId="0" applyFont="1" applyFill="1" applyBorder="1"/>
    <xf numFmtId="0" fontId="1" fillId="4" borderId="58" xfId="0" applyFont="1" applyFill="1" applyBorder="1"/>
    <xf numFmtId="0" fontId="1" fillId="3" borderId="58" xfId="0" applyFont="1" applyFill="1" applyBorder="1"/>
    <xf numFmtId="0" fontId="38" fillId="0" borderId="0" xfId="0" applyFont="1" applyAlignment="1">
      <alignment horizontal="center" vertical="center"/>
    </xf>
    <xf numFmtId="0" fontId="34" fillId="0" borderId="0" xfId="0" applyFont="1"/>
    <xf numFmtId="0" fontId="24" fillId="38" borderId="51" xfId="0" applyFont="1" applyFill="1" applyBorder="1" applyAlignment="1">
      <alignment horizontal="center" vertical="center" wrapText="1"/>
    </xf>
    <xf numFmtId="9" fontId="34" fillId="0" borderId="51" xfId="1" applyFont="1" applyBorder="1" applyAlignment="1" applyProtection="1">
      <alignment horizontal="center" vertical="center" wrapText="1"/>
      <protection locked="0"/>
    </xf>
    <xf numFmtId="0" fontId="24" fillId="27" borderId="64" xfId="0" applyFont="1" applyFill="1" applyBorder="1" applyAlignment="1">
      <alignment horizontal="center" vertical="center"/>
    </xf>
    <xf numFmtId="0" fontId="34" fillId="0" borderId="64" xfId="0" applyFont="1" applyBorder="1" applyAlignment="1">
      <alignment horizontal="center" vertical="center" wrapText="1"/>
    </xf>
    <xf numFmtId="0" fontId="3" fillId="0" borderId="59" xfId="0" applyFont="1" applyBorder="1"/>
    <xf numFmtId="0" fontId="3" fillId="0" borderId="16" xfId="0" applyFont="1" applyBorder="1"/>
    <xf numFmtId="43" fontId="1" fillId="0" borderId="0" xfId="5" applyFont="1" applyAlignment="1">
      <alignment vertical="center"/>
    </xf>
    <xf numFmtId="43" fontId="1" fillId="0" borderId="0" xfId="0" applyNumberFormat="1" applyFont="1" applyAlignment="1">
      <alignment vertical="center"/>
    </xf>
    <xf numFmtId="43" fontId="2" fillId="0" borderId="0" xfId="5" applyFont="1" applyAlignment="1">
      <alignment horizontal="left" vertical="center"/>
    </xf>
    <xf numFmtId="0" fontId="29" fillId="7" borderId="51" xfId="0" applyFont="1" applyFill="1" applyBorder="1" applyAlignment="1">
      <alignment horizontal="left" vertical="center"/>
    </xf>
    <xf numFmtId="0" fontId="1" fillId="0" borderId="51" xfId="0" applyFont="1" applyBorder="1"/>
    <xf numFmtId="43" fontId="41" fillId="0" borderId="0" xfId="5" applyFont="1" applyAlignment="1">
      <alignment vertical="center"/>
    </xf>
    <xf numFmtId="0" fontId="43" fillId="0" borderId="0" xfId="0" applyFont="1" applyAlignment="1">
      <alignment horizontal="center" vertical="center"/>
    </xf>
    <xf numFmtId="43" fontId="43" fillId="0" borderId="0" xfId="5" applyFont="1" applyAlignment="1">
      <alignment vertical="center"/>
    </xf>
    <xf numFmtId="0" fontId="43" fillId="0" borderId="0" xfId="0" applyFont="1" applyAlignment="1">
      <alignment vertical="center"/>
    </xf>
    <xf numFmtId="0" fontId="1" fillId="0" borderId="0" xfId="0" applyFont="1" applyAlignment="1">
      <alignment horizontal="left" vertical="center" indent="2"/>
    </xf>
    <xf numFmtId="43" fontId="43" fillId="0" borderId="0" xfId="0" applyNumberFormat="1" applyFont="1" applyAlignment="1">
      <alignment vertical="center"/>
    </xf>
    <xf numFmtId="0" fontId="34" fillId="39" borderId="51" xfId="0" applyFont="1" applyFill="1" applyBorder="1" applyAlignment="1" applyProtection="1">
      <alignment vertical="center"/>
      <protection locked="0"/>
    </xf>
    <xf numFmtId="0" fontId="10" fillId="0" borderId="59" xfId="0" applyFont="1" applyBorder="1" applyAlignment="1">
      <alignment vertical="center" wrapText="1"/>
    </xf>
    <xf numFmtId="0" fontId="10" fillId="0" borderId="16" xfId="0" applyFont="1" applyBorder="1" applyAlignment="1">
      <alignment vertical="center" wrapText="1"/>
    </xf>
    <xf numFmtId="0" fontId="3" fillId="0" borderId="59" xfId="0" applyFont="1" applyBorder="1" applyAlignment="1">
      <alignment vertical="center" wrapText="1"/>
    </xf>
    <xf numFmtId="0" fontId="3" fillId="0" borderId="16" xfId="0" applyFont="1" applyBorder="1" applyAlignment="1">
      <alignment vertical="center" wrapText="1"/>
    </xf>
    <xf numFmtId="0" fontId="40" fillId="0" borderId="60" xfId="0" applyFont="1" applyBorder="1" applyAlignment="1">
      <alignment vertical="center"/>
    </xf>
    <xf numFmtId="0" fontId="40" fillId="0" borderId="16" xfId="0" applyFont="1" applyBorder="1" applyAlignment="1">
      <alignment vertical="center"/>
    </xf>
    <xf numFmtId="0" fontId="24" fillId="0" borderId="16" xfId="0" applyFont="1" applyBorder="1" applyAlignment="1">
      <alignment horizontal="right" vertical="center"/>
    </xf>
    <xf numFmtId="0" fontId="38" fillId="25" borderId="64" xfId="0" applyFont="1" applyFill="1" applyBorder="1" applyAlignment="1">
      <alignment horizontal="center" vertical="center"/>
    </xf>
    <xf numFmtId="0" fontId="38" fillId="25" borderId="51" xfId="0" applyFont="1" applyFill="1" applyBorder="1" applyAlignment="1">
      <alignment horizontal="center" vertical="center" wrapText="1"/>
    </xf>
    <xf numFmtId="44" fontId="38" fillId="25" borderId="51" xfId="0" applyNumberFormat="1" applyFont="1" applyFill="1" applyBorder="1" applyAlignment="1">
      <alignment horizontal="center" vertical="center" wrapText="1"/>
    </xf>
    <xf numFmtId="1" fontId="38" fillId="25" borderId="51" xfId="0" applyNumberFormat="1" applyFont="1" applyFill="1" applyBorder="1" applyAlignment="1">
      <alignment horizontal="center" vertical="center" wrapText="1"/>
    </xf>
    <xf numFmtId="1" fontId="38" fillId="25" borderId="51" xfId="0" applyNumberFormat="1" applyFont="1" applyFill="1" applyBorder="1" applyAlignment="1">
      <alignment horizontal="center" vertical="center"/>
    </xf>
    <xf numFmtId="44" fontId="38" fillId="25" borderId="51" xfId="0" applyNumberFormat="1" applyFont="1" applyFill="1" applyBorder="1" applyAlignment="1">
      <alignment horizontal="left" vertical="center" wrapText="1"/>
    </xf>
    <xf numFmtId="0" fontId="44" fillId="0" borderId="0" xfId="0" applyFont="1" applyAlignment="1">
      <alignment vertical="center"/>
    </xf>
    <xf numFmtId="0" fontId="44" fillId="0" borderId="0" xfId="0" applyFont="1" applyAlignment="1">
      <alignment horizontal="center" vertical="center"/>
    </xf>
    <xf numFmtId="0" fontId="44" fillId="0" borderId="0" xfId="0" applyFont="1" applyAlignment="1">
      <alignment horizontal="right" vertical="center"/>
    </xf>
    <xf numFmtId="0" fontId="0" fillId="23" borderId="0" xfId="0" applyFill="1"/>
    <xf numFmtId="0" fontId="25" fillId="40" borderId="45" xfId="0" applyFont="1" applyFill="1" applyBorder="1" applyAlignment="1">
      <alignment horizontal="center"/>
    </xf>
    <xf numFmtId="168" fontId="45" fillId="41" borderId="45" xfId="0" applyNumberFormat="1" applyFont="1" applyFill="1" applyBorder="1" applyAlignment="1">
      <alignment horizontal="center"/>
    </xf>
    <xf numFmtId="168" fontId="45" fillId="41" borderId="74" xfId="0" applyNumberFormat="1" applyFont="1" applyFill="1" applyBorder="1" applyAlignment="1">
      <alignment horizontal="center"/>
    </xf>
    <xf numFmtId="168" fontId="45" fillId="42" borderId="45" xfId="0" applyNumberFormat="1" applyFont="1" applyFill="1" applyBorder="1" applyAlignment="1">
      <alignment horizontal="center"/>
    </xf>
    <xf numFmtId="168" fontId="45" fillId="42" borderId="74" xfId="0" applyNumberFormat="1" applyFont="1" applyFill="1" applyBorder="1" applyAlignment="1">
      <alignment horizontal="center"/>
    </xf>
    <xf numFmtId="0" fontId="45" fillId="42" borderId="45" xfId="0" applyFont="1" applyFill="1" applyBorder="1" applyAlignment="1">
      <alignment horizontal="center"/>
    </xf>
    <xf numFmtId="0" fontId="45" fillId="42" borderId="74" xfId="0" applyFont="1" applyFill="1" applyBorder="1" applyAlignment="1">
      <alignment horizontal="center"/>
    </xf>
    <xf numFmtId="0" fontId="45" fillId="42" borderId="8" xfId="0" applyFont="1" applyFill="1" applyBorder="1" applyAlignment="1">
      <alignment horizontal="center"/>
    </xf>
    <xf numFmtId="0" fontId="0" fillId="23" borderId="9" xfId="0" quotePrefix="1" applyFill="1" applyBorder="1"/>
    <xf numFmtId="0" fontId="0" fillId="23" borderId="1" xfId="0" quotePrefix="1" applyFill="1" applyBorder="1"/>
    <xf numFmtId="0" fontId="44" fillId="0" borderId="0" xfId="0" applyFont="1" applyAlignment="1">
      <alignment vertical="center" wrapText="1"/>
    </xf>
    <xf numFmtId="166" fontId="44" fillId="0" borderId="0" xfId="5" applyNumberFormat="1" applyFont="1" applyAlignment="1">
      <alignment vertical="center"/>
    </xf>
    <xf numFmtId="166" fontId="0" fillId="23" borderId="1" xfId="0" applyNumberFormat="1" applyFill="1" applyBorder="1"/>
    <xf numFmtId="166" fontId="0" fillId="23" borderId="0" xfId="0" applyNumberFormat="1" applyFill="1"/>
    <xf numFmtId="166" fontId="0" fillId="23" borderId="9" xfId="0" applyNumberFormat="1" applyFill="1" applyBorder="1"/>
    <xf numFmtId="166" fontId="44" fillId="0" borderId="0" xfId="5" applyNumberFormat="1" applyFont="1" applyAlignment="1">
      <alignment horizontal="center" vertical="center"/>
    </xf>
    <xf numFmtId="1" fontId="44" fillId="0" borderId="0" xfId="0" applyNumberFormat="1" applyFont="1" applyAlignment="1">
      <alignment horizontal="center" vertical="center"/>
    </xf>
    <xf numFmtId="0" fontId="34" fillId="0" borderId="51" xfId="0" applyFont="1" applyBorder="1" applyAlignment="1" applyProtection="1">
      <alignment horizontal="left" vertical="center" wrapText="1"/>
      <protection locked="0"/>
    </xf>
    <xf numFmtId="0" fontId="24" fillId="24" borderId="63" xfId="0" applyFont="1" applyFill="1" applyBorder="1" applyAlignment="1">
      <alignment horizontal="center" vertical="center"/>
    </xf>
    <xf numFmtId="0" fontId="38" fillId="25" borderId="51" xfId="0" applyFont="1" applyFill="1" applyBorder="1" applyAlignment="1">
      <alignment horizontal="center" vertical="center"/>
    </xf>
    <xf numFmtId="9" fontId="34" fillId="0" borderId="72" xfId="1" applyFont="1" applyBorder="1" applyAlignment="1" applyProtection="1">
      <alignment horizontal="center" vertical="center" wrapText="1"/>
      <protection locked="0"/>
    </xf>
    <xf numFmtId="0" fontId="34" fillId="0" borderId="51" xfId="0" applyFont="1" applyBorder="1" applyAlignment="1" applyProtection="1">
      <alignment horizontal="center" vertical="center"/>
      <protection locked="0"/>
    </xf>
    <xf numFmtId="0" fontId="34" fillId="0" borderId="67" xfId="0" applyFont="1" applyBorder="1" applyAlignment="1" applyProtection="1">
      <alignment horizontal="center" vertical="center"/>
      <protection locked="0"/>
    </xf>
    <xf numFmtId="0" fontId="34" fillId="0" borderId="66" xfId="0" applyFont="1" applyBorder="1" applyAlignment="1">
      <alignment horizontal="center" vertical="center" wrapText="1"/>
    </xf>
    <xf numFmtId="0" fontId="34" fillId="0" borderId="67" xfId="0" applyFont="1" applyBorder="1" applyAlignment="1" applyProtection="1">
      <alignment horizontal="left" vertical="center" wrapText="1"/>
      <protection locked="0"/>
    </xf>
    <xf numFmtId="164" fontId="34" fillId="0" borderId="67" xfId="0" applyNumberFormat="1" applyFont="1" applyBorder="1" applyAlignment="1" applyProtection="1">
      <alignment horizontal="left" vertical="center" wrapText="1"/>
      <protection locked="0"/>
    </xf>
    <xf numFmtId="44" fontId="34" fillId="0" borderId="67" xfId="0" applyNumberFormat="1" applyFont="1" applyBorder="1" applyAlignment="1" applyProtection="1">
      <alignment horizontal="left" vertical="center" wrapText="1"/>
      <protection locked="0"/>
    </xf>
    <xf numFmtId="1" fontId="34" fillId="0" borderId="67" xfId="0" applyNumberFormat="1" applyFont="1" applyBorder="1" applyAlignment="1" applyProtection="1">
      <alignment horizontal="center" vertical="center" wrapText="1"/>
      <protection locked="0"/>
    </xf>
    <xf numFmtId="0" fontId="34" fillId="0" borderId="67" xfId="0" applyFont="1" applyBorder="1" applyAlignment="1" applyProtection="1">
      <alignment horizontal="center" vertical="center" wrapText="1"/>
      <protection locked="0"/>
    </xf>
    <xf numFmtId="0" fontId="34" fillId="0" borderId="67" xfId="0" applyFont="1" applyBorder="1" applyAlignment="1">
      <alignment horizontal="center" vertical="center" wrapText="1"/>
    </xf>
    <xf numFmtId="1" fontId="34" fillId="0" borderId="67" xfId="5" applyNumberFormat="1" applyFont="1" applyBorder="1" applyAlignment="1" applyProtection="1">
      <alignment horizontal="center" vertical="center" wrapText="1"/>
      <protection locked="0"/>
    </xf>
    <xf numFmtId="9" fontId="34" fillId="0" borderId="67" xfId="1" applyFont="1" applyBorder="1" applyAlignment="1" applyProtection="1">
      <alignment horizontal="center" vertical="center" wrapText="1"/>
      <protection locked="0"/>
    </xf>
    <xf numFmtId="0" fontId="38" fillId="25" borderId="84" xfId="0" applyFont="1" applyFill="1" applyBorder="1" applyAlignment="1">
      <alignment horizontal="center" vertical="center" wrapText="1"/>
    </xf>
    <xf numFmtId="44" fontId="38" fillId="25" borderId="84" xfId="0" applyNumberFormat="1" applyFont="1" applyFill="1" applyBorder="1" applyAlignment="1">
      <alignment horizontal="center" vertical="center" wrapText="1"/>
    </xf>
    <xf numFmtId="1" fontId="38" fillId="25" borderId="84" xfId="5" applyNumberFormat="1" applyFont="1" applyFill="1" applyBorder="1" applyAlignment="1" applyProtection="1">
      <alignment horizontal="center" vertical="center"/>
    </xf>
    <xf numFmtId="0" fontId="38" fillId="25" borderId="85" xfId="5" applyNumberFormat="1" applyFont="1" applyFill="1" applyBorder="1" applyAlignment="1" applyProtection="1">
      <alignment horizontal="center" vertical="center"/>
    </xf>
    <xf numFmtId="0" fontId="38" fillId="0" borderId="81" xfId="0" applyFont="1" applyBorder="1" applyAlignment="1">
      <alignment horizontal="center" vertical="center"/>
    </xf>
    <xf numFmtId="0" fontId="38" fillId="0" borderId="84" xfId="0" applyFont="1" applyBorder="1" applyAlignment="1">
      <alignment horizontal="center" vertical="center"/>
    </xf>
    <xf numFmtId="0" fontId="38" fillId="0" borderId="85" xfId="0" applyFont="1" applyBorder="1" applyAlignment="1">
      <alignment horizontal="center" vertical="center"/>
    </xf>
    <xf numFmtId="0" fontId="24" fillId="29" borderId="67" xfId="0" applyFont="1" applyFill="1" applyBorder="1" applyAlignment="1">
      <alignment horizontal="center" vertical="center" wrapText="1"/>
    </xf>
    <xf numFmtId="0" fontId="24" fillId="29" borderId="82" xfId="0" applyFont="1" applyFill="1" applyBorder="1" applyAlignment="1">
      <alignment horizontal="center" vertical="center" wrapText="1"/>
    </xf>
    <xf numFmtId="0" fontId="3" fillId="44" borderId="67" xfId="0" applyFont="1" applyFill="1" applyBorder="1" applyAlignment="1">
      <alignment horizontal="center" vertical="center"/>
    </xf>
    <xf numFmtId="0" fontId="3" fillId="44" borderId="68" xfId="0" applyFont="1" applyFill="1" applyBorder="1" applyAlignment="1">
      <alignment horizontal="center" vertical="center"/>
    </xf>
    <xf numFmtId="0" fontId="3" fillId="0" borderId="0" xfId="0" applyFont="1" applyProtection="1">
      <protection locked="0"/>
    </xf>
    <xf numFmtId="0" fontId="3" fillId="0" borderId="0" xfId="0" applyFont="1" applyAlignment="1" applyProtection="1">
      <alignment vertical="center"/>
      <protection locked="0"/>
    </xf>
    <xf numFmtId="0" fontId="3" fillId="0" borderId="0" xfId="0" applyFont="1" applyAlignment="1" applyProtection="1">
      <alignment horizontal="center" vertical="center"/>
      <protection locked="0"/>
    </xf>
    <xf numFmtId="0" fontId="38" fillId="0" borderId="0" xfId="0" applyFont="1" applyAlignment="1" applyProtection="1">
      <alignment horizontal="center" vertical="center"/>
      <protection locked="0"/>
    </xf>
    <xf numFmtId="0" fontId="34" fillId="0" borderId="0" xfId="0" applyFont="1" applyProtection="1">
      <protection locked="0"/>
    </xf>
    <xf numFmtId="164" fontId="34" fillId="0" borderId="51" xfId="4" applyNumberFormat="1" applyFont="1" applyBorder="1" applyAlignment="1" applyProtection="1">
      <alignment horizontal="center" vertical="center"/>
      <protection locked="0"/>
    </xf>
    <xf numFmtId="0" fontId="34" fillId="0" borderId="65" xfId="0" applyFont="1" applyBorder="1" applyAlignment="1" applyProtection="1">
      <alignment horizontal="left" vertical="center" wrapText="1"/>
      <protection locked="0"/>
    </xf>
    <xf numFmtId="0" fontId="34" fillId="0" borderId="65" xfId="0" applyFont="1" applyBorder="1" applyProtection="1">
      <protection locked="0"/>
    </xf>
    <xf numFmtId="164" fontId="34" fillId="0" borderId="67" xfId="4" applyNumberFormat="1" applyFont="1" applyBorder="1" applyAlignment="1" applyProtection="1">
      <alignment horizontal="center" vertical="center"/>
      <protection locked="0"/>
    </xf>
    <xf numFmtId="0" fontId="34" fillId="0" borderId="68" xfId="0" applyFont="1" applyBorder="1" applyProtection="1">
      <protection locked="0"/>
    </xf>
    <xf numFmtId="43" fontId="1" fillId="0" borderId="87" xfId="5" applyFont="1" applyBorder="1" applyAlignment="1" applyProtection="1">
      <alignment vertical="center"/>
      <protection locked="0"/>
    </xf>
    <xf numFmtId="0" fontId="50" fillId="0" borderId="0" xfId="0" applyFont="1" applyAlignment="1">
      <alignment horizontal="center" vertical="center"/>
    </xf>
    <xf numFmtId="0" fontId="5" fillId="23" borderId="51" xfId="0" applyFont="1" applyFill="1" applyBorder="1" applyAlignment="1" applyProtection="1">
      <alignment horizontal="center" vertical="center"/>
      <protection locked="0"/>
    </xf>
    <xf numFmtId="43" fontId="0" fillId="0" borderId="0" xfId="5" applyFont="1"/>
    <xf numFmtId="43" fontId="0" fillId="0" borderId="0" xfId="0" applyNumberFormat="1"/>
    <xf numFmtId="0" fontId="25" fillId="0" borderId="0" xfId="0" applyFont="1"/>
    <xf numFmtId="43" fontId="25" fillId="0" borderId="0" xfId="0" applyNumberFormat="1" applyFont="1"/>
    <xf numFmtId="2" fontId="0" fillId="0" borderId="0" xfId="0" applyNumberFormat="1"/>
    <xf numFmtId="9" fontId="0" fillId="0" borderId="0" xfId="0" applyNumberFormat="1"/>
    <xf numFmtId="1" fontId="0" fillId="0" borderId="0" xfId="0" applyNumberFormat="1"/>
    <xf numFmtId="10" fontId="0" fillId="0" borderId="0" xfId="0" applyNumberFormat="1"/>
    <xf numFmtId="43" fontId="1" fillId="0" borderId="89" xfId="5" applyFont="1" applyBorder="1" applyAlignment="1" applyProtection="1">
      <alignment vertical="center"/>
      <protection locked="0"/>
    </xf>
    <xf numFmtId="169" fontId="50" fillId="0" borderId="0" xfId="0" applyNumberFormat="1" applyFont="1" applyAlignment="1">
      <alignment horizontal="center" vertical="center"/>
    </xf>
    <xf numFmtId="0" fontId="50" fillId="0" borderId="0" xfId="0" applyFont="1" applyAlignment="1">
      <alignment horizontal="left" vertical="center" wrapText="1"/>
    </xf>
    <xf numFmtId="0" fontId="50" fillId="0" borderId="0" xfId="0" applyFont="1" applyAlignment="1">
      <alignment horizontal="center" vertical="center" wrapText="1"/>
    </xf>
    <xf numFmtId="0" fontId="54" fillId="0" borderId="0" xfId="0" applyFont="1" applyAlignment="1">
      <alignment horizontal="left" vertical="center"/>
    </xf>
    <xf numFmtId="164" fontId="50" fillId="0" borderId="0" xfId="0" applyNumberFormat="1" applyFont="1" applyAlignment="1">
      <alignment horizontal="center" vertical="center"/>
    </xf>
    <xf numFmtId="0" fontId="50" fillId="0" borderId="51" xfId="0" applyFont="1" applyBorder="1" applyAlignment="1">
      <alignment horizontal="center" vertical="center"/>
    </xf>
    <xf numFmtId="0" fontId="50" fillId="0" borderId="51" xfId="0" applyFont="1" applyBorder="1" applyAlignment="1">
      <alignment horizontal="left" vertical="center" wrapText="1"/>
    </xf>
    <xf numFmtId="164" fontId="50" fillId="0" borderId="51" xfId="0" applyNumberFormat="1" applyFont="1" applyBorder="1" applyAlignment="1">
      <alignment horizontal="center" vertical="center"/>
    </xf>
    <xf numFmtId="0" fontId="53" fillId="14" borderId="51" xfId="0" applyFont="1" applyFill="1" applyBorder="1" applyAlignment="1">
      <alignment horizontal="center" vertical="center"/>
    </xf>
    <xf numFmtId="169" fontId="53" fillId="14" borderId="51" xfId="0" applyNumberFormat="1" applyFont="1" applyFill="1" applyBorder="1" applyAlignment="1">
      <alignment horizontal="center" vertical="center"/>
    </xf>
    <xf numFmtId="0" fontId="46" fillId="0" borderId="59" xfId="0" applyFont="1" applyBorder="1" applyAlignment="1">
      <alignment vertical="center"/>
    </xf>
    <xf numFmtId="0" fontId="0" fillId="0" borderId="59" xfId="0" applyBorder="1"/>
    <xf numFmtId="0" fontId="0" fillId="0" borderId="59" xfId="0" applyBorder="1" applyAlignment="1">
      <alignment vertical="center"/>
    </xf>
    <xf numFmtId="0" fontId="50" fillId="0" borderId="20" xfId="0" applyFont="1" applyBorder="1" applyAlignment="1">
      <alignment horizontal="center" vertical="center"/>
    </xf>
    <xf numFmtId="9" fontId="0" fillId="0" borderId="0" xfId="1" applyFont="1" applyProtection="1"/>
    <xf numFmtId="0" fontId="0" fillId="0" borderId="0" xfId="0" applyAlignment="1">
      <alignment vertical="center"/>
    </xf>
    <xf numFmtId="0" fontId="50" fillId="0" borderId="92" xfId="0" applyFont="1" applyBorder="1" applyAlignment="1">
      <alignment horizontal="center" vertical="center"/>
    </xf>
    <xf numFmtId="0" fontId="0" fillId="0" borderId="16" xfId="0" applyBorder="1" applyAlignment="1">
      <alignment vertical="center"/>
    </xf>
    <xf numFmtId="0" fontId="50" fillId="0" borderId="21" xfId="0" applyFont="1" applyBorder="1" applyAlignment="1">
      <alignment horizontal="center" vertical="center"/>
    </xf>
    <xf numFmtId="0" fontId="1" fillId="12" borderId="84" xfId="0" applyFont="1" applyFill="1" applyBorder="1" applyAlignment="1">
      <alignment horizontal="center" vertical="center"/>
    </xf>
    <xf numFmtId="0" fontId="50" fillId="12" borderId="84" xfId="0" applyFont="1" applyFill="1" applyBorder="1" applyAlignment="1">
      <alignment horizontal="center" vertical="center"/>
    </xf>
    <xf numFmtId="0" fontId="49" fillId="23" borderId="0" xfId="0" applyFont="1" applyFill="1"/>
    <xf numFmtId="0" fontId="1" fillId="12" borderId="86" xfId="0" applyFont="1" applyFill="1" applyBorder="1" applyAlignment="1">
      <alignment horizontal="center" vertical="center"/>
    </xf>
    <xf numFmtId="0" fontId="50" fillId="12" borderId="86" xfId="0" applyFont="1" applyFill="1" applyBorder="1" applyAlignment="1">
      <alignment horizontal="center" vertical="center"/>
    </xf>
    <xf numFmtId="9" fontId="1" fillId="0" borderId="0" xfId="1" applyFont="1" applyProtection="1"/>
    <xf numFmtId="0" fontId="49" fillId="16" borderId="87" xfId="0" applyFont="1" applyFill="1" applyBorder="1" applyAlignment="1">
      <alignment horizontal="center" vertical="center"/>
    </xf>
    <xf numFmtId="0" fontId="49" fillId="16" borderId="89" xfId="0" applyFont="1" applyFill="1" applyBorder="1" applyAlignment="1">
      <alignment horizontal="center" vertical="center"/>
    </xf>
    <xf numFmtId="0" fontId="1" fillId="0" borderId="51" xfId="0" applyFont="1" applyBorder="1" applyAlignment="1">
      <alignment horizontal="center" vertical="center"/>
    </xf>
    <xf numFmtId="9" fontId="50" fillId="0" borderId="51" xfId="1" applyFont="1" applyBorder="1" applyAlignment="1" applyProtection="1">
      <alignment horizontal="center" vertical="center"/>
    </xf>
    <xf numFmtId="0" fontId="49" fillId="16" borderId="91" xfId="0" applyFont="1" applyFill="1" applyBorder="1" applyAlignment="1">
      <alignment horizontal="center" vertical="center"/>
    </xf>
    <xf numFmtId="0" fontId="1" fillId="0" borderId="87" xfId="0" applyFont="1" applyBorder="1" applyAlignment="1">
      <alignment vertical="center"/>
    </xf>
    <xf numFmtId="9" fontId="50" fillId="0" borderId="87" xfId="1" applyFont="1" applyBorder="1" applyAlignment="1" applyProtection="1">
      <alignment horizontal="center" vertical="center"/>
    </xf>
    <xf numFmtId="0" fontId="1" fillId="0" borderId="87" xfId="0" applyFont="1" applyBorder="1" applyAlignment="1">
      <alignment horizontal="center" vertical="center"/>
    </xf>
    <xf numFmtId="43" fontId="1" fillId="6" borderId="87" xfId="5" applyFont="1" applyFill="1" applyBorder="1" applyAlignment="1" applyProtection="1">
      <alignment vertical="center"/>
    </xf>
    <xf numFmtId="0" fontId="1" fillId="23" borderId="0" xfId="0" applyFont="1" applyFill="1" applyAlignment="1">
      <alignment vertical="center"/>
    </xf>
    <xf numFmtId="43" fontId="1" fillId="6" borderId="87" xfId="0" applyNumberFormat="1" applyFont="1" applyFill="1" applyBorder="1" applyAlignment="1">
      <alignment vertical="center"/>
    </xf>
    <xf numFmtId="43" fontId="1" fillId="6" borderId="89" xfId="0" applyNumberFormat="1" applyFont="1" applyFill="1" applyBorder="1" applyAlignment="1">
      <alignment vertical="center"/>
    </xf>
    <xf numFmtId="43" fontId="1" fillId="23" borderId="51" xfId="0" applyNumberFormat="1" applyFont="1" applyFill="1" applyBorder="1" applyAlignment="1">
      <alignment horizontal="center" vertical="center"/>
    </xf>
    <xf numFmtId="43" fontId="50" fillId="9" borderId="51" xfId="0" applyNumberFormat="1" applyFont="1" applyFill="1" applyBorder="1" applyAlignment="1">
      <alignment horizontal="center" vertical="center"/>
    </xf>
    <xf numFmtId="43" fontId="1" fillId="0" borderId="87" xfId="0" applyNumberFormat="1" applyFont="1" applyBorder="1" applyAlignment="1">
      <alignment horizontal="center" vertical="center"/>
    </xf>
    <xf numFmtId="43" fontId="50" fillId="9" borderId="0" xfId="0" applyNumberFormat="1" applyFont="1" applyFill="1" applyAlignment="1">
      <alignment vertical="center"/>
    </xf>
    <xf numFmtId="0" fontId="50" fillId="0" borderId="0" xfId="0" applyFont="1"/>
    <xf numFmtId="0" fontId="50" fillId="0" borderId="0" xfId="0" applyFont="1" applyAlignment="1">
      <alignment vertical="center"/>
    </xf>
    <xf numFmtId="9" fontId="50" fillId="0" borderId="0" xfId="1" applyFont="1" applyProtection="1"/>
    <xf numFmtId="0" fontId="0" fillId="0" borderId="0" xfId="0" applyAlignment="1">
      <alignment horizontal="center" vertical="center"/>
    </xf>
    <xf numFmtId="43" fontId="1" fillId="6" borderId="51" xfId="5" applyFont="1" applyFill="1" applyBorder="1" applyAlignment="1" applyProtection="1">
      <alignment horizontal="center" vertical="center"/>
    </xf>
    <xf numFmtId="43" fontId="50" fillId="6" borderId="51" xfId="5" applyFont="1" applyFill="1" applyBorder="1" applyAlignment="1" applyProtection="1">
      <alignment horizontal="center" vertical="center"/>
    </xf>
    <xf numFmtId="43" fontId="50" fillId="6" borderId="87" xfId="5" applyFont="1" applyFill="1" applyBorder="1" applyAlignment="1" applyProtection="1">
      <alignment vertical="center"/>
    </xf>
    <xf numFmtId="43" fontId="1" fillId="0" borderId="96" xfId="5" applyFont="1" applyBorder="1" applyAlignment="1">
      <alignment vertical="center"/>
    </xf>
    <xf numFmtId="0" fontId="1" fillId="0" borderId="96" xfId="0" applyFont="1" applyBorder="1" applyAlignment="1">
      <alignment vertical="center"/>
    </xf>
    <xf numFmtId="0" fontId="1" fillId="0" borderId="102" xfId="0" applyFont="1" applyBorder="1" applyAlignment="1">
      <alignment horizontal="center" vertical="center"/>
    </xf>
    <xf numFmtId="0" fontId="1" fillId="0" borderId="103" xfId="0" applyFont="1" applyBorder="1" applyAlignment="1">
      <alignment vertical="center"/>
    </xf>
    <xf numFmtId="0" fontId="1" fillId="0" borderId="104" xfId="0" applyFont="1" applyBorder="1" applyAlignment="1">
      <alignment vertical="center"/>
    </xf>
    <xf numFmtId="9" fontId="1" fillId="0" borderId="96" xfId="5" applyNumberFormat="1" applyFont="1" applyBorder="1" applyAlignment="1">
      <alignment vertical="center"/>
    </xf>
    <xf numFmtId="9" fontId="1" fillId="0" borderId="0" xfId="1" applyFont="1" applyAlignment="1">
      <alignment vertical="center"/>
    </xf>
    <xf numFmtId="9" fontId="43" fillId="0" borderId="0" xfId="1" applyFont="1" applyAlignment="1">
      <alignment horizontal="center" vertical="center"/>
    </xf>
    <xf numFmtId="0" fontId="2" fillId="0" borderId="0" xfId="0" applyFont="1" applyAlignment="1">
      <alignment horizontal="center" vertical="center"/>
    </xf>
    <xf numFmtId="14" fontId="1" fillId="0" borderId="0" xfId="0" applyNumberFormat="1" applyFont="1" applyAlignment="1">
      <alignment horizontal="center" vertical="center"/>
    </xf>
    <xf numFmtId="43" fontId="1" fillId="0" borderId="0" xfId="5" applyFont="1" applyFill="1" applyBorder="1" applyAlignment="1">
      <alignment horizontal="center" vertical="center"/>
    </xf>
    <xf numFmtId="43" fontId="1" fillId="7" borderId="96" xfId="5" applyFont="1" applyFill="1" applyBorder="1" applyAlignment="1">
      <alignment horizontal="center" vertical="center"/>
    </xf>
    <xf numFmtId="43" fontId="1" fillId="0" borderId="96" xfId="0" applyNumberFormat="1" applyFont="1" applyBorder="1" applyAlignment="1">
      <alignment vertical="center"/>
    </xf>
    <xf numFmtId="9" fontId="1" fillId="0" borderId="13" xfId="1" applyFont="1" applyBorder="1" applyAlignment="1">
      <alignment vertical="center"/>
    </xf>
    <xf numFmtId="9" fontId="43" fillId="0" borderId="13" xfId="1" applyFont="1" applyBorder="1" applyAlignment="1">
      <alignment vertical="center"/>
    </xf>
    <xf numFmtId="9" fontId="1" fillId="0" borderId="95" xfId="1" applyFont="1" applyBorder="1" applyAlignment="1">
      <alignment vertical="center"/>
    </xf>
    <xf numFmtId="9" fontId="1" fillId="0" borderId="102" xfId="1" applyFont="1" applyBorder="1" applyAlignment="1">
      <alignment horizontal="center" vertical="center"/>
    </xf>
    <xf numFmtId="0" fontId="1" fillId="0" borderId="52" xfId="0" applyFont="1" applyBorder="1" applyAlignment="1">
      <alignment horizontal="center" vertical="center" wrapText="1"/>
    </xf>
    <xf numFmtId="0" fontId="1" fillId="0" borderId="55" xfId="0" applyFont="1" applyBorder="1" applyAlignment="1">
      <alignment horizontal="center" vertical="center" wrapText="1"/>
    </xf>
    <xf numFmtId="43" fontId="1" fillId="0" borderId="102" xfId="0" applyNumberFormat="1" applyFont="1" applyBorder="1" applyAlignment="1">
      <alignment vertical="center"/>
    </xf>
    <xf numFmtId="43" fontId="2" fillId="7" borderId="96" xfId="5" applyFont="1" applyFill="1" applyBorder="1" applyAlignment="1">
      <alignment horizontal="center" vertical="center"/>
    </xf>
    <xf numFmtId="0" fontId="34" fillId="0" borderId="0" xfId="0" applyFont="1" applyAlignment="1" applyProtection="1">
      <alignment wrapText="1"/>
      <protection locked="0"/>
    </xf>
    <xf numFmtId="9" fontId="1" fillId="0" borderId="103" xfId="1" applyFont="1" applyBorder="1" applyAlignment="1">
      <alignment horizontal="center" vertical="center"/>
    </xf>
    <xf numFmtId="0" fontId="11" fillId="19" borderId="30" xfId="0" applyFont="1" applyFill="1" applyBorder="1" applyAlignment="1">
      <alignment horizontal="center" vertical="center"/>
    </xf>
    <xf numFmtId="0" fontId="1" fillId="0" borderId="0" xfId="0" applyFont="1" applyAlignment="1">
      <alignment horizontal="right" vertical="center" textRotation="90"/>
    </xf>
    <xf numFmtId="0" fontId="9" fillId="0" borderId="0" xfId="0" applyFont="1" applyAlignment="1">
      <alignment horizontal="center"/>
    </xf>
    <xf numFmtId="0" fontId="4" fillId="0" borderId="0" xfId="0" applyFont="1" applyAlignment="1">
      <alignment horizontal="center" vertical="center"/>
    </xf>
    <xf numFmtId="0" fontId="0" fillId="4" borderId="27" xfId="0" applyFill="1" applyBorder="1" applyAlignment="1">
      <alignment horizontal="center"/>
    </xf>
    <xf numFmtId="0" fontId="0" fillId="4" borderId="22" xfId="0" applyFill="1" applyBorder="1" applyAlignment="1">
      <alignment horizontal="center"/>
    </xf>
    <xf numFmtId="0" fontId="0" fillId="4" borderId="29" xfId="0" applyFill="1" applyBorder="1" applyAlignment="1">
      <alignment horizontal="center"/>
    </xf>
    <xf numFmtId="0" fontId="0" fillId="4" borderId="24" xfId="0" applyFill="1" applyBorder="1" applyAlignment="1">
      <alignment horizontal="center"/>
    </xf>
    <xf numFmtId="0" fontId="0" fillId="5" borderId="27" xfId="0" applyFill="1" applyBorder="1" applyAlignment="1">
      <alignment horizontal="center"/>
    </xf>
    <xf numFmtId="0" fontId="0" fillId="5" borderId="22" xfId="0" applyFill="1" applyBorder="1" applyAlignment="1">
      <alignment horizontal="center"/>
    </xf>
    <xf numFmtId="0" fontId="0" fillId="5" borderId="29" xfId="0" applyFill="1" applyBorder="1" applyAlignment="1">
      <alignment horizontal="center"/>
    </xf>
    <xf numFmtId="0" fontId="0" fillId="5" borderId="24" xfId="0" applyFill="1" applyBorder="1" applyAlignment="1">
      <alignment horizontal="center"/>
    </xf>
    <xf numFmtId="0" fontId="0" fillId="4" borderId="28" xfId="0" applyFill="1" applyBorder="1" applyAlignment="1">
      <alignment horizontal="center"/>
    </xf>
    <xf numFmtId="0" fontId="0" fillId="4" borderId="23" xfId="0" applyFill="1" applyBorder="1" applyAlignment="1">
      <alignment horizontal="center"/>
    </xf>
    <xf numFmtId="0" fontId="0" fillId="5" borderId="28" xfId="0" applyFill="1" applyBorder="1" applyAlignment="1">
      <alignment horizontal="center"/>
    </xf>
    <xf numFmtId="0" fontId="0" fillId="5" borderId="23" xfId="0" applyFill="1" applyBorder="1" applyAlignment="1">
      <alignment horizontal="center"/>
    </xf>
    <xf numFmtId="0" fontId="4" fillId="0" borderId="0" xfId="0" applyFont="1" applyAlignment="1">
      <alignment horizontal="center" vertical="center" wrapText="1"/>
    </xf>
    <xf numFmtId="0" fontId="0" fillId="18" borderId="25" xfId="0" applyFill="1" applyBorder="1" applyAlignment="1">
      <alignment horizontal="center"/>
    </xf>
    <xf numFmtId="0" fontId="0" fillId="18" borderId="22" xfId="0" applyFill="1" applyBorder="1" applyAlignment="1">
      <alignment horizontal="center"/>
    </xf>
    <xf numFmtId="0" fontId="0" fillId="18" borderId="26" xfId="0" applyFill="1" applyBorder="1" applyAlignment="1">
      <alignment horizontal="center"/>
    </xf>
    <xf numFmtId="0" fontId="0" fillId="18" borderId="23" xfId="0" applyFill="1" applyBorder="1" applyAlignment="1">
      <alignment horizontal="center"/>
    </xf>
    <xf numFmtId="0" fontId="9" fillId="0" borderId="0" xfId="0" applyFont="1" applyAlignment="1">
      <alignment horizontal="center" vertical="center" textRotation="90"/>
    </xf>
    <xf numFmtId="0" fontId="0" fillId="18" borderId="27" xfId="0" applyFill="1" applyBorder="1" applyAlignment="1">
      <alignment horizontal="center"/>
    </xf>
    <xf numFmtId="0" fontId="0" fillId="18" borderId="28" xfId="0" applyFill="1" applyBorder="1" applyAlignment="1">
      <alignment horizontal="center"/>
    </xf>
    <xf numFmtId="0" fontId="0" fillId="18" borderId="0" xfId="0" applyFill="1" applyAlignment="1">
      <alignment horizontal="center"/>
    </xf>
    <xf numFmtId="0" fontId="0" fillId="18" borderId="24" xfId="0" applyFill="1" applyBorder="1" applyAlignment="1">
      <alignment horizontal="center"/>
    </xf>
    <xf numFmtId="0" fontId="0" fillId="18" borderId="29" xfId="0" applyFill="1" applyBorder="1" applyAlignment="1">
      <alignment horizontal="center"/>
    </xf>
    <xf numFmtId="0" fontId="1" fillId="0" borderId="1" xfId="0" applyFont="1" applyBorder="1" applyAlignment="1">
      <alignment horizontal="center"/>
    </xf>
    <xf numFmtId="0" fontId="2" fillId="10" borderId="1" xfId="0" applyFont="1" applyFill="1" applyBorder="1" applyAlignment="1">
      <alignment horizontal="left"/>
    </xf>
    <xf numFmtId="0" fontId="2" fillId="0" borderId="0" xfId="0" applyFont="1" applyAlignment="1">
      <alignment horizontal="right" vertical="center" textRotation="90"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13" borderId="1" xfId="0" applyFont="1" applyFill="1" applyBorder="1" applyAlignment="1">
      <alignment horizontal="center"/>
    </xf>
    <xf numFmtId="0" fontId="24" fillId="22" borderId="14" xfId="0" applyFont="1" applyFill="1" applyBorder="1" applyAlignment="1">
      <alignment horizontal="center"/>
    </xf>
    <xf numFmtId="0" fontId="24" fillId="22" borderId="17" xfId="0" applyFont="1" applyFill="1" applyBorder="1" applyAlignment="1">
      <alignment horizontal="center"/>
    </xf>
    <xf numFmtId="0" fontId="24" fillId="22" borderId="15" xfId="0" applyFont="1" applyFill="1" applyBorder="1" applyAlignment="1">
      <alignment horizontal="center"/>
    </xf>
    <xf numFmtId="0" fontId="22" fillId="22" borderId="0" xfId="5" applyNumberFormat="1" applyFont="1" applyFill="1" applyBorder="1" applyAlignment="1">
      <alignment horizontal="center" vertical="center"/>
    </xf>
    <xf numFmtId="43" fontId="22" fillId="22" borderId="0" xfId="5" applyFont="1" applyFill="1" applyAlignment="1">
      <alignment horizontal="center"/>
    </xf>
    <xf numFmtId="0" fontId="3" fillId="0" borderId="39" xfId="5" applyNumberFormat="1" applyFont="1" applyBorder="1" applyAlignment="1">
      <alignment horizontal="left" vertical="center" wrapText="1"/>
    </xf>
    <xf numFmtId="0" fontId="3" fillId="0" borderId="0" xfId="5" applyNumberFormat="1" applyFont="1" applyBorder="1" applyAlignment="1">
      <alignment horizontal="left" vertical="center" wrapText="1"/>
    </xf>
    <xf numFmtId="0" fontId="3" fillId="0" borderId="40" xfId="5" applyNumberFormat="1" applyFont="1" applyBorder="1" applyAlignment="1">
      <alignment horizontal="left" vertical="center" wrapText="1"/>
    </xf>
    <xf numFmtId="0" fontId="3" fillId="0" borderId="36" xfId="5" applyNumberFormat="1" applyFont="1" applyBorder="1" applyAlignment="1">
      <alignment horizontal="left" vertical="center" wrapText="1"/>
    </xf>
    <xf numFmtId="0" fontId="3" fillId="0" borderId="37" xfId="5" applyNumberFormat="1" applyFont="1" applyBorder="1" applyAlignment="1">
      <alignment horizontal="left" vertical="center" wrapText="1"/>
    </xf>
    <xf numFmtId="0" fontId="3" fillId="0" borderId="38" xfId="5" applyNumberFormat="1" applyFont="1" applyBorder="1" applyAlignment="1">
      <alignment horizontal="left" vertical="center" wrapText="1"/>
    </xf>
    <xf numFmtId="164" fontId="21" fillId="0" borderId="36" xfId="0" quotePrefix="1" applyNumberFormat="1" applyFont="1" applyBorder="1" applyAlignment="1">
      <alignment horizontal="center" vertical="center"/>
    </xf>
    <xf numFmtId="164" fontId="21" fillId="0" borderId="37" xfId="0" quotePrefix="1" applyNumberFormat="1" applyFont="1" applyBorder="1" applyAlignment="1">
      <alignment horizontal="center" vertical="center"/>
    </xf>
    <xf numFmtId="164" fontId="21" fillId="0" borderId="38" xfId="0" quotePrefix="1" applyNumberFormat="1" applyFont="1" applyBorder="1" applyAlignment="1">
      <alignment horizontal="center" vertical="center"/>
    </xf>
    <xf numFmtId="0" fontId="21" fillId="0" borderId="36" xfId="5" applyNumberFormat="1" applyFont="1" applyBorder="1" applyAlignment="1">
      <alignment horizontal="left" vertical="center"/>
    </xf>
    <xf numFmtId="0" fontId="21" fillId="0" borderId="37" xfId="5" applyNumberFormat="1" applyFont="1" applyBorder="1" applyAlignment="1">
      <alignment horizontal="left" vertical="center"/>
    </xf>
    <xf numFmtId="0" fontId="21" fillId="0" borderId="38" xfId="5" applyNumberFormat="1" applyFont="1" applyBorder="1" applyAlignment="1">
      <alignment horizontal="left" vertical="center"/>
    </xf>
    <xf numFmtId="0" fontId="15" fillId="0" borderId="0" xfId="6" applyBorder="1" applyAlignment="1">
      <alignment horizontal="left"/>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19" fillId="15" borderId="1" xfId="0" applyFont="1" applyFill="1" applyBorder="1" applyAlignment="1">
      <alignment horizontal="center" vertical="center"/>
    </xf>
    <xf numFmtId="0" fontId="19" fillId="12" borderId="1" xfId="0" applyFont="1" applyFill="1" applyBorder="1" applyAlignment="1">
      <alignment horizontal="center" vertical="center"/>
    </xf>
    <xf numFmtId="0" fontId="5" fillId="8" borderId="12" xfId="0" applyFont="1" applyFill="1" applyBorder="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4" fillId="17" borderId="10" xfId="0" applyFont="1" applyFill="1" applyBorder="1" applyAlignment="1">
      <alignment horizontal="center" vertical="center" wrapText="1"/>
    </xf>
    <xf numFmtId="0" fontId="4" fillId="17" borderId="11" xfId="0" applyFont="1" applyFill="1" applyBorder="1" applyAlignment="1">
      <alignment horizontal="center" vertical="center" wrapText="1"/>
    </xf>
    <xf numFmtId="0" fontId="4" fillId="17" borderId="9" xfId="0" applyFont="1" applyFill="1" applyBorder="1" applyAlignment="1">
      <alignment horizontal="center" vertical="center" wrapText="1"/>
    </xf>
    <xf numFmtId="0" fontId="33" fillId="0" borderId="0" xfId="0" applyFont="1" applyAlignment="1">
      <alignment horizontal="left" vertical="center" wrapText="1"/>
    </xf>
    <xf numFmtId="0" fontId="34" fillId="0" borderId="51" xfId="0" applyFont="1" applyBorder="1" applyAlignment="1" applyProtection="1">
      <alignment horizontal="left" vertical="center" wrapText="1"/>
      <protection locked="0"/>
    </xf>
    <xf numFmtId="0" fontId="34" fillId="0" borderId="67" xfId="0" applyFont="1" applyBorder="1" applyAlignment="1" applyProtection="1">
      <alignment horizontal="left" vertical="center" wrapText="1"/>
      <protection locked="0"/>
    </xf>
    <xf numFmtId="0" fontId="3" fillId="0" borderId="20" xfId="0" applyFont="1" applyBorder="1" applyAlignment="1">
      <alignment horizontal="center"/>
    </xf>
    <xf numFmtId="0" fontId="3" fillId="0" borderId="21" xfId="0" applyFont="1" applyBorder="1" applyAlignment="1">
      <alignment horizontal="center"/>
    </xf>
    <xf numFmtId="0" fontId="3" fillId="43" borderId="69" xfId="0" applyFont="1" applyFill="1" applyBorder="1" applyAlignment="1">
      <alignment horizontal="center" vertical="center"/>
    </xf>
    <xf numFmtId="0" fontId="3" fillId="43" borderId="70" xfId="0" applyFont="1" applyFill="1" applyBorder="1" applyAlignment="1">
      <alignment horizontal="center" vertical="center"/>
    </xf>
    <xf numFmtId="0" fontId="3" fillId="43" borderId="83" xfId="0" applyFont="1" applyFill="1" applyBorder="1" applyAlignment="1">
      <alignment horizontal="center" vertical="center"/>
    </xf>
    <xf numFmtId="164" fontId="34" fillId="0" borderId="65" xfId="0" applyNumberFormat="1" applyFont="1" applyBorder="1" applyAlignment="1" applyProtection="1">
      <alignment horizontal="center" vertical="center"/>
      <protection locked="0"/>
    </xf>
    <xf numFmtId="164" fontId="34" fillId="0" borderId="68" xfId="0" applyNumberFormat="1" applyFont="1" applyBorder="1" applyAlignment="1" applyProtection="1">
      <alignment horizontal="center" vertical="center"/>
      <protection locked="0"/>
    </xf>
    <xf numFmtId="0" fontId="34" fillId="0" borderId="51" xfId="0" applyFont="1" applyBorder="1" applyAlignment="1" applyProtection="1">
      <alignment horizontal="center" vertical="center"/>
      <protection locked="0"/>
    </xf>
    <xf numFmtId="0" fontId="34" fillId="0" borderId="67" xfId="0" applyFont="1" applyBorder="1" applyAlignment="1" applyProtection="1">
      <alignment horizontal="center" vertical="center"/>
      <protection locked="0"/>
    </xf>
    <xf numFmtId="0" fontId="24" fillId="24" borderId="69" xfId="0" applyFont="1" applyFill="1" applyBorder="1" applyAlignment="1">
      <alignment horizontal="center" vertical="center"/>
    </xf>
    <xf numFmtId="0" fontId="24" fillId="24" borderId="70" xfId="0" applyFont="1" applyFill="1" applyBorder="1" applyAlignment="1">
      <alignment horizontal="center" vertical="center"/>
    </xf>
    <xf numFmtId="0" fontId="34" fillId="0" borderId="72" xfId="0" applyFont="1" applyBorder="1" applyAlignment="1" applyProtection="1">
      <alignment horizontal="left" vertical="center" wrapText="1"/>
      <protection locked="0"/>
    </xf>
    <xf numFmtId="0" fontId="34" fillId="0" borderId="73" xfId="0" applyFont="1" applyBorder="1" applyAlignment="1" applyProtection="1">
      <alignment horizontal="left" vertical="center" wrapText="1"/>
      <protection locked="0"/>
    </xf>
    <xf numFmtId="0" fontId="3" fillId="0" borderId="59" xfId="0" applyFont="1" applyBorder="1" applyAlignment="1">
      <alignment horizontal="left" vertical="center" wrapText="1"/>
    </xf>
    <xf numFmtId="0" fontId="3" fillId="0" borderId="16" xfId="0" applyFont="1" applyBorder="1" applyAlignment="1">
      <alignment horizontal="left" vertical="center" wrapText="1"/>
    </xf>
    <xf numFmtId="0" fontId="24" fillId="24" borderId="62" xfId="0" applyFont="1" applyFill="1" applyBorder="1" applyAlignment="1">
      <alignment horizontal="left" vertical="center"/>
    </xf>
    <xf numFmtId="0" fontId="24" fillId="24" borderId="51" xfId="0" applyFont="1" applyFill="1" applyBorder="1" applyAlignment="1">
      <alignment horizontal="left" vertical="center"/>
    </xf>
    <xf numFmtId="0" fontId="5" fillId="26" borderId="61" xfId="0" applyFont="1" applyFill="1" applyBorder="1" applyAlignment="1">
      <alignment horizontal="center" vertical="center"/>
    </xf>
    <xf numFmtId="0" fontId="5" fillId="26" borderId="62" xfId="0" applyFont="1" applyFill="1" applyBorder="1" applyAlignment="1">
      <alignment horizontal="center" vertical="center"/>
    </xf>
    <xf numFmtId="0" fontId="5" fillId="24" borderId="66" xfId="0" applyFont="1" applyFill="1" applyBorder="1" applyAlignment="1">
      <alignment horizontal="left" vertical="center"/>
    </xf>
    <xf numFmtId="0" fontId="5" fillId="24" borderId="67" xfId="0" applyFont="1" applyFill="1" applyBorder="1" applyAlignment="1">
      <alignment horizontal="left" vertical="center"/>
    </xf>
    <xf numFmtId="0" fontId="24" fillId="24" borderId="64" xfId="0" applyFont="1" applyFill="1" applyBorder="1" applyAlignment="1">
      <alignment horizontal="left" vertical="center"/>
    </xf>
    <xf numFmtId="1" fontId="34" fillId="25" borderId="51" xfId="5" applyNumberFormat="1" applyFont="1" applyFill="1" applyBorder="1" applyAlignment="1" applyProtection="1">
      <alignment horizontal="center" vertical="center"/>
    </xf>
    <xf numFmtId="0" fontId="34" fillId="0" borderId="51" xfId="0" applyFont="1" applyBorder="1" applyAlignment="1" applyProtection="1">
      <alignment horizontal="left" vertical="center" indent="1"/>
      <protection locked="0"/>
    </xf>
    <xf numFmtId="167" fontId="34" fillId="0" borderId="51" xfId="5" applyNumberFormat="1" applyFont="1" applyBorder="1" applyAlignment="1" applyProtection="1">
      <alignment horizontal="right" vertical="center" indent="2"/>
      <protection locked="0"/>
    </xf>
    <xf numFmtId="167" fontId="34" fillId="25" borderId="67" xfId="5" applyNumberFormat="1" applyFont="1" applyFill="1" applyBorder="1" applyAlignment="1" applyProtection="1">
      <alignment horizontal="right" vertical="center" indent="2"/>
    </xf>
    <xf numFmtId="0" fontId="5" fillId="28" borderId="62" xfId="0" applyFont="1" applyFill="1" applyBorder="1" applyAlignment="1">
      <alignment horizontal="center" vertical="center"/>
    </xf>
    <xf numFmtId="0" fontId="5" fillId="28" borderId="69" xfId="0" applyFont="1" applyFill="1" applyBorder="1" applyAlignment="1">
      <alignment horizontal="center" vertical="center"/>
    </xf>
    <xf numFmtId="0" fontId="34" fillId="0" borderId="51" xfId="0" applyFont="1" applyBorder="1" applyAlignment="1" applyProtection="1">
      <alignment horizontal="left" vertical="center" wrapText="1" indent="1"/>
      <protection locked="0"/>
    </xf>
    <xf numFmtId="0" fontId="34" fillId="0" borderId="67" xfId="0" applyFont="1" applyBorder="1" applyAlignment="1" applyProtection="1">
      <alignment horizontal="left" vertical="center" indent="1"/>
      <protection locked="0"/>
    </xf>
    <xf numFmtId="0" fontId="34" fillId="0" borderId="62" xfId="0" applyFont="1" applyBorder="1" applyAlignment="1" applyProtection="1">
      <alignment horizontal="left" vertical="center" wrapText="1" indent="1"/>
      <protection locked="0"/>
    </xf>
    <xf numFmtId="0" fontId="5" fillId="37" borderId="62" xfId="0" applyFont="1" applyFill="1" applyBorder="1" applyAlignment="1">
      <alignment horizontal="center" vertical="center"/>
    </xf>
    <xf numFmtId="0" fontId="5" fillId="30" borderId="62" xfId="0" applyFont="1" applyFill="1" applyBorder="1" applyAlignment="1">
      <alignment horizontal="center" vertical="center" wrapText="1"/>
    </xf>
    <xf numFmtId="0" fontId="5" fillId="34" borderId="62" xfId="0" applyFont="1" applyFill="1" applyBorder="1" applyAlignment="1">
      <alignment horizontal="center" vertical="center" wrapText="1"/>
    </xf>
    <xf numFmtId="1" fontId="21" fillId="25" borderId="67" xfId="5" applyNumberFormat="1" applyFont="1" applyFill="1" applyBorder="1" applyAlignment="1" applyProtection="1">
      <alignment horizontal="center" vertical="center"/>
    </xf>
    <xf numFmtId="0" fontId="5" fillId="32" borderId="69" xfId="0" applyFont="1" applyFill="1" applyBorder="1" applyAlignment="1">
      <alignment horizontal="center" vertical="center"/>
    </xf>
    <xf numFmtId="0" fontId="5" fillId="32" borderId="70" xfId="0" applyFont="1" applyFill="1" applyBorder="1" applyAlignment="1">
      <alignment horizontal="center" vertical="center"/>
    </xf>
    <xf numFmtId="0" fontId="5" fillId="32" borderId="71" xfId="0" applyFont="1" applyFill="1" applyBorder="1" applyAlignment="1">
      <alignment horizontal="center" vertical="center"/>
    </xf>
    <xf numFmtId="0" fontId="24" fillId="24" borderId="67" xfId="0" applyFont="1" applyFill="1" applyBorder="1" applyAlignment="1">
      <alignment horizontal="left" vertical="center"/>
    </xf>
    <xf numFmtId="0" fontId="34" fillId="24" borderId="62" xfId="0" applyFont="1" applyFill="1" applyBorder="1" applyAlignment="1">
      <alignment horizontal="left" vertical="center" indent="1"/>
    </xf>
    <xf numFmtId="0" fontId="24" fillId="24" borderId="62" xfId="0" applyFont="1" applyFill="1" applyBorder="1" applyAlignment="1">
      <alignment horizontal="center" vertical="center"/>
    </xf>
    <xf numFmtId="0" fontId="34" fillId="24" borderId="51" xfId="0" applyFont="1" applyFill="1" applyBorder="1" applyAlignment="1">
      <alignment horizontal="left" vertical="center" indent="1"/>
    </xf>
    <xf numFmtId="0" fontId="34" fillId="24" borderId="67" xfId="0" applyFont="1" applyFill="1" applyBorder="1" applyAlignment="1">
      <alignment horizontal="left" vertical="center" indent="1"/>
    </xf>
    <xf numFmtId="0" fontId="34" fillId="0" borderId="72" xfId="0" applyFont="1" applyBorder="1" applyAlignment="1" applyProtection="1">
      <alignment horizontal="center" vertical="center"/>
      <protection locked="0"/>
    </xf>
    <xf numFmtId="0" fontId="34" fillId="0" borderId="73" xfId="0" applyFont="1" applyBorder="1" applyAlignment="1" applyProtection="1">
      <alignment horizontal="center" vertical="center"/>
      <protection locked="0"/>
    </xf>
    <xf numFmtId="0" fontId="34" fillId="0" borderId="75" xfId="0" applyFont="1" applyBorder="1" applyAlignment="1" applyProtection="1">
      <alignment horizontal="center" vertical="center"/>
      <protection locked="0"/>
    </xf>
    <xf numFmtId="0" fontId="34" fillId="0" borderId="76" xfId="0" applyFont="1" applyBorder="1" applyAlignment="1" applyProtection="1">
      <alignment horizontal="left" vertical="center" wrapText="1" indent="1"/>
      <protection locked="0"/>
    </xf>
    <xf numFmtId="0" fontId="34" fillId="0" borderId="77" xfId="0" applyFont="1" applyBorder="1" applyAlignment="1" applyProtection="1">
      <alignment horizontal="left" vertical="center" wrapText="1" indent="1"/>
      <protection locked="0"/>
    </xf>
    <xf numFmtId="0" fontId="34" fillId="0" borderId="78" xfId="0" applyFont="1" applyBorder="1" applyAlignment="1" applyProtection="1">
      <alignment horizontal="left" vertical="center" wrapText="1" indent="1"/>
      <protection locked="0"/>
    </xf>
    <xf numFmtId="0" fontId="34" fillId="0" borderId="79" xfId="0" applyFont="1" applyBorder="1" applyAlignment="1" applyProtection="1">
      <alignment horizontal="left" vertical="center" wrapText="1" indent="1"/>
      <protection locked="0"/>
    </xf>
    <xf numFmtId="0" fontId="34" fillId="0" borderId="80" xfId="0" applyFont="1" applyBorder="1" applyAlignment="1" applyProtection="1">
      <alignment horizontal="left" vertical="center" wrapText="1" indent="1"/>
      <protection locked="0"/>
    </xf>
    <xf numFmtId="0" fontId="34" fillId="0" borderId="81" xfId="0" applyFont="1" applyBorder="1" applyAlignment="1" applyProtection="1">
      <alignment horizontal="left" vertical="center" wrapText="1" indent="1"/>
      <protection locked="0"/>
    </xf>
    <xf numFmtId="0" fontId="24" fillId="24" borderId="76" xfId="0" applyFont="1" applyFill="1" applyBorder="1" applyAlignment="1">
      <alignment horizontal="left" vertical="center"/>
    </xf>
    <xf numFmtId="0" fontId="24" fillId="24" borderId="77" xfId="0" applyFont="1" applyFill="1" applyBorder="1" applyAlignment="1">
      <alignment horizontal="left" vertical="center"/>
    </xf>
    <xf numFmtId="0" fontId="24" fillId="24" borderId="78" xfId="0" applyFont="1" applyFill="1" applyBorder="1" applyAlignment="1">
      <alignment horizontal="left" vertical="center"/>
    </xf>
    <xf numFmtId="0" fontId="24" fillId="24" borderId="79" xfId="0" applyFont="1" applyFill="1" applyBorder="1" applyAlignment="1">
      <alignment horizontal="left" vertical="center"/>
    </xf>
    <xf numFmtId="0" fontId="24" fillId="24" borderId="80" xfId="0" applyFont="1" applyFill="1" applyBorder="1" applyAlignment="1">
      <alignment horizontal="left" vertical="center"/>
    </xf>
    <xf numFmtId="0" fontId="24" fillId="24" borderId="81" xfId="0" applyFont="1" applyFill="1" applyBorder="1" applyAlignment="1">
      <alignment horizontal="left" vertical="center"/>
    </xf>
    <xf numFmtId="0" fontId="39" fillId="0" borderId="19" xfId="0" applyFont="1" applyBorder="1" applyAlignment="1">
      <alignment horizontal="left" vertical="center"/>
    </xf>
    <xf numFmtId="0" fontId="39" fillId="0" borderId="59" xfId="0" applyFont="1" applyBorder="1" applyAlignment="1">
      <alignment horizontal="left" vertical="center"/>
    </xf>
    <xf numFmtId="0" fontId="34" fillId="0" borderId="62" xfId="0" applyFont="1" applyBorder="1" applyAlignment="1" applyProtection="1">
      <alignment horizontal="left" vertical="center" indent="1"/>
      <protection locked="0"/>
    </xf>
    <xf numFmtId="167" fontId="34" fillId="25" borderId="51" xfId="5" applyNumberFormat="1" applyFont="1" applyFill="1" applyBorder="1" applyAlignment="1" applyProtection="1">
      <alignment horizontal="right" vertical="center" indent="2"/>
    </xf>
    <xf numFmtId="0" fontId="24" fillId="24" borderId="61" xfId="0" applyFont="1" applyFill="1" applyBorder="1" applyAlignment="1">
      <alignment horizontal="left" vertical="center"/>
    </xf>
    <xf numFmtId="167" fontId="24" fillId="24" borderId="51" xfId="5" applyNumberFormat="1" applyFont="1" applyFill="1" applyBorder="1" applyAlignment="1" applyProtection="1">
      <alignment horizontal="left" vertical="center"/>
    </xf>
    <xf numFmtId="167" fontId="24" fillId="25" borderId="51" xfId="5" applyNumberFormat="1" applyFont="1" applyFill="1" applyBorder="1" applyAlignment="1" applyProtection="1">
      <alignment horizontal="left" vertical="center"/>
    </xf>
    <xf numFmtId="1" fontId="34" fillId="0" borderId="51" xfId="5" applyNumberFormat="1" applyFont="1" applyBorder="1" applyAlignment="1" applyProtection="1">
      <alignment horizontal="center" vertical="center"/>
      <protection locked="0"/>
    </xf>
    <xf numFmtId="0" fontId="38" fillId="25" borderId="51" xfId="0" applyFont="1" applyFill="1" applyBorder="1" applyAlignment="1">
      <alignment horizontal="center" vertical="center"/>
    </xf>
    <xf numFmtId="167" fontId="5" fillId="25" borderId="67" xfId="5" applyNumberFormat="1" applyFont="1" applyFill="1" applyBorder="1" applyAlignment="1" applyProtection="1">
      <alignment horizontal="left" vertical="center"/>
    </xf>
    <xf numFmtId="0" fontId="24" fillId="27" borderId="51" xfId="0" applyFont="1" applyFill="1" applyBorder="1" applyAlignment="1">
      <alignment horizontal="center" vertical="center" wrapText="1"/>
    </xf>
    <xf numFmtId="9" fontId="1" fillId="0" borderId="103" xfId="1" applyFont="1" applyBorder="1" applyAlignment="1">
      <alignment horizontal="center" vertical="center" wrapText="1"/>
    </xf>
    <xf numFmtId="9" fontId="1" fillId="0" borderId="104" xfId="1" applyFont="1" applyBorder="1" applyAlignment="1">
      <alignment horizontal="center" vertical="center" wrapText="1"/>
    </xf>
    <xf numFmtId="0" fontId="1" fillId="0" borderId="102" xfId="0" applyFont="1" applyBorder="1" applyAlignment="1">
      <alignment horizontal="center" vertical="center"/>
    </xf>
    <xf numFmtId="0" fontId="1" fillId="0" borderId="103" xfId="0" applyFont="1" applyBorder="1" applyAlignment="1">
      <alignment horizontal="center" vertical="center"/>
    </xf>
    <xf numFmtId="0" fontId="1" fillId="0" borderId="104" xfId="0" applyFont="1" applyBorder="1" applyAlignment="1">
      <alignment horizontal="center" vertical="center"/>
    </xf>
    <xf numFmtId="0" fontId="1" fillId="0" borderId="103" xfId="0" applyFont="1" applyBorder="1" applyAlignment="1">
      <alignment horizontal="center" vertical="center" wrapText="1"/>
    </xf>
    <xf numFmtId="0" fontId="1" fillId="0" borderId="104" xfId="0" applyFont="1" applyBorder="1" applyAlignment="1">
      <alignment horizontal="center" vertical="center" wrapText="1"/>
    </xf>
    <xf numFmtId="0" fontId="1" fillId="0" borderId="102" xfId="0" applyFont="1" applyBorder="1" applyAlignment="1">
      <alignment horizontal="center" vertical="center" wrapText="1"/>
    </xf>
    <xf numFmtId="9" fontId="1" fillId="0" borderId="102" xfId="1" applyFont="1" applyBorder="1" applyAlignment="1">
      <alignment horizontal="center" vertical="center"/>
    </xf>
    <xf numFmtId="9" fontId="1" fillId="0" borderId="103" xfId="1" applyFont="1" applyBorder="1" applyAlignment="1">
      <alignment horizontal="center" vertical="center"/>
    </xf>
    <xf numFmtId="9" fontId="1" fillId="0" borderId="104" xfId="1" applyFont="1" applyBorder="1" applyAlignment="1">
      <alignment horizontal="center" vertical="center"/>
    </xf>
    <xf numFmtId="0" fontId="2" fillId="0" borderId="3" xfId="0" applyFont="1" applyBorder="1" applyAlignment="1">
      <alignment horizontal="left" vertical="center"/>
    </xf>
    <xf numFmtId="0" fontId="2" fillId="0" borderId="6" xfId="0" applyFont="1" applyBorder="1" applyAlignment="1">
      <alignment horizontal="left" vertical="center"/>
    </xf>
    <xf numFmtId="0" fontId="1" fillId="0" borderId="52" xfId="0" applyFont="1" applyBorder="1" applyAlignment="1">
      <alignment horizontal="left" vertical="center" wrapText="1"/>
    </xf>
    <xf numFmtId="0" fontId="1" fillId="0" borderId="55" xfId="0" applyFont="1" applyBorder="1" applyAlignment="1">
      <alignment horizontal="left" vertical="center" wrapText="1"/>
    </xf>
    <xf numFmtId="0" fontId="1" fillId="0" borderId="53" xfId="0" applyFont="1" applyBorder="1" applyAlignment="1">
      <alignment horizontal="left" vertical="center" wrapText="1"/>
    </xf>
    <xf numFmtId="0" fontId="1" fillId="0" borderId="105" xfId="0" applyFont="1" applyBorder="1" applyAlignment="1">
      <alignment horizontal="left" vertical="center" wrapText="1"/>
    </xf>
    <xf numFmtId="0" fontId="1" fillId="0" borderId="54" xfId="0" applyFont="1" applyBorder="1" applyAlignment="1">
      <alignment horizontal="left" vertical="center" wrapText="1"/>
    </xf>
    <xf numFmtId="0" fontId="1" fillId="0" borderId="56" xfId="0" applyFont="1" applyBorder="1" applyAlignment="1">
      <alignment horizontal="left" vertical="center" wrapText="1"/>
    </xf>
    <xf numFmtId="0" fontId="1" fillId="0" borderId="106" xfId="0" applyFont="1" applyBorder="1" applyAlignment="1">
      <alignment horizontal="left" vertical="center" wrapText="1"/>
    </xf>
    <xf numFmtId="0" fontId="1" fillId="0" borderId="57" xfId="0" applyFont="1" applyBorder="1" applyAlignment="1">
      <alignment horizontal="left" vertical="center" wrapText="1"/>
    </xf>
    <xf numFmtId="0" fontId="42" fillId="16" borderId="8" xfId="0" applyFont="1" applyFill="1" applyBorder="1" applyAlignment="1">
      <alignment horizontal="center" vertical="center"/>
    </xf>
    <xf numFmtId="0" fontId="42" fillId="16" borderId="1" xfId="0" applyFont="1" applyFill="1" applyBorder="1" applyAlignment="1">
      <alignment horizontal="center" vertical="center"/>
    </xf>
    <xf numFmtId="0" fontId="1" fillId="16" borderId="1" xfId="0" applyFont="1" applyFill="1" applyBorder="1" applyAlignment="1">
      <alignment horizontal="right" vertical="center"/>
    </xf>
    <xf numFmtId="0" fontId="1" fillId="0" borderId="1" xfId="0" applyFont="1" applyBorder="1" applyAlignment="1">
      <alignment horizontal="left" vertical="center"/>
    </xf>
    <xf numFmtId="0" fontId="55" fillId="47" borderId="3" xfId="0" applyFont="1" applyFill="1" applyBorder="1" applyAlignment="1">
      <alignment horizontal="center" vertical="center"/>
    </xf>
    <xf numFmtId="0" fontId="55" fillId="0" borderId="0" xfId="0" applyFont="1" applyAlignment="1">
      <alignment horizontal="center" vertical="center"/>
    </xf>
    <xf numFmtId="43" fontId="2" fillId="0" borderId="0" xfId="5" applyFont="1" applyFill="1" applyBorder="1" applyAlignment="1">
      <alignment horizontal="center" vertical="center"/>
    </xf>
    <xf numFmtId="43" fontId="1" fillId="0" borderId="0" xfId="5" applyFont="1" applyFill="1" applyBorder="1" applyAlignment="1">
      <alignment horizontal="center" vertical="center"/>
    </xf>
    <xf numFmtId="43" fontId="2" fillId="0" borderId="0" xfId="5" applyFont="1" applyFill="1" applyBorder="1" applyAlignment="1">
      <alignment horizontal="center" vertical="center" wrapText="1"/>
    </xf>
    <xf numFmtId="43" fontId="1" fillId="7" borderId="96" xfId="5" applyFont="1" applyFill="1" applyBorder="1" applyAlignment="1">
      <alignment horizontal="center" vertical="center"/>
    </xf>
    <xf numFmtId="9" fontId="2" fillId="7" borderId="3" xfId="1" applyFont="1" applyFill="1" applyBorder="1" applyAlignment="1">
      <alignment horizontal="center" vertical="center" wrapText="1"/>
    </xf>
    <xf numFmtId="9" fontId="2" fillId="7" borderId="100" xfId="1" applyFont="1" applyFill="1" applyBorder="1" applyAlignment="1">
      <alignment horizontal="center" vertical="center" wrapText="1"/>
    </xf>
    <xf numFmtId="0" fontId="1" fillId="16" borderId="95" xfId="0" applyFont="1" applyFill="1" applyBorder="1" applyAlignment="1">
      <alignment horizontal="center" vertical="center"/>
    </xf>
    <xf numFmtId="0" fontId="1" fillId="16" borderId="93" xfId="0" applyFont="1" applyFill="1" applyBorder="1" applyAlignment="1">
      <alignment horizontal="center" vertical="center"/>
    </xf>
    <xf numFmtId="0" fontId="1" fillId="16" borderId="94" xfId="0" applyFont="1" applyFill="1" applyBorder="1" applyAlignment="1">
      <alignment horizontal="center" vertical="center"/>
    </xf>
    <xf numFmtId="43" fontId="2" fillId="7" borderId="98" xfId="5" applyFont="1" applyFill="1" applyBorder="1" applyAlignment="1">
      <alignment horizontal="center" vertical="center" wrapText="1"/>
    </xf>
    <xf numFmtId="43" fontId="2" fillId="7" borderId="99" xfId="5" applyFont="1" applyFill="1" applyBorder="1" applyAlignment="1">
      <alignment horizontal="center" vertical="center" wrapText="1"/>
    </xf>
    <xf numFmtId="0" fontId="52" fillId="0" borderId="19" xfId="0" applyFont="1" applyBorder="1" applyAlignment="1">
      <alignment horizontal="left" vertical="center"/>
    </xf>
    <xf numFmtId="0" fontId="52" fillId="0" borderId="59" xfId="0" applyFont="1" applyBorder="1" applyAlignment="1">
      <alignment horizontal="left" vertical="center"/>
    </xf>
    <xf numFmtId="0" fontId="47" fillId="0" borderId="18" xfId="0" applyFont="1" applyBorder="1" applyAlignment="1">
      <alignment horizontal="left" vertical="center" wrapText="1"/>
    </xf>
    <xf numFmtId="0" fontId="47" fillId="0" borderId="0" xfId="0" applyFont="1" applyAlignment="1">
      <alignment horizontal="left" vertical="center" wrapText="1"/>
    </xf>
    <xf numFmtId="0" fontId="47" fillId="0" borderId="60" xfId="0" applyFont="1" applyBorder="1" applyAlignment="1">
      <alignment horizontal="left" vertical="center" wrapText="1"/>
    </xf>
    <xf numFmtId="0" fontId="47" fillId="0" borderId="16" xfId="0" applyFont="1" applyBorder="1" applyAlignment="1">
      <alignment horizontal="left" vertical="center" wrapText="1"/>
    </xf>
    <xf numFmtId="0" fontId="48" fillId="21" borderId="86" xfId="0" applyFont="1" applyFill="1" applyBorder="1" applyAlignment="1">
      <alignment horizontal="center" vertical="center"/>
    </xf>
    <xf numFmtId="0" fontId="48" fillId="21" borderId="87" xfId="0" applyFont="1" applyFill="1" applyBorder="1" applyAlignment="1">
      <alignment horizontal="center" vertical="center"/>
    </xf>
    <xf numFmtId="0" fontId="48" fillId="21" borderId="88" xfId="0" applyFont="1" applyFill="1" applyBorder="1" applyAlignment="1">
      <alignment horizontal="center" vertical="center"/>
    </xf>
    <xf numFmtId="0" fontId="48" fillId="21" borderId="90" xfId="0" applyFont="1" applyFill="1" applyBorder="1" applyAlignment="1">
      <alignment horizontal="center" vertical="center"/>
    </xf>
    <xf numFmtId="0" fontId="51" fillId="0" borderId="59" xfId="0" applyFont="1" applyBorder="1" applyAlignment="1">
      <alignment horizontal="center" vertical="center"/>
    </xf>
    <xf numFmtId="0" fontId="51" fillId="0" borderId="0" xfId="0" applyFont="1" applyAlignment="1">
      <alignment horizontal="center" vertical="center"/>
    </xf>
    <xf numFmtId="0" fontId="51" fillId="0" borderId="16" xfId="0" applyFont="1" applyBorder="1" applyAlignment="1">
      <alignment horizontal="center" vertical="center"/>
    </xf>
    <xf numFmtId="166" fontId="44" fillId="0" borderId="0" xfId="5" applyNumberFormat="1" applyFont="1" applyAlignment="1">
      <alignment horizontal="center" vertical="center"/>
    </xf>
    <xf numFmtId="0" fontId="25" fillId="40" borderId="2" xfId="0" applyFont="1" applyFill="1" applyBorder="1" applyAlignment="1">
      <alignment horizontal="center"/>
    </xf>
    <xf numFmtId="0" fontId="25" fillId="40" borderId="3" xfId="0" applyFont="1" applyFill="1" applyBorder="1" applyAlignment="1">
      <alignment horizontal="center"/>
    </xf>
    <xf numFmtId="0" fontId="25" fillId="40" borderId="4" xfId="0" applyFont="1" applyFill="1" applyBorder="1" applyAlignment="1">
      <alignment horizontal="center"/>
    </xf>
    <xf numFmtId="0" fontId="1" fillId="4" borderId="96" xfId="0" applyFont="1" applyFill="1" applyBorder="1" applyAlignment="1">
      <alignment vertical="center"/>
    </xf>
    <xf numFmtId="43" fontId="1" fillId="4" borderId="96" xfId="0" applyNumberFormat="1" applyFont="1" applyFill="1" applyBorder="1" applyAlignment="1">
      <alignment vertical="center"/>
    </xf>
    <xf numFmtId="0" fontId="1" fillId="4" borderId="0" xfId="0" applyFont="1" applyFill="1" applyAlignment="1">
      <alignment vertical="center"/>
    </xf>
    <xf numFmtId="0" fontId="34" fillId="0" borderId="51" xfId="0" quotePrefix="1" applyFont="1" applyBorder="1" applyAlignment="1" applyProtection="1">
      <alignment horizontal="left" vertical="center" wrapText="1"/>
      <protection locked="0"/>
    </xf>
    <xf numFmtId="0" fontId="57" fillId="0" borderId="51" xfId="0" applyFont="1" applyBorder="1" applyAlignment="1" applyProtection="1">
      <alignment horizontal="left" vertical="center" wrapText="1"/>
      <protection locked="0"/>
    </xf>
    <xf numFmtId="0" fontId="1" fillId="0" borderId="99" xfId="0" applyFont="1" applyBorder="1" applyAlignment="1">
      <alignment horizontal="center" vertical="center"/>
    </xf>
    <xf numFmtId="0" fontId="1" fillId="0" borderId="101" xfId="0" applyFont="1" applyBorder="1" applyAlignment="1">
      <alignment horizontal="center" vertical="center"/>
    </xf>
    <xf numFmtId="0" fontId="1" fillId="0" borderId="0" xfId="0" applyFont="1" applyBorder="1" applyAlignment="1">
      <alignment horizontal="center" vertical="center"/>
    </xf>
    <xf numFmtId="43" fontId="2" fillId="7" borderId="107" xfId="5" applyFont="1" applyFill="1" applyBorder="1" applyAlignment="1">
      <alignment horizontal="center" vertical="center" wrapText="1"/>
    </xf>
    <xf numFmtId="43" fontId="1" fillId="0" borderId="97" xfId="0" applyNumberFormat="1" applyFont="1" applyBorder="1" applyAlignment="1">
      <alignment horizontal="center" vertical="center"/>
    </xf>
    <xf numFmtId="43" fontId="1" fillId="0" borderId="99" xfId="0" applyNumberFormat="1" applyFont="1" applyBorder="1" applyAlignment="1">
      <alignment horizontal="center" vertical="center"/>
    </xf>
    <xf numFmtId="43" fontId="1" fillId="0" borderId="101" xfId="0" applyNumberFormat="1" applyFont="1" applyBorder="1" applyAlignment="1">
      <alignment horizontal="center" vertical="center"/>
    </xf>
    <xf numFmtId="0" fontId="56" fillId="16" borderId="1" xfId="0" applyFont="1" applyFill="1" applyBorder="1" applyAlignment="1">
      <alignment horizontal="center" vertical="center"/>
    </xf>
    <xf numFmtId="0" fontId="55" fillId="46" borderId="1" xfId="0" applyFont="1" applyFill="1" applyBorder="1" applyAlignment="1">
      <alignment horizontal="center" vertical="center"/>
    </xf>
    <xf numFmtId="0" fontId="55" fillId="45" borderId="1" xfId="0" applyFont="1" applyFill="1" applyBorder="1" applyAlignment="1">
      <alignment horizontal="center" vertical="center"/>
    </xf>
    <xf numFmtId="43" fontId="2" fillId="38" borderId="1" xfId="5" applyFont="1" applyFill="1" applyBorder="1" applyAlignment="1">
      <alignment horizontal="center" vertical="center"/>
    </xf>
    <xf numFmtId="43" fontId="1" fillId="38" borderId="1" xfId="5" applyFont="1" applyFill="1" applyBorder="1" applyAlignment="1">
      <alignment horizontal="center" vertical="center"/>
    </xf>
    <xf numFmtId="43" fontId="2" fillId="38" borderId="1" xfId="5" applyFont="1" applyFill="1" applyBorder="1" applyAlignment="1">
      <alignment horizontal="center" vertical="center" wrapText="1"/>
    </xf>
    <xf numFmtId="43" fontId="1" fillId="38" borderId="1" xfId="5" applyFont="1" applyFill="1" applyBorder="1" applyAlignment="1">
      <alignment horizontal="center" vertical="center" wrapText="1"/>
    </xf>
    <xf numFmtId="43" fontId="2" fillId="10" borderId="1" xfId="5" applyFont="1" applyFill="1" applyBorder="1" applyAlignment="1">
      <alignment horizontal="center" vertical="center"/>
    </xf>
    <xf numFmtId="43" fontId="1" fillId="10" borderId="1" xfId="5" applyFont="1" applyFill="1" applyBorder="1" applyAlignment="1">
      <alignment horizontal="center" vertical="center"/>
    </xf>
    <xf numFmtId="43" fontId="2" fillId="10" borderId="1" xfId="5" applyFont="1" applyFill="1" applyBorder="1" applyAlignment="1">
      <alignment horizontal="center" vertical="center" wrapText="1"/>
    </xf>
    <xf numFmtId="9" fontId="2" fillId="10" borderId="1" xfId="1" applyFont="1" applyFill="1" applyBorder="1" applyAlignment="1">
      <alignment horizontal="center" vertical="center" wrapText="1"/>
    </xf>
    <xf numFmtId="43" fontId="1" fillId="38" borderId="1" xfId="5" applyFont="1" applyFill="1" applyBorder="1" applyAlignment="1">
      <alignment horizontal="center" vertical="center"/>
    </xf>
    <xf numFmtId="43" fontId="1" fillId="10" borderId="1" xfId="5" applyFont="1" applyFill="1" applyBorder="1" applyAlignment="1">
      <alignment horizontal="center" vertical="center"/>
    </xf>
    <xf numFmtId="43" fontId="2" fillId="10" borderId="1" xfId="5" applyFont="1" applyFill="1" applyBorder="1" applyAlignment="1">
      <alignment horizontal="center" vertical="center"/>
    </xf>
    <xf numFmtId="43" fontId="2" fillId="10" borderId="1" xfId="5" applyFont="1" applyFill="1" applyBorder="1" applyAlignment="1">
      <alignment horizontal="center" vertical="center" wrapText="1"/>
    </xf>
    <xf numFmtId="0" fontId="1" fillId="0" borderId="1" xfId="0" applyFont="1" applyBorder="1" applyAlignment="1">
      <alignment horizontal="center" vertical="center"/>
    </xf>
    <xf numFmtId="43" fontId="1" fillId="0" borderId="1" xfId="5" applyFont="1" applyBorder="1" applyAlignment="1">
      <alignment horizontal="center" vertical="center"/>
    </xf>
    <xf numFmtId="0" fontId="1" fillId="0" borderId="1" xfId="0" applyFont="1" applyBorder="1" applyAlignment="1">
      <alignment vertical="center"/>
    </xf>
    <xf numFmtId="43" fontId="1" fillId="0" borderId="1" xfId="5" applyFont="1" applyBorder="1" applyAlignment="1">
      <alignment vertical="center"/>
    </xf>
    <xf numFmtId="0" fontId="1" fillId="0" borderId="1" xfId="0" applyFont="1" applyBorder="1" applyAlignment="1">
      <alignment horizontal="center" vertical="center" wrapText="1"/>
    </xf>
    <xf numFmtId="9" fontId="1" fillId="0" borderId="1" xfId="1" applyFont="1" applyBorder="1" applyAlignment="1">
      <alignment horizontal="center" vertical="center"/>
    </xf>
    <xf numFmtId="43" fontId="1" fillId="0" borderId="1" xfId="0" applyNumberFormat="1" applyFont="1" applyBorder="1" applyAlignment="1">
      <alignment horizontal="center" vertical="center"/>
    </xf>
    <xf numFmtId="0" fontId="41" fillId="0" borderId="1" xfId="0" applyFont="1" applyBorder="1" applyAlignment="1">
      <alignment vertical="center"/>
    </xf>
    <xf numFmtId="9" fontId="1" fillId="0" borderId="1" xfId="1" applyFont="1" applyBorder="1" applyAlignment="1">
      <alignment horizontal="center" vertical="center"/>
    </xf>
    <xf numFmtId="9" fontId="1" fillId="0" borderId="1" xfId="1" applyFont="1" applyBorder="1" applyAlignment="1">
      <alignment horizontal="center" vertical="center" wrapText="1"/>
    </xf>
    <xf numFmtId="9" fontId="1" fillId="0" borderId="1" xfId="5" applyNumberFormat="1" applyFont="1" applyBorder="1" applyAlignment="1">
      <alignment vertical="center"/>
    </xf>
  </cellXfs>
  <cellStyles count="10">
    <cellStyle name="Comma" xfId="5" builtinId="3"/>
    <cellStyle name="Comma 2" xfId="9" xr:uid="{01E58806-3703-4209-A0DC-7F72D14BE339}"/>
    <cellStyle name="Currency" xfId="4" builtinId="4"/>
    <cellStyle name="Currency 2" xfId="8" xr:uid="{F5AD67E8-182D-45B0-95B6-859FB6151A5A}"/>
    <cellStyle name="Hyperlink" xfId="6" builtinId="8"/>
    <cellStyle name="Normal" xfId="0" builtinId="0"/>
    <cellStyle name="Normal 2" xfId="3" xr:uid="{160C4BBF-A63C-4E48-A750-C9BC4FAFF13D}"/>
    <cellStyle name="Normal 2 2" xfId="7" xr:uid="{D7E945A5-347B-4F7D-A7F2-B52B39D4C163}"/>
    <cellStyle name="Percent" xfId="1" builtinId="5"/>
    <cellStyle name="Percent 2" xfId="2" xr:uid="{D68D8B29-2E84-46D3-88B8-4161489B0B75}"/>
  </cellStyles>
  <dxfs count="739">
    <dxf>
      <font>
        <color theme="0"/>
      </font>
      <fill>
        <patternFill>
          <bgColor theme="0"/>
        </patternFill>
      </fill>
    </dxf>
    <dxf>
      <fill>
        <patternFill>
          <bgColor rgb="FFFF9966"/>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BAB"/>
        </patternFill>
      </fill>
    </dxf>
    <dxf>
      <fill>
        <patternFill>
          <bgColor rgb="FFFFABAB"/>
        </patternFill>
      </fill>
    </dxf>
    <dxf>
      <fill>
        <patternFill>
          <bgColor rgb="FFFFA3A3"/>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3A3"/>
        </patternFill>
      </fill>
    </dxf>
    <dxf>
      <fill>
        <patternFill>
          <bgColor rgb="FFFFABAB"/>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3A3"/>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A3A3"/>
        </patternFill>
      </fill>
    </dxf>
    <dxf>
      <fill>
        <patternFill>
          <bgColor rgb="FFFFABAB"/>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6969"/>
        </patternFill>
      </fill>
    </dxf>
    <dxf>
      <fill>
        <patternFill>
          <bgColor rgb="FFFFFF00"/>
        </patternFill>
      </fill>
    </dxf>
    <dxf>
      <fill>
        <patternFill>
          <bgColor rgb="FFC4E59F"/>
        </patternFill>
      </fill>
    </dxf>
    <dxf>
      <fill>
        <patternFill>
          <bgColor rgb="FF92D05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border>
        <left style="thin">
          <color theme="1" tint="0.24994659260841701"/>
        </left>
        <right style="thin">
          <color theme="1" tint="0.24994659260841701"/>
        </right>
        <top style="thin">
          <color theme="1" tint="0.24994659260841701"/>
        </top>
        <bottom style="thin">
          <color theme="1" tint="0.24994659260841701"/>
        </bottom>
        <vertical/>
        <horizontal/>
      </border>
    </dxf>
  </dxfs>
  <tableStyles count="0" defaultTableStyle="TableStyleMedium2" defaultPivotStyle="PivotStyleLight16"/>
  <colors>
    <mruColors>
      <color rgb="FFC6C6D8"/>
      <color rgb="FF9191B5"/>
      <color rgb="FF9D9DBD"/>
      <color rgb="FFB3EBFF"/>
      <color rgb="FF9FE6FF"/>
      <color rgb="FF65D7FF"/>
      <color rgb="FF7DDDFF"/>
      <color rgb="FFFF9966"/>
      <color rgb="FFFFABAB"/>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rtdsrv.c479a260de824b17bb383de78c05dadf">
      <tp t="e">
        <v>#N/A</v>
        <stp/>
        <stp>7ab5322d-431e-40b6-8b43-cdc971c607a1</stp>
        <tr r="M22" s="289"/>
      </tp>
    </main>
    <main first="rtdsrv.c479a260de824b17bb383de78c05dadf">
      <tp t="e">
        <v>#N/A</v>
        <stp/>
        <stp>43542988-5e0a-4a91-afdf-1c8328559661</stp>
        <tr r="G177" s="289"/>
      </tp>
      <tp t="e">
        <v>#N/A</v>
        <stp/>
        <stp>92db99d9-c715-4d60-8518-a54619755b9a</stp>
        <tr r="M128" s="289"/>
      </tp>
    </main>
    <main first="rtdsrv.c479a260de824b17bb383de78c05dadf">
      <tp t="e">
        <v>#N/A</v>
        <stp/>
        <stp>623fb277-6a5c-462b-96e9-91cab51fd247</stp>
        <tr r="G118" s="289"/>
      </tp>
    </main>
    <main first="rtdsrv.c479a260de824b17bb383de78c05dadf">
      <tp t="e">
        <v>#N/A</v>
        <stp/>
        <stp>5aa47e76-3160-42c7-9a77-c58ab3dad623</stp>
        <tr r="M168" s="289"/>
      </tp>
    </main>
    <main first="rtdsrv.c479a260de824b17bb383de78c05dadf">
      <tp t="e">
        <v>#N/A</v>
        <stp/>
        <stp>694576a0-007a-4879-bef8-718967c4baff</stp>
        <tr r="M122" s="289"/>
      </tp>
    </main>
    <main first="rtdsrv.c479a260de824b17bb383de78c05dadf">
      <tp t="e">
        <v>#N/A</v>
        <stp/>
        <stp>3a028a02-b7c7-420b-9c52-50a32dc4fffe</stp>
        <tr r="M166" s="289"/>
      </tp>
    </main>
    <main first="rtdsrv.c479a260de824b17bb383de78c05dadf">
      <tp t="e">
        <v>#N/A</v>
        <stp/>
        <stp>c4ae2ce5-2bb1-45da-80c0-3bde9d756fc2</stp>
        <tr r="M35" s="284"/>
      </tp>
    </main>
    <main first="rtdsrv.c479a260de824b17bb383de78c05dadf">
      <tp t="e">
        <v>#N/A</v>
        <stp/>
        <stp>d6f3bf8b-1bb5-458e-ab5b-2083d485e25e</stp>
        <tr r="M25" s="289"/>
      </tp>
    </main>
    <main first="rtdsrv.c479a260de824b17bb383de78c05dadf">
      <tp t="e">
        <v>#N/A</v>
        <stp/>
        <stp>37ef009f-4fd7-4e40-b2fd-3747ff604328</stp>
        <tr r="R35" s="284"/>
      </tp>
    </main>
    <main first="rtdsrv.c479a260de824b17bb383de78c05dadf">
      <tp t="e">
        <v>#N/A</v>
        <stp/>
        <stp>696e631e-30e7-424b-9e9a-db9e11e346ea</stp>
        <tr r="M188" s="289"/>
      </tp>
    </main>
    <main first="rtdsrv.c479a260de824b17bb383de78c05dadf">
      <tp t="e">
        <v>#N/A</v>
        <stp/>
        <stp>ff6b2452-26d0-47f3-851e-8e67bc411ba9</stp>
        <tr r="R43" s="284"/>
      </tp>
    </main>
    <main first="rtdsrv.c479a260de824b17bb383de78c05dadf">
      <tp t="e">
        <v>#N/A</v>
        <stp/>
        <stp>31421bf9-3e9c-42ef-b106-fd61c74b0c2e</stp>
        <tr r="R20" s="284"/>
      </tp>
    </main>
    <main first="rtdsrv.c479a260de824b17bb383de78c05dadf">
      <tp t="e">
        <v>#N/A</v>
        <stp/>
        <stp>3065ce9a-6888-4cfb-8253-5036a3bf21a0</stp>
        <tr r="G194" s="289"/>
      </tp>
      <tp t="e">
        <v>#N/A</v>
        <stp/>
        <stp>ebcb8671-357a-4a9f-8036-e31c7ee61b6f</stp>
        <tr r="G68" s="289"/>
      </tp>
    </main>
    <main first="rtdsrv.c479a260de824b17bb383de78c05dadf">
      <tp t="e">
        <v>#N/A</v>
        <stp/>
        <stp>f18f0155-f056-4b00-b3f0-4fd616c65f23</stp>
        <tr r="G81" s="289"/>
      </tp>
      <tp t="e">
        <v>#N/A</v>
        <stp/>
        <stp>a1102ad9-1d50-4371-a470-226b327baa93</stp>
        <tr r="G63" s="289"/>
      </tp>
    </main>
    <main first="rtdsrv.c479a260de824b17bb383de78c05dadf">
      <tp t="e">
        <v>#N/A</v>
        <stp/>
        <stp>b737a0e7-9ca4-4935-ba08-444770136957</stp>
        <tr r="R9" s="284"/>
      </tp>
      <tp t="e">
        <v>#N/A</v>
        <stp/>
        <stp>d1c26863-1d19-4a28-8d44-9e074e87a205</stp>
        <tr r="G30" s="289"/>
      </tp>
    </main>
    <main first="rtdsrv.c479a260de824b17bb383de78c05dadf">
      <tp t="e">
        <v>#N/A</v>
        <stp/>
        <stp>dff44360-7c77-4802-8e6f-1b0c1d70ff2d</stp>
        <tr r="M143" s="289"/>
      </tp>
    </main>
    <main first="rtdsrv.c479a260de824b17bb383de78c05dadf">
      <tp t="e">
        <v>#N/A</v>
        <stp/>
        <stp>60ceee18-f7d2-4e2a-b7c6-be3bab674064</stp>
        <tr r="M53" s="289"/>
      </tp>
    </main>
    <main first="rtdsrv.c479a260de824b17bb383de78c05dadf">
      <tp t="e">
        <v>#N/A</v>
        <stp/>
        <stp>3c980594-3c9a-41cd-8adb-da0e915f93c6</stp>
        <tr r="M42" s="289"/>
      </tp>
    </main>
    <main first="rtdsrv.c479a260de824b17bb383de78c05dadf">
      <tp t="e">
        <v>#N/A</v>
        <stp/>
        <stp>cc235bb3-f27e-4fda-a442-f25e7363c54d</stp>
        <tr r="G67" s="289"/>
      </tp>
    </main>
    <main first="rtdsrv.c479a260de824b17bb383de78c05dadf">
      <tp t="e">
        <v>#N/A</v>
        <stp/>
        <stp>2e0198b4-403c-48cf-9771-d11459eb36cd</stp>
        <tr r="M107" s="289"/>
      </tp>
    </main>
    <main first="rtdsrv.c479a260de824b17bb383de78c05dadf">
      <tp t="e">
        <v>#N/A</v>
        <stp/>
        <stp>de60bfbd-1f03-4a83-a063-c45b55b0e03d</stp>
        <tr r="G15" s="289"/>
      </tp>
    </main>
    <main first="rtdsrv.c479a260de824b17bb383de78c05dadf">
      <tp t="e">
        <v>#N/A</v>
        <stp/>
        <stp>8463372b-6577-436a-8c0d-5bf8d8a24887</stp>
        <tr r="G31" s="289"/>
      </tp>
      <tp t="e">
        <v>#N/A</v>
        <stp/>
        <stp>a76e1eaf-29da-4f95-897d-264404ab0f48</stp>
        <tr r="M198" s="289"/>
      </tp>
    </main>
    <main first="rtdsrv.c479a260de824b17bb383de78c05dadf">
      <tp t="e">
        <v>#N/A</v>
        <stp/>
        <stp>dcb9d0e9-68e1-47da-8244-a0559bb2cd57</stp>
        <tr r="G176" s="289"/>
      </tp>
    </main>
    <main first="rtdsrv.c479a260de824b17bb383de78c05dadf">
      <tp t="e">
        <v>#N/A</v>
        <stp/>
        <stp>8ad76d87-e177-4f96-a2c5-3cdfe4619dde</stp>
        <tr r="M66" s="289"/>
      </tp>
    </main>
    <main first="rtdsrv.c479a260de824b17bb383de78c05dadf">
      <tp t="e">
        <v>#N/A</v>
        <stp/>
        <stp>536130a0-5504-45e2-9809-53d1736812ee</stp>
        <tr r="G66" s="289"/>
      </tp>
    </main>
    <main first="rtdsrv.c479a260de824b17bb383de78c05dadf">
      <tp t="e">
        <v>#N/A</v>
        <stp/>
        <stp>307d7c1c-4d97-45e1-afa0-5c022c26c2c0</stp>
        <tr r="G175" s="289"/>
      </tp>
      <tp t="e">
        <v>#N/A</v>
        <stp/>
        <stp>596d40ab-9c5a-4c9e-a8c0-dc98bb85325d</stp>
        <tr r="G196" s="289"/>
      </tp>
      <tp t="e">
        <v>#N/A</v>
        <stp/>
        <stp>c6c0a503-7603-48d7-ac77-30c79272e30b</stp>
        <tr r="M157" s="289"/>
      </tp>
    </main>
    <main first="rtdsrv.c479a260de824b17bb383de78c05dadf">
      <tp t="e">
        <v>#N/A</v>
        <stp/>
        <stp>53d02dcb-5b00-4546-94d0-3258f390d4a0</stp>
        <tr r="M108" s="289"/>
      </tp>
    </main>
    <main first="rtdsrv.c479a260de824b17bb383de78c05dadf">
      <tp t="e">
        <v>#N/A</v>
        <stp/>
        <stp>b1290222-119d-4777-a369-e1455b52ee41</stp>
        <tr r="M192" s="289"/>
      </tp>
    </main>
    <main first="rtdsrv.c479a260de824b17bb383de78c05dadf">
      <tp t="e">
        <v>#N/A</v>
        <stp/>
        <stp>50464805-030b-4878-8dfe-9c833488442d</stp>
        <tr r="G169" s="289"/>
      </tp>
      <tp t="e">
        <v>#N/A</v>
        <stp/>
        <stp>bd66a0ca-9476-4a15-a7a7-e83dd2f046cc</stp>
        <tr r="G96" s="289"/>
      </tp>
    </main>
    <main first="rtdsrv.c479a260de824b17bb383de78c05dadf">
      <tp t="e">
        <v>#N/A</v>
        <stp/>
        <stp>aa043de0-4cba-4208-8314-34244961f0aa</stp>
        <tr r="M119" s="289"/>
      </tp>
      <tp t="e">
        <v>#N/A</v>
        <stp/>
        <stp>cda802d2-7997-44e6-950d-698168a0acfd</stp>
        <tr r="G108" s="289"/>
      </tp>
      <tp t="e">
        <v>#N/A</v>
        <stp/>
        <stp>21cd4acf-1ec3-4b9f-ba50-de2911798c76</stp>
        <tr r="M40" s="289"/>
      </tp>
    </main>
    <main first="rtdsrv.c479a260de824b17bb383de78c05dadf">
      <tp t="e">
        <v>#N/A</v>
        <stp/>
        <stp>413d7cdf-ce0d-4249-a28f-a64d203f7370</stp>
        <tr r="M20" s="284"/>
      </tp>
      <tp t="e">
        <v>#N/A</v>
        <stp/>
        <stp>5a451d44-78ac-4f8c-a408-d41805f9de25</stp>
        <tr r="G40" s="289"/>
      </tp>
    </main>
    <main first="rtdsrv.c479a260de824b17bb383de78c05dadf">
      <tp t="e">
        <v>#N/A</v>
        <stp/>
        <stp>2d9869ca-31e8-46d0-a677-40f4882eaddd</stp>
        <tr r="G188" s="289"/>
      </tp>
    </main>
    <main first="rtdsrv.c479a260de824b17bb383de78c05dadf">
      <tp t="e">
        <v>#N/A</v>
        <stp/>
        <stp>7b458451-2295-4782-916c-c3be84589c50</stp>
        <tr r="G135" s="289"/>
      </tp>
    </main>
    <main first="rtdsrv.c479a260de824b17bb383de78c05dadf">
      <tp t="e">
        <v>#N/A</v>
        <stp/>
        <stp>17e2dd96-1f27-4144-97b9-f769ae15bb6a</stp>
        <tr r="R7" s="284"/>
      </tp>
    </main>
    <main first="rtdsrv.c479a260de824b17bb383de78c05dadf">
      <tp t="e">
        <v>#N/A</v>
        <stp/>
        <stp>7035e23a-de7d-4f89-9ce6-28e481e1e7b6</stp>
        <tr r="M33" s="284"/>
      </tp>
    </main>
    <main first="rtdsrv.c479a260de824b17bb383de78c05dadf">
      <tp t="e">
        <v>#N/A</v>
        <stp/>
        <stp>17f5ce50-70a9-4e47-a20a-ba2c8075d703</stp>
        <tr r="G24" s="289"/>
      </tp>
    </main>
    <main first="rtdsrv.c479a260de824b17bb383de78c05dadf">
      <tp t="e">
        <v>#N/A</v>
        <stp/>
        <stp>40d7d5ea-f62f-4526-adeb-a05d32ae865c</stp>
        <tr r="M104" s="289"/>
      </tp>
    </main>
    <main first="rtdsrv.c479a260de824b17bb383de78c05dadf">
      <tp t="e">
        <v>#N/A</v>
        <stp/>
        <stp>6427654a-9cfe-496b-ae51-118ccc0f19fc</stp>
        <tr r="G97" s="289"/>
      </tp>
    </main>
    <main first="rtdsrv.c479a260de824b17bb383de78c05dadf">
      <tp t="e">
        <v>#N/A</v>
        <stp/>
        <stp>bd9afb40-d541-4640-8c1a-108625cc1b9b</stp>
        <tr r="G65" s="289"/>
      </tp>
      <tp t="e">
        <v>#N/A</v>
        <stp/>
        <stp>4372b342-b80c-4c34-9ae7-5ab7f7333aea</stp>
        <tr r="G142" s="289"/>
      </tp>
    </main>
    <main first="rtdsrv.c479a260de824b17bb383de78c05dadf">
      <tp t="e">
        <v>#N/A</v>
        <stp/>
        <stp>b92999b5-9921-4488-8dce-5dc166af146f</stp>
        <tr r="M19" s="289"/>
      </tp>
    </main>
    <main first="rtdsrv.c479a260de824b17bb383de78c05dadf">
      <tp t="e">
        <v>#N/A</v>
        <stp/>
        <stp>3f0ae1c6-354b-4695-bd4f-62af8ce2709d</stp>
        <tr r="M134" s="289"/>
      </tp>
    </main>
    <main first="rtdsrv.c479a260de824b17bb383de78c05dadf">
      <tp t="e">
        <v>#N/A</v>
        <stp/>
        <stp>90e12b7f-a05d-414c-820d-f6465fc71411</stp>
        <tr r="M138" s="289"/>
      </tp>
      <tp t="e">
        <v>#N/A</v>
        <stp/>
        <stp>97e0b78f-5b13-459a-a108-ecf570e183db</stp>
        <tr r="M196" s="289"/>
      </tp>
    </main>
    <main first="rtdsrv.c479a260de824b17bb383de78c05dadf">
      <tp t="e">
        <v>#N/A</v>
        <stp/>
        <stp>9a66c6f4-d14a-478c-a763-2cc8914750c6</stp>
        <tr r="M153" s="289"/>
      </tp>
    </main>
    <main first="rtdsrv.c479a260de824b17bb383de78c05dadf">
      <tp t="e">
        <v>#N/A</v>
        <stp/>
        <stp>0740bbe4-d712-4007-abfb-f51d84f07ba5</stp>
        <tr r="M49" s="289"/>
      </tp>
    </main>
    <main first="rtdsrv.c479a260de824b17bb383de78c05dadf">
      <tp t="e">
        <v>#N/A</v>
        <stp/>
        <stp>a587e595-5ae0-478d-b05c-304c333f4d7e</stp>
        <tr r="G54" s="289"/>
      </tp>
      <tp t="e">
        <v>#N/A</v>
        <stp/>
        <stp>831d04a6-bf45-4523-9811-eb1f51404735</stp>
        <tr r="M100" s="289"/>
      </tp>
    </main>
    <main first="rtdsrv.c479a260de824b17bb383de78c05dadf">
      <tp t="e">
        <v>#N/A</v>
        <stp/>
        <stp>4b783b4e-e121-42b4-80a5-9d62051beb17</stp>
        <tr r="M48" s="289"/>
      </tp>
      <tp t="e">
        <v>#N/A</v>
        <stp/>
        <stp>1eec67d9-5219-4ed6-a8ee-dd6c52c38a5b</stp>
        <tr r="M202" s="289"/>
      </tp>
    </main>
    <main first="rtdsrv.c479a260de824b17bb383de78c05dadf">
      <tp t="e">
        <v>#N/A</v>
        <stp/>
        <stp>7a5e804b-b7e9-4523-bde7-ae57b00f3331</stp>
        <tr r="M18" s="289"/>
      </tp>
    </main>
    <main first="rtdsrv.c479a260de824b17bb383de78c05dadf">
      <tp t="e">
        <v>#N/A</v>
        <stp/>
        <stp>e96be1ec-e798-4075-be9b-1629506bbd73</stp>
        <tr r="G26" s="289"/>
      </tp>
    </main>
    <main first="rtdsrv.c479a260de824b17bb383de78c05dadf">
      <tp t="e">
        <v>#N/A</v>
        <stp/>
        <stp>3099bf2a-19eb-4cf3-a3aa-03ca7c455f19</stp>
        <tr r="M88" s="289"/>
      </tp>
    </main>
    <main first="rtdsrv.c479a260de824b17bb383de78c05dadf">
      <tp t="e">
        <v>#N/A</v>
        <stp/>
        <stp>f7384e8c-9987-4726-959d-bcf7ae3f1a9c</stp>
        <tr r="G71" s="289"/>
      </tp>
    </main>
    <main first="rtdsrv.c479a260de824b17bb383de78c05dadf">
      <tp t="e">
        <v>#N/A</v>
        <stp/>
        <stp>9b29c1d8-ff0d-4fd9-aaa9-b80c876f2a7d</stp>
        <tr r="M111" s="289"/>
      </tp>
    </main>
    <main first="rtdsrv.c479a260de824b17bb383de78c05dadf">
      <tp t="e">
        <v>#N/A</v>
        <stp/>
        <stp>eb37af8b-3f66-4c1f-846a-28e928f60d3d</stp>
        <tr r="R23" s="284"/>
      </tp>
    </main>
    <main first="rtdsrv.c479a260de824b17bb383de78c05dadf">
      <tp t="e">
        <v>#N/A</v>
        <stp/>
        <stp>de4c2e6b-e393-450a-85df-1170fb118019</stp>
        <tr r="M69" s="289"/>
      </tp>
    </main>
    <main first="rtdsrv.c479a260de824b17bb383de78c05dadf">
      <tp t="e">
        <v>#N/A</v>
        <stp/>
        <stp>4af18c65-1ba4-4dfd-b78e-7833ed6e203d</stp>
        <tr r="R12" s="284"/>
      </tp>
    </main>
    <main first="rtdsrv.c479a260de824b17bb383de78c05dadf">
      <tp t="e">
        <v>#N/A</v>
        <stp/>
        <stp>5dfab06e-227a-423d-96e4-16c3fecdd703</stp>
        <tr r="G79" s="289"/>
      </tp>
    </main>
    <main first="rtdsrv.c479a260de824b17bb383de78c05dadf">
      <tp t="e">
        <v>#N/A</v>
        <stp/>
        <stp>8177cb63-9aa7-4359-8432-912494342f7f</stp>
        <tr r="M58" s="289"/>
      </tp>
      <tp t="e">
        <v>#N/A</v>
        <stp/>
        <stp>3b4da92d-2fcc-4a64-bc7c-a9af01e36ac7</stp>
        <tr r="G18" s="289"/>
      </tp>
    </main>
    <main first="rtdsrv.c479a260de824b17bb383de78c05dadf">
      <tp t="e">
        <v>#N/A</v>
        <stp/>
        <stp>49de34bb-9d05-469f-8df6-94f4d7c7b44c</stp>
        <tr r="M55" s="289"/>
      </tp>
    </main>
    <main first="rtdsrv.c479a260de824b17bb383de78c05dadf">
      <tp t="e">
        <v>#N/A</v>
        <stp/>
        <stp>b7208ee9-198c-4d53-8b09-208fda756202</stp>
        <tr r="M56" s="289"/>
      </tp>
      <tp t="e">
        <v>#N/A</v>
        <stp/>
        <stp>725c1017-fc23-4be6-8175-9596804d8c76</stp>
        <tr r="M44" s="289"/>
      </tp>
    </main>
    <main first="rtdsrv.c479a260de824b17bb383de78c05dadf">
      <tp t="e">
        <v>#N/A</v>
        <stp/>
        <stp>6e78f388-61dd-4e44-9772-078566979ad8</stp>
        <tr r="M16" s="284"/>
      </tp>
    </main>
    <main first="rtdsrv.c479a260de824b17bb383de78c05dadf">
      <tp t="e">
        <v>#N/A</v>
        <stp/>
        <stp>312908e7-14ff-432f-b265-9a7db84153ef</stp>
        <tr r="M185" s="289"/>
      </tp>
    </main>
    <main first="rtdsrv.c479a260de824b17bb383de78c05dadf">
      <tp t="e">
        <v>#N/A</v>
        <stp/>
        <stp>c4006740-6022-481b-aded-1fbcb27bfd4f</stp>
        <tr r="G91" s="289"/>
      </tp>
    </main>
    <main first="rtdsrv.c479a260de824b17bb383de78c05dadf">
      <tp t="e">
        <v>#N/A</v>
        <stp/>
        <stp>acbcc4ce-67cf-4b6c-ae59-36794be33afc</stp>
        <tr r="G120" s="289"/>
      </tp>
    </main>
    <main first="rtdsrv.c479a260de824b17bb383de78c05dadf">
      <tp t="e">
        <v>#N/A</v>
        <stp/>
        <stp>ca272af1-c7d1-4e44-b379-83dfe30bfb34</stp>
        <tr r="M40" s="284"/>
      </tp>
      <tp t="e">
        <v>#N/A</v>
        <stp/>
        <stp>14068f6d-7dbd-4c6f-b54c-204993cce65b</stp>
        <tr r="G205" s="289"/>
      </tp>
    </main>
    <main first="rtdsrv.c479a260de824b17bb383de78c05dadf">
      <tp t="e">
        <v>#N/A</v>
        <stp/>
        <stp>501e0034-d892-4956-a521-6edf8a433f81</stp>
        <tr r="M21" s="289"/>
      </tp>
      <tp t="e">
        <v>#N/A</v>
        <stp/>
        <stp>c373c679-74de-48f7-96c5-91641c2fd6d9</stp>
        <tr r="M142" s="289"/>
      </tp>
      <tp t="e">
        <v>#N/A</v>
        <stp/>
        <stp>c1ea230a-6d58-426f-ba05-e7c9a463ac79</stp>
        <tr r="M74" s="289"/>
      </tp>
      <tp t="e">
        <v>#N/A</v>
        <stp/>
        <stp>a7391db9-0b98-4771-8435-0efb8ee3acb5</stp>
        <tr r="G61" s="289"/>
      </tp>
    </main>
    <main first="rtdsrv.c479a260de824b17bb383de78c05dadf">
      <tp t="e">
        <v>#N/A</v>
        <stp/>
        <stp>6a503b17-c0c7-4ede-bdcf-d8441ed579fd</stp>
        <tr r="G48" s="289"/>
      </tp>
    </main>
    <main first="rtdsrv.c479a260de824b17bb383de78c05dadf">
      <tp t="e">
        <v>#N/A</v>
        <stp/>
        <stp>609a0f9b-ad9f-41b4-8e66-649da3888076</stp>
        <tr r="M12" s="289"/>
      </tp>
      <tp t="e">
        <v>#N/A</v>
        <stp/>
        <stp>13622c5b-d27d-41e6-b39f-b9342525652e</stp>
        <tr r="G132" s="289"/>
      </tp>
      <tp t="e">
        <v>#N/A</v>
        <stp/>
        <stp>03181424-0cba-4c12-b322-8202adfd2ca4</stp>
        <tr r="G161" s="289"/>
      </tp>
      <tp t="e">
        <v>#N/A</v>
        <stp/>
        <stp>3f6c512c-33b4-4a7d-bb23-10d4caff2ac3</stp>
        <tr r="G143" s="289"/>
      </tp>
      <tp t="e">
        <v>#N/A</v>
        <stp/>
        <stp>10f93a3a-c785-49cf-95b8-558c99b8c8e8</stp>
        <tr r="G35" s="289"/>
      </tp>
      <tp t="e">
        <v>#N/A</v>
        <stp/>
        <stp>bc13f1d5-d9c5-42cb-8011-b7cc92b21b9b</stp>
        <tr r="G165" s="289"/>
      </tp>
    </main>
    <main first="rtdsrv.c479a260de824b17bb383de78c05dadf">
      <tp t="e">
        <v>#N/A</v>
        <stp/>
        <stp>492525bf-37f3-4003-bab6-4d6b288bf055</stp>
        <tr r="M154" s="289"/>
      </tp>
      <tp t="e">
        <v>#N/A</v>
        <stp/>
        <stp>c623402f-d744-4206-a450-da8e14e98623</stp>
        <tr r="M146" s="289"/>
      </tp>
    </main>
    <main first="rtdsrv.c479a260de824b17bb383de78c05dadf">
      <tp t="e">
        <v>#N/A</v>
        <stp/>
        <stp>6bdfb3e2-3080-459f-a396-af916ac06827</stp>
        <tr r="M200" s="289"/>
      </tp>
    </main>
    <main first="rtdsrv.c479a260de824b17bb383de78c05dadf">
      <tp t="e">
        <v>#N/A</v>
        <stp/>
        <stp>33703d20-8f18-47e4-b28f-3a3a304f831f</stp>
        <tr r="G33" s="289"/>
      </tp>
    </main>
    <main first="rtdsrv.c479a260de824b17bb383de78c05dadf">
      <tp t="e">
        <v>#N/A</v>
        <stp/>
        <stp>d9a7f5d0-a78b-4727-96ee-2473a26ce8e3</stp>
        <tr r="G192" s="289"/>
      </tp>
    </main>
    <main first="rtdsrv.c479a260de824b17bb383de78c05dadf">
      <tp t="e">
        <v>#N/A</v>
        <stp/>
        <stp>93e66e35-06a5-4cff-abdd-d698a7947d26</stp>
        <tr r="M45" s="289"/>
      </tp>
    </main>
    <main first="rtdsrv.c479a260de824b17bb383de78c05dadf">
      <tp t="e">
        <v>#N/A</v>
        <stp/>
        <stp>d43513e9-fd5f-4b93-9411-d2c2e554febd</stp>
        <tr r="G86" s="289"/>
      </tp>
    </main>
    <main first="rtdsrv.c479a260de824b17bb383de78c05dadf">
      <tp t="e">
        <v>#N/A</v>
        <stp/>
        <stp>0003ef2a-72e3-4abe-882a-16b7236a0206</stp>
        <tr r="M72" s="289"/>
      </tp>
    </main>
    <main first="rtdsrv.c479a260de824b17bb383de78c05dadf">
      <tp t="e">
        <v>#N/A</v>
        <stp/>
        <stp>ca300d7a-f682-4fa7-93ca-d10b82c50586</stp>
        <tr r="G157" s="289"/>
      </tp>
    </main>
    <main first="rtdsrv.c479a260de824b17bb383de78c05dadf">
      <tp t="e">
        <v>#N/A</v>
        <stp/>
        <stp>94035be0-1a63-4eae-9a14-8f627e60e1ce</stp>
        <tr r="M37" s="289"/>
      </tp>
      <tp t="e">
        <v>#N/A</v>
        <stp/>
        <stp>93611167-d4ae-4db3-9608-2035ce8bf1db</stp>
        <tr r="M191" s="289"/>
      </tp>
    </main>
    <main first="rtdsrv.c479a260de824b17bb383de78c05dadf">
      <tp t="e">
        <v>#N/A</v>
        <stp/>
        <stp>3686b553-70bf-4716-86e4-638f26a94c08</stp>
        <tr r="M47" s="289"/>
      </tp>
      <tp t="e">
        <v>#N/A</v>
        <stp/>
        <stp>5f9f0722-e2e9-42f0-8e7e-7d960e4ac313</stp>
        <tr r="M186" s="289"/>
      </tp>
      <tp t="e">
        <v>#N/A</v>
        <stp/>
        <stp>ebad90e8-a4a5-4e0d-9e56-7cc79f147f45</stp>
        <tr r="G41" s="289"/>
      </tp>
    </main>
    <main first="rtdsrv.c479a260de824b17bb383de78c05dadf">
      <tp t="e">
        <v>#N/A</v>
        <stp/>
        <stp>5f16d50a-d7da-44cb-8dde-344b33853752</stp>
        <tr r="G19" s="289"/>
      </tp>
    </main>
    <main first="rtdsrv.c479a260de824b17bb383de78c05dadf">
      <tp t="e">
        <v>#N/A</v>
        <stp/>
        <stp>d54f2d76-799d-4f53-83e8-a9ef288c2045</stp>
        <tr r="M140" s="289"/>
      </tp>
    </main>
    <main first="rtdsrv.c479a260de824b17bb383de78c05dadf">
      <tp t="e">
        <v>#N/A</v>
        <stp/>
        <stp>6ca43459-ea67-44a5-9d20-b584556834b3</stp>
        <tr r="M9" s="289"/>
      </tp>
    </main>
    <main first="rtdsrv.c479a260de824b17bb383de78c05dadf">
      <tp t="e">
        <v>#N/A</v>
        <stp/>
        <stp>91dbc7f4-b596-4a69-b3ff-f828ea8bac53</stp>
        <tr r="G121" s="289"/>
      </tp>
    </main>
    <main first="rtdsrv.c479a260de824b17bb383de78c05dadf">
      <tp t="e">
        <v>#N/A</v>
        <stp/>
        <stp>ac0618f4-f923-4a19-98f1-d840d9464b1e</stp>
        <tr r="G130" s="289"/>
      </tp>
    </main>
    <main first="rtdsrv.c479a260de824b17bb383de78c05dadf">
      <tp t="e">
        <v>#N/A</v>
        <stp/>
        <stp>2608859e-528c-40e5-a2a0-dcc00a712a32</stp>
        <tr r="G173" s="289"/>
      </tp>
    </main>
    <main first="rtdsrv.c479a260de824b17bb383de78c05dadf">
      <tp t="e">
        <v>#N/A</v>
        <stp/>
        <stp>d84efe7e-5233-4543-9b22-38978f8d270e</stp>
        <tr r="M54" s="284"/>
      </tp>
    </main>
    <main first="rtdsrv.c479a260de824b17bb383de78c05dadf">
      <tp t="e">
        <v>#N/A</v>
        <stp/>
        <stp>a4f8cf93-0275-41ed-abbb-c190ed71911d</stp>
        <tr r="M121" s="289"/>
      </tp>
      <tp t="e">
        <v>#N/A</v>
        <stp/>
        <stp>8467a799-fa94-47cb-9ce3-199e2bd0d900</stp>
        <tr r="M118" s="289"/>
      </tp>
    </main>
    <main first="rtdsrv.c479a260de824b17bb383de78c05dadf">
      <tp t="e">
        <v>#N/A</v>
        <stp/>
        <stp>a9a56ed2-b5e0-4912-ad35-614457fe89a5</stp>
        <tr r="G82" s="289"/>
      </tp>
    </main>
    <main first="rtdsrv.c479a260de824b17bb383de78c05dadf">
      <tp t="e">
        <v>#N/A</v>
        <stp/>
        <stp>763cc932-5eb0-47d1-9364-c61dd9fa3235</stp>
        <tr r="R32" s="284"/>
      </tp>
    </main>
    <main first="rtdsrv.c479a260de824b17bb383de78c05dadf">
      <tp t="e">
        <v>#N/A</v>
        <stp/>
        <stp>9bca48ab-de91-43fe-b941-24b9ccc7f8bb</stp>
        <tr r="M14" s="289"/>
      </tp>
    </main>
    <main first="rtdsrv.c479a260de824b17bb383de78c05dadf">
      <tp t="e">
        <v>#N/A</v>
        <stp/>
        <stp>a747ce84-6f69-4e49-b1bc-b9950504b35b</stp>
        <tr r="M132" s="289"/>
      </tp>
    </main>
    <main first="rtdsrv.c479a260de824b17bb383de78c05dadf">
      <tp t="e">
        <v>#N/A</v>
        <stp/>
        <stp>c3a64c8a-7434-4b3f-8c54-2daee5fddee7</stp>
        <tr r="M75" s="289"/>
      </tp>
    </main>
    <main first="rtdsrv.c479a260de824b17bb383de78c05dadf">
      <tp t="e">
        <v>#N/A</v>
        <stp/>
        <stp>227e0b91-ac1e-406b-8560-3fdcb3122050</stp>
        <tr r="G44" s="289"/>
      </tp>
    </main>
    <main first="rtdsrv.c479a260de824b17bb383de78c05dadf">
      <tp t="e">
        <v>#N/A</v>
        <stp/>
        <stp>b6ae7d00-e8dc-4777-8d9b-eb10b905eb7b</stp>
        <tr r="G171" s="289"/>
      </tp>
    </main>
    <main first="rtdsrv.c479a260de824b17bb383de78c05dadf">
      <tp t="e">
        <v>#N/A</v>
        <stp/>
        <stp>ae394be2-1b1e-40a5-903c-fe1f9faf73d2</stp>
        <tr r="G184" s="289"/>
      </tp>
    </main>
    <main first="rtdsrv.c479a260de824b17bb383de78c05dadf">
      <tp t="e">
        <v>#N/A</v>
        <stp/>
        <stp>276985dd-67cb-421e-8313-5ad9acbc6b08</stp>
        <tr r="M11" s="284"/>
      </tp>
      <tp t="e">
        <v>#N/A</v>
        <stp/>
        <stp>f29a932d-18e6-4c9e-b732-1526d23d3aa4</stp>
        <tr r="M34" s="284"/>
      </tp>
      <tp t="e">
        <v>#N/A</v>
        <stp/>
        <stp>ffe8cdc5-b2cc-40ae-9e69-c38479b5a965</stp>
        <tr r="G50" s="289"/>
      </tp>
      <tp t="e">
        <v>#N/A</v>
        <stp/>
        <stp>24c8d521-0c8b-44f9-aa86-feb127545b54</stp>
        <tr r="M60" s="289"/>
      </tp>
    </main>
    <main first="rtdsrv.c479a260de824b17bb383de78c05dadf">
      <tp t="e">
        <v>#N/A</v>
        <stp/>
        <stp>b8bc4f2c-6a7b-4aec-869a-455c44e693ec</stp>
        <tr r="M106" s="289"/>
      </tp>
    </main>
    <main first="rtdsrv.c479a260de824b17bb383de78c05dadf">
      <tp t="e">
        <v>#N/A</v>
        <stp/>
        <stp>27126307-c40f-4926-8dc0-95b73c5a3d9f</stp>
        <tr r="M7" s="284"/>
      </tp>
    </main>
    <main first="rtdsrv.c479a260de824b17bb383de78c05dadf">
      <tp t="e">
        <v>#N/A</v>
        <stp/>
        <stp>ef47131b-30db-4627-a9c6-b7b4b491b115</stp>
        <tr r="M81" s="289"/>
      </tp>
    </main>
    <main first="rtdsrv.c479a260de824b17bb383de78c05dadf">
      <tp t="e">
        <v>#N/A</v>
        <stp/>
        <stp>ee61824d-f928-4adb-a4aa-3d6062516d72</stp>
        <tr r="R53" s="284"/>
      </tp>
      <tp t="e">
        <v>#N/A</v>
        <stp/>
        <stp>f0ca21df-5310-481c-a13c-cbbeeb9acdce</stp>
        <tr r="M61" s="289"/>
      </tp>
    </main>
    <main first="rtdsrv.c479a260de824b17bb383de78c05dadf">
      <tp t="e">
        <v>#N/A</v>
        <stp/>
        <stp>83e1619a-19f6-4ce1-bad0-86e965d07e94</stp>
        <tr r="G160" s="289"/>
      </tp>
    </main>
    <main first="rtdsrv.c479a260de824b17bb383de78c05dadf">
      <tp t="e">
        <v>#N/A</v>
        <stp/>
        <stp>b34b55d6-a298-44be-8a65-89b940b642d1</stp>
        <tr r="R15" s="284"/>
      </tp>
    </main>
    <main first="rtdsrv.c479a260de824b17bb383de78c05dadf">
      <tp t="e">
        <v>#N/A</v>
        <stp/>
        <stp>ddd081be-093a-4b86-9968-1845aacc33a4</stp>
        <tr r="G151" s="289"/>
      </tp>
    </main>
    <main first="rtdsrv.c479a260de824b17bb383de78c05dadf">
      <tp t="e">
        <v>#N/A</v>
        <stp/>
        <stp>12b978c2-c741-4819-b40d-3eb7a25a8824</stp>
        <tr r="M167" s="289"/>
      </tp>
    </main>
    <main first="rtdsrv.c479a260de824b17bb383de78c05dadf">
      <tp t="e">
        <v>#N/A</v>
        <stp/>
        <stp>ff35e733-1d1c-4dfa-89ae-e8c0cf6ee1a8</stp>
        <tr r="R6" s="284"/>
      </tp>
    </main>
    <main first="rtdsrv.c479a260de824b17bb383de78c05dadf">
      <tp t="e">
        <v>#N/A</v>
        <stp/>
        <stp>d5badb68-0c74-49b2-b964-395f4c783692</stp>
        <tr r="M151" s="289"/>
      </tp>
    </main>
    <main first="rtdsrv.c479a260de824b17bb383de78c05dadf">
      <tp t="e">
        <v>#N/A</v>
        <stp/>
        <stp>ee47b93e-982d-414b-8266-697bb6893183</stp>
        <tr r="R37" s="284"/>
      </tp>
      <tp t="e">
        <v>#N/A</v>
        <stp/>
        <stp>7adb06d4-6581-48de-82f6-99a4fe9791e2</stp>
        <tr r="G149" s="289"/>
      </tp>
    </main>
    <main first="rtdsrv.c479a260de824b17bb383de78c05dadf">
      <tp t="e">
        <v>#N/A</v>
        <stp/>
        <stp>4596d212-4706-4d19-b1ce-6e809a041b04</stp>
        <tr r="R16" s="284"/>
      </tp>
    </main>
    <main first="rtdsrv.c479a260de824b17bb383de78c05dadf">
      <tp t="e">
        <v>#N/A</v>
        <stp/>
        <stp>a1bad780-4c9a-4e6b-808e-cc1e7688823d</stp>
        <tr r="M92" s="289"/>
      </tp>
    </main>
    <main first="rtdsrv.c479a260de824b17bb383de78c05dadf">
      <tp t="e">
        <v>#N/A</v>
        <stp/>
        <stp>1a68493a-5eb0-4b18-8e04-d74c7e2cc871</stp>
        <tr r="G117" s="289"/>
      </tp>
    </main>
    <main first="rtdsrv.c479a260de824b17bb383de78c05dadf">
      <tp t="e">
        <v>#N/A</v>
        <stp/>
        <stp>680064a4-ede2-4096-9238-f4c452ff9ea6</stp>
        <tr r="G126" s="289"/>
      </tp>
    </main>
    <main first="rtdsrv.c479a260de824b17bb383de78c05dadf">
      <tp t="e">
        <v>#N/A</v>
        <stp/>
        <stp>67d720c8-8937-4191-81ad-3e4ebd4b1a58</stp>
        <tr r="G74" s="289"/>
      </tp>
    </main>
    <main first="rtdsrv.c479a260de824b17bb383de78c05dadf">
      <tp t="e">
        <v>#N/A</v>
        <stp/>
        <stp>bf5d1c64-989c-46a0-b211-008a444e276c</stp>
        <tr r="G178" s="289"/>
      </tp>
    </main>
    <main first="rtdsrv.c479a260de824b17bb383de78c05dadf">
      <tp t="e">
        <v>#N/A</v>
        <stp/>
        <stp>2aaf6e94-9db6-4f47-9d41-7e4e5795fb62</stp>
        <tr r="M89" s="289"/>
      </tp>
      <tp t="e">
        <v>#N/A</v>
        <stp/>
        <stp>ddc6e4ca-f310-42c8-a886-f1b4483911b1</stp>
        <tr r="M173" s="289"/>
      </tp>
      <tp t="e">
        <v>#N/A</v>
        <stp/>
        <stp>5bd56e74-3119-4f02-8a4e-69cc4dca8a18</stp>
        <tr r="R39" s="284"/>
      </tp>
      <tp t="e">
        <v>#N/A</v>
        <stp/>
        <stp>27919856-4f1a-4e54-93df-7ad7918495df</stp>
        <tr r="M96" s="289"/>
      </tp>
    </main>
    <main first="rtdsrv.c479a260de824b17bb383de78c05dadf">
      <tp t="e">
        <v>#N/A</v>
        <stp/>
        <stp>50bb4055-86f9-4b58-8a8c-9d2becc681f3</stp>
        <tr r="M86" s="289"/>
      </tp>
    </main>
    <main first="rtdsrv.c479a260de824b17bb383de78c05dadf">
      <tp t="e">
        <v>#N/A</v>
        <stp/>
        <stp>b8dc85f1-76b7-410f-aa65-423c80449f37</stp>
        <tr r="G197" s="289"/>
      </tp>
    </main>
    <main first="rtdsrv.c479a260de824b17bb383de78c05dadf">
      <tp t="e">
        <v>#N/A</v>
        <stp/>
        <stp>fd3b6440-400e-425a-8696-bf89cd36400a</stp>
        <tr r="M123" s="289"/>
      </tp>
    </main>
    <main first="rtdsrv.c479a260de824b17bb383de78c05dadf">
      <tp t="e">
        <v>#N/A</v>
        <stp/>
        <stp>8369317f-1077-4958-b6f0-c0f38e378671</stp>
        <tr r="G99" s="289"/>
      </tp>
    </main>
    <main first="rtdsrv.c479a260de824b17bb383de78c05dadf">
      <tp t="e">
        <v>#N/A</v>
        <stp/>
        <stp>ec617809-eea2-4bae-a0df-d0f737f7d6cd</stp>
        <tr r="G53" s="289"/>
      </tp>
    </main>
    <main first="rtdsrv.c479a260de824b17bb383de78c05dadf">
      <tp t="e">
        <v>#N/A</v>
        <stp/>
        <stp>417c7c1d-b8b5-4600-89d4-09c1a29f4a71</stp>
        <tr r="M127" s="289"/>
      </tp>
    </main>
    <main first="rtdsrv.c479a260de824b17bb383de78c05dadf">
      <tp t="e">
        <v>#N/A</v>
        <stp/>
        <stp>0f1856fa-8f15-4410-aff4-f53e045a91f7</stp>
        <tr r="M43" s="284"/>
      </tp>
      <tp t="e">
        <v>#N/A</v>
        <stp/>
        <stp>0a6fbd3a-d221-44ed-91db-79a302beed36</stp>
        <tr r="M70" s="289"/>
      </tp>
    </main>
    <main first="rtdsrv.c479a260de824b17bb383de78c05dadf">
      <tp t="e">
        <v>#N/A</v>
        <stp/>
        <stp>663441db-0b59-4d38-8e19-bf49fbeb2470</stp>
        <tr r="G56" s="289"/>
      </tp>
    </main>
    <main first="rtdsrv.c479a260de824b17bb383de78c05dadf">
      <tp t="e">
        <v>#N/A</v>
        <stp/>
        <stp>d8bba4cc-f35f-4a91-87d1-f4a12a3e5d85</stp>
        <tr r="M203" s="289"/>
      </tp>
    </main>
    <main first="rtdsrv.c479a260de824b17bb383de78c05dadf">
      <tp t="e">
        <v>#N/A</v>
        <stp/>
        <stp>157e680a-58a9-4ef6-b3ec-77295cd32291</stp>
        <tr r="M103" s="289"/>
      </tp>
    </main>
    <main first="rtdsrv.c479a260de824b17bb383de78c05dadf">
      <tp t="e">
        <v>#N/A</v>
        <stp/>
        <stp>6f65a6cf-7169-440f-a877-0f76d8042eb8</stp>
        <tr r="G133" s="289"/>
      </tp>
    </main>
    <main first="rtdsrv.c479a260de824b17bb383de78c05dadf">
      <tp t="e">
        <v>#N/A</v>
        <stp/>
        <stp>2cf97ea2-df3b-4d5c-94f2-b061b90a4ca0</stp>
        <tr r="G182" s="289"/>
      </tp>
    </main>
    <main first="rtdsrv.c479a260de824b17bb383de78c05dadf">
      <tp t="e">
        <v>#N/A</v>
        <stp/>
        <stp>d35e995f-5a89-40ae-9064-3a7df9adb96f</stp>
        <tr r="M159" s="289"/>
      </tp>
    </main>
    <main first="rtdsrv.c479a260de824b17bb383de78c05dadf">
      <tp t="e">
        <v>#N/A</v>
        <stp/>
        <stp>888cbb1e-dc76-4b2d-bac3-95e0deb2fde4</stp>
        <tr r="M29" s="289"/>
      </tp>
    </main>
    <main first="rtdsrv.c479a260de824b17bb383de78c05dadf">
      <tp t="e">
        <v>#N/A</v>
        <stp/>
        <stp>973a2475-7cf1-4be8-a04c-8f1f518c6b4c</stp>
        <tr r="M15" s="284"/>
      </tp>
    </main>
    <main first="rtdsrv.c479a260de824b17bb383de78c05dadf">
      <tp t="e">
        <v>#N/A</v>
        <stp/>
        <stp>dcaa58fd-935a-4a7a-976e-3957c5e464b5</stp>
        <tr r="M23" s="289"/>
      </tp>
    </main>
    <main first="rtdsrv.c479a260de824b17bb383de78c05dadf">
      <tp t="e">
        <v>#N/A</v>
        <stp/>
        <stp>4fdc3d4c-8a05-4277-bbea-c4823059da66</stp>
        <tr r="G46" s="289"/>
      </tp>
    </main>
    <main first="rtdsrv.c479a260de824b17bb383de78c05dadf">
      <tp t="e">
        <v>#N/A</v>
        <stp/>
        <stp>3bcbe9f7-3d05-4683-bff9-8471f5cf21bb</stp>
        <tr r="R10" s="284"/>
      </tp>
    </main>
    <main first="rtdsrv.c479a260de824b17bb383de78c05dadf">
      <tp t="e">
        <v>#N/A</v>
        <stp/>
        <stp>2ff95867-6558-4337-95d9-82356a935dec</stp>
        <tr r="G122" s="289"/>
      </tp>
      <tp t="e">
        <v>#N/A</v>
        <stp/>
        <stp>73832a98-de64-46d3-beb7-e840ef5255ce</stp>
        <tr r="M112" s="289"/>
      </tp>
      <tp t="e">
        <v>#N/A</v>
        <stp/>
        <stp>1d5a593b-5916-441c-aef2-e715ec452595</stp>
        <tr r="M147" s="289"/>
      </tp>
      <tp t="e">
        <v>#N/A</v>
        <stp/>
        <stp>743b4d5c-bbde-41a7-b994-12c13d731f2c</stp>
        <tr r="M63" s="289"/>
      </tp>
      <tp t="e">
        <v>#N/A</v>
        <stp/>
        <stp>ded27423-2592-4de5-be4b-efa9314ab9b4</stp>
        <tr r="G22" s="289"/>
      </tp>
    </main>
    <main first="rtdsrv.c479a260de824b17bb383de78c05dadf">
      <tp t="e">
        <v>#N/A</v>
        <stp/>
        <stp>5df1a220-d9ab-43f8-ab76-66add4077312</stp>
        <tr r="G164" s="289"/>
      </tp>
    </main>
    <main first="rtdsrv.c479a260de824b17bb383de78c05dadf">
      <tp t="e">
        <v>#N/A</v>
        <stp/>
        <stp>ecc19e8e-8be5-4ef2-8a77-860e01b410c2</stp>
        <tr r="M23" s="284"/>
      </tp>
      <tp t="e">
        <v>#N/A</v>
        <stp/>
        <stp>af3f7bfc-1f52-49e2-a3b8-f90f5da404e0</stp>
        <tr r="R36" s="284"/>
      </tp>
    </main>
    <main first="rtdsrv.c479a260de824b17bb383de78c05dadf">
      <tp t="e">
        <v>#N/A</v>
        <stp/>
        <stp>f4bad167-f89b-4ba3-9f35-e85f044ddcd0</stp>
        <tr r="M26" s="284"/>
      </tp>
    </main>
    <main first="rtdsrv.c479a260de824b17bb383de78c05dadf">
      <tp t="e">
        <v>#N/A</v>
        <stp/>
        <stp>3867469f-1147-4a66-8f4a-578d6ebe2cf2</stp>
        <tr r="G16" s="289"/>
      </tp>
    </main>
    <main first="rtdsrv.c479a260de824b17bb383de78c05dadf">
      <tp t="e">
        <v>#N/A</v>
        <stp/>
        <stp>711c7043-7339-45d9-bb06-cb6e3ebae452</stp>
        <tr r="M8" s="289"/>
      </tp>
      <tp t="e">
        <v>#N/A</v>
        <stp/>
        <stp>e6f85bbc-1f09-4ab7-a94c-f868caf2a369</stp>
        <tr r="M130" s="289"/>
      </tp>
    </main>
    <main first="rtdsrv.c479a260de824b17bb383de78c05dadf">
      <tp t="e">
        <v>#N/A</v>
        <stp/>
        <stp>e58a3845-1f4b-41a2-9c30-ada740ee0e7a</stp>
        <tr r="G153" s="289"/>
      </tp>
      <tp t="e">
        <v>#N/A</v>
        <stp/>
        <stp>d36008ca-6039-4acc-aee1-b22d7103f482</stp>
        <tr r="G49" s="289"/>
      </tp>
    </main>
    <main first="rtdsrv.c479a260de824b17bb383de78c05dadf">
      <tp t="e">
        <v>#N/A</v>
        <stp/>
        <stp>5c866cc3-3863-4dd8-80f5-938c3029cb3f</stp>
        <tr r="M27" s="284"/>
      </tp>
    </main>
    <main first="rtdsrv.c479a260de824b17bb383de78c05dadf">
      <tp t="e">
        <v>#N/A</v>
        <stp/>
        <stp>6a60adc2-f3be-4e4b-afcd-24afb934bdb8</stp>
        <tr r="M82" s="289"/>
      </tp>
    </main>
    <main first="rtdsrv.c479a260de824b17bb383de78c05dadf">
      <tp t="e">
        <v>#N/A</v>
        <stp/>
        <stp>28c847b7-45b4-45a3-b824-9c3edb41507a</stp>
        <tr r="G123" s="289"/>
      </tp>
      <tp t="e">
        <v>#N/A</v>
        <stp/>
        <stp>4c896e64-1bc3-4a80-8713-fbf45f007998</stp>
        <tr r="M38" s="284"/>
      </tp>
    </main>
    <main first="rtdsrv.c479a260de824b17bb383de78c05dadf">
      <tp t="e">
        <v>#N/A</v>
        <stp/>
        <stp>d53d0579-2fa1-4411-94ae-127ec9627b0c</stp>
        <tr r="G103" s="289"/>
      </tp>
      <tp t="e">
        <v>#N/A</v>
        <stp/>
        <stp>c4a211bc-6159-46f8-8903-f1e76b59ccfa</stp>
        <tr r="G94" s="289"/>
      </tp>
    </main>
    <main first="rtdsrv.c479a260de824b17bb383de78c05dadf">
      <tp t="e">
        <v>#N/A</v>
        <stp/>
        <stp>719d0d81-cebc-4497-a2a5-39f50e265724</stp>
        <tr r="M113" s="289"/>
      </tp>
      <tp t="e">
        <v>#N/A</v>
        <stp/>
        <stp>303ba1ec-81cc-42bc-9763-4cfc13332742</stp>
        <tr r="M160" s="289"/>
      </tp>
    </main>
    <main first="rtdsrv.c479a260de824b17bb383de78c05dadf">
      <tp t="e">
        <v>#N/A</v>
        <stp/>
        <stp>71799da7-c2ae-4b11-8a91-0e7a9d8554b4</stp>
        <tr r="M148" s="289"/>
      </tp>
      <tp t="e">
        <v>#N/A</v>
        <stp/>
        <stp>49405242-3b57-49a0-9d49-a97fb6edf878</stp>
        <tr r="M57" s="289"/>
      </tp>
    </main>
    <main first="rtdsrv.c479a260de824b17bb383de78c05dadf">
      <tp t="e">
        <v>#N/A</v>
        <stp/>
        <stp>e97f1c4b-4b10-49d3-aa63-17bc2369cde9</stp>
        <tr r="G136" s="289"/>
      </tp>
    </main>
    <main first="rtdsrv.c479a260de824b17bb383de78c05dadf">
      <tp t="e">
        <v>#N/A</v>
        <stp/>
        <stp>255ee964-d12a-44a5-87c9-9649954fd6a0</stp>
        <tr r="G145" s="289"/>
      </tp>
    </main>
    <main first="rtdsrv.c479a260de824b17bb383de78c05dadf">
      <tp t="e">
        <v>#N/A</v>
        <stp/>
        <stp>619a912b-9ca3-4dfe-9972-00500ec58494</stp>
        <tr r="G89" s="289"/>
      </tp>
    </main>
    <main first="rtdsrv.c479a260de824b17bb383de78c05dadf">
      <tp t="e">
        <v>#N/A</v>
        <stp/>
        <stp>00a10e8c-78c1-4f5d-8081-42a8c69fb001</stp>
        <tr r="G113" s="289"/>
      </tp>
    </main>
    <main first="rtdsrv.c479a260de824b17bb383de78c05dadf">
      <tp t="e">
        <v>#N/A</v>
        <stp/>
        <stp>6ec3f49a-2ed6-4a75-9024-0a0fc952c67c</stp>
        <tr r="R8" s="284"/>
      </tp>
    </main>
    <main first="rtdsrv.c479a260de824b17bb383de78c05dadf">
      <tp t="e">
        <v>#N/A</v>
        <stp/>
        <stp>e12ccd90-fbc4-4721-8e6a-6bccb9b61e6f</stp>
        <tr r="G70" s="289"/>
      </tp>
    </main>
    <main first="rtdsrv.c479a260de824b17bb383de78c05dadf">
      <tp t="e">
        <v>#N/A</v>
        <stp/>
        <stp>e88aa7d3-50f1-476c-b112-512e50e1cc4f</stp>
        <tr r="G25" s="289"/>
      </tp>
    </main>
    <main first="rtdsrv.c479a260de824b17bb383de78c05dadf">
      <tp t="e">
        <v>#N/A</v>
        <stp/>
        <stp>db521603-af63-4939-a754-c181a6795483</stp>
        <tr r="G146" s="289"/>
      </tp>
    </main>
    <main first="rtdsrv.c479a260de824b17bb383de78c05dadf">
      <tp t="e">
        <v>#N/A</v>
        <stp/>
        <stp>ddc8663c-129c-4415-9cdf-9d5c9d6218a0</stp>
        <tr r="G62" s="289"/>
      </tp>
    </main>
    <main first="rtdsrv.c479a260de824b17bb383de78c05dadf">
      <tp t="e">
        <v>#N/A</v>
        <stp/>
        <stp>7ce0eebf-01b9-4d02-9094-8dad91b5fbff</stp>
        <tr r="M71" s="289"/>
      </tp>
    </main>
    <main first="rtdsrv.c479a260de824b17bb383de78c05dadf">
      <tp t="e">
        <v>#N/A</v>
        <stp/>
        <stp>05ddd11d-6721-4c42-949d-9a5b23515aca</stp>
        <tr r="M77" s="289"/>
      </tp>
    </main>
    <main first="rtdsrv.c479a260de824b17bb383de78c05dadf">
      <tp t="e">
        <v>#N/A</v>
        <stp/>
        <stp>f7e9bfb8-488b-469b-b160-a9f27aea5cff</stp>
        <tr r="M129" s="289"/>
      </tp>
      <tp t="e">
        <v>#N/A</v>
        <stp/>
        <stp>2f734977-58d9-432a-803c-fcc22c0662b8</stp>
        <tr r="R33" s="284"/>
      </tp>
      <tp t="e">
        <v>#N/A</v>
        <stp/>
        <stp>9e819fad-3cf3-479b-a59f-45272f5f621f</stp>
        <tr r="M184" s="289"/>
      </tp>
      <tp t="e">
        <v>#N/A</v>
        <stp/>
        <stp>fd7adca6-7b70-42c2-b6c8-18dc45591f6d</stp>
        <tr r="M177" s="289"/>
      </tp>
    </main>
    <main first="rtdsrv.c479a260de824b17bb383de78c05dadf">
      <tp t="e">
        <v>#N/A</v>
        <stp/>
        <stp>2d873d11-f953-4489-ba77-27a1417a0d9f</stp>
        <tr r="M85" s="289"/>
      </tp>
    </main>
    <main first="rtdsrv.c479a260de824b17bb383de78c05dadf">
      <tp t="e">
        <v>#N/A</v>
        <stp/>
        <stp>ef8ffbda-be82-4938-960a-40717d690079</stp>
        <tr r="M78" s="289"/>
      </tp>
      <tp t="e">
        <v>#N/A</v>
        <stp/>
        <stp>30adc80f-d005-43ff-b6ff-8eb35227219d</stp>
        <tr r="G163" s="289"/>
      </tp>
    </main>
    <main first="rtdsrv.c479a260de824b17bb383de78c05dadf">
      <tp t="e">
        <v>#N/A</v>
        <stp/>
        <stp>5f6e0c3e-3583-40ce-a686-cdb3326f24a2</stp>
        <tr r="M98" s="289"/>
      </tp>
    </main>
    <main first="rtdsrv.c479a260de824b17bb383de78c05dadf">
      <tp t="e">
        <v>#N/A</v>
        <stp/>
        <stp>57110ed9-80a5-4903-acc7-b7cb5e53aa2d</stp>
        <tr r="G55" s="289"/>
      </tp>
      <tp t="e">
        <v>#N/A</v>
        <stp/>
        <stp>01556e75-d5dd-4ef5-ba37-14cde217b9d5</stp>
        <tr r="G104" s="289"/>
      </tp>
    </main>
    <main first="rtdsrv.c479a260de824b17bb383de78c05dadf">
      <tp t="e">
        <v>#N/A</v>
        <stp/>
        <stp>2d7e3b41-63db-4670-8186-dac30c6fd3d4</stp>
        <tr r="G75" s="289"/>
      </tp>
    </main>
    <main first="rtdsrv.c479a260de824b17bb383de78c05dadf">
      <tp t="e">
        <v>#N/A</v>
        <stp/>
        <stp>ad550397-60b8-48c6-a1ea-c80307a3248c</stp>
        <tr r="G179" s="289"/>
      </tp>
    </main>
    <main first="rtdsrv.c479a260de824b17bb383de78c05dadf">
      <tp t="e">
        <v>#N/A</v>
        <stp/>
        <stp>5e8696a5-95d4-48d1-b30c-8093004a8b76</stp>
        <tr r="M52" s="289"/>
      </tp>
    </main>
    <main first="rtdsrv.c479a260de824b17bb383de78c05dadf">
      <tp t="e">
        <v>#N/A</v>
        <stp/>
        <stp>e16f688e-8cb2-430b-a1cb-991e4d36dd16</stp>
        <tr r="G131" s="289"/>
      </tp>
    </main>
    <main first="rtdsrv.c479a260de824b17bb383de78c05dadf">
      <tp t="e">
        <v>#N/A</v>
        <stp/>
        <stp>49b1caf4-49b6-48fb-95be-ee1016efd611</stp>
        <tr r="G191" s="289"/>
      </tp>
    </main>
    <main first="rtdsrv.c479a260de824b17bb383de78c05dadf">
      <tp t="e">
        <v>#N/A</v>
        <stp/>
        <stp>50c9970e-c6ce-45c0-87cf-1b0868abdd1e</stp>
        <tr r="G170" s="289"/>
      </tp>
    </main>
    <main first="rtdsrv.c479a260de824b17bb383de78c05dadf">
      <tp t="e">
        <v>#N/A</v>
        <stp/>
        <stp>a8f64b09-7b9f-44b3-b81b-cd2ddc36fa68</stp>
        <tr r="G34" s="289"/>
      </tp>
    </main>
    <main first="rtdsrv.c479a260de824b17bb383de78c05dadf">
      <tp t="e">
        <v>#N/A</v>
        <stp/>
        <stp>e644fab2-cfc3-4e85-bd8c-acf09f5005d3</stp>
        <tr r="G154" s="289"/>
      </tp>
    </main>
    <main first="rtdsrv.c479a260de824b17bb383de78c05dadf">
      <tp t="e">
        <v>#N/A</v>
        <stp/>
        <stp>05a5acb6-2a05-41e9-9391-26ea5c7938dd</stp>
        <tr r="G32" s="289"/>
      </tp>
    </main>
    <main first="rtdsrv.c479a260de824b17bb383de78c05dadf">
      <tp t="e">
        <v>#N/A</v>
        <stp/>
        <stp>09b170f4-6c77-469f-adde-459132df837a</stp>
        <tr r="G13" s="289"/>
      </tp>
    </main>
    <main first="rtdsrv.c479a260de824b17bb383de78c05dadf">
      <tp t="e">
        <v>#N/A</v>
        <stp/>
        <stp>3a146ca1-b3c5-4a45-b195-43ff05811caf</stp>
        <tr r="G38" s="289"/>
      </tp>
    </main>
    <main first="rtdsrv.c479a260de824b17bb383de78c05dadf">
      <tp t="e">
        <v>#N/A</v>
        <stp/>
        <stp>fa50f7c3-0082-45cd-8b8d-c5ba9a085fb1</stp>
        <tr r="M171" s="289"/>
      </tp>
      <tp t="e">
        <v>#N/A</v>
        <stp/>
        <stp>385f1f0b-8f1f-4fa9-b1d7-2b639fff8762</stp>
        <tr r="G39" s="289"/>
      </tp>
    </main>
    <main first="rtdsrv.c479a260de824b17bb383de78c05dadf">
      <tp t="e">
        <v>#N/A</v>
        <stp/>
        <stp>ee4c979e-faca-4703-98cf-ed972017282a</stp>
        <tr r="M204" s="289"/>
      </tp>
    </main>
    <main first="rtdsrv.c479a260de824b17bb383de78c05dadf">
      <tp t="e">
        <v>#N/A</v>
        <stp/>
        <stp>c57c2ca8-fefb-4f6c-9ebe-d9fec61f7645</stp>
        <tr r="M10" s="289"/>
      </tp>
    </main>
    <main first="rtdsrv.c479a260de824b17bb383de78c05dadf">
      <tp t="e">
        <v>#N/A</v>
        <stp/>
        <stp>55b52f6d-9381-48af-b8a3-d19460a06d57</stp>
        <tr r="M101" s="289"/>
      </tp>
    </main>
    <main first="rtdsrv.c479a260de824b17bb383de78c05dadf">
      <tp t="e">
        <v>#N/A</v>
        <stp/>
        <stp>57de7a55-1867-4ff8-aaac-871a617af011</stp>
        <tr r="G180" s="289"/>
      </tp>
    </main>
    <main first="rtdsrv.c479a260de824b17bb383de78c05dadf">
      <tp t="e">
        <v>#N/A</v>
        <stp/>
        <stp>9d521d66-a86f-44d2-a5ff-3462e8178187</stp>
        <tr r="M43" s="289"/>
      </tp>
    </main>
    <main first="rtdsrv.c479a260de824b17bb383de78c05dadf">
      <tp t="e">
        <v>#N/A</v>
        <stp/>
        <stp>e81ea0d1-a6f6-4db1-83ff-e7de53665212</stp>
        <tr r="M117" s="289"/>
      </tp>
    </main>
    <main first="rtdsrv.c479a260de824b17bb383de78c05dadf">
      <tp t="e">
        <v>#N/A</v>
        <stp/>
        <stp>a8cbe3ea-2764-4848-9032-95d7a8ab57b1</stp>
        <tr r="M87" s="289"/>
      </tp>
    </main>
    <main first="rtdsrv.c479a260de824b17bb383de78c05dadf">
      <tp t="e">
        <v>#N/A</v>
        <stp/>
        <stp>c349e767-ed10-4ab6-9789-cf694e487d38</stp>
        <tr r="G141" s="289"/>
      </tp>
    </main>
    <main first="rtdsrv.c479a260de824b17bb383de78c05dadf">
      <tp t="e">
        <v>#N/A</v>
        <stp/>
        <stp>cb042e72-d4d2-4337-953a-ef8644a3eb86</stp>
        <tr r="G139" s="289"/>
      </tp>
      <tp t="e">
        <v>#N/A</v>
        <stp/>
        <stp>00f7a676-dfda-4c3a-b88e-1d9b498601c7</stp>
        <tr r="R4" s="284"/>
      </tp>
    </main>
    <main first="rtdsrv.c479a260de824b17bb383de78c05dadf">
      <tp t="e">
        <v>#N/A</v>
        <stp/>
        <stp>76c895eb-3a35-4c17-9eb5-abdefe422522</stp>
        <tr r="G195" s="289"/>
      </tp>
    </main>
    <main first="rtdsrv.c479a260de824b17bb383de78c05dadf">
      <tp t="e">
        <v>#N/A</v>
        <stp/>
        <stp>2c598b8e-7280-451d-9de7-ba96cc368b41</stp>
        <tr r="G201" s="289"/>
      </tp>
    </main>
    <main first="rtdsrv.c479a260de824b17bb383de78c05dadf">
      <tp t="e">
        <v>#N/A</v>
        <stp/>
        <stp>e2826088-9b91-4513-8584-511c2cae451f</stp>
        <tr r="M182" s="289"/>
      </tp>
    </main>
    <main first="rtdsrv.c479a260de824b17bb383de78c05dadf">
      <tp t="e">
        <v>#N/A</v>
        <stp/>
        <stp>3f637aef-3c3f-4545-9307-42e95a33d515</stp>
        <tr r="M31" s="289"/>
      </tp>
    </main>
    <main first="rtdsrv.c479a260de824b17bb383de78c05dadf">
      <tp t="e">
        <v>#N/A</v>
        <stp/>
        <stp>1519e436-5ae1-45ff-97ed-bbac01e763b2</stp>
        <tr r="R41" s="284"/>
      </tp>
      <tp t="e">
        <v>#N/A</v>
        <stp/>
        <stp>baf10fb1-36d3-488a-ac23-4167a8edf936</stp>
        <tr r="M33" s="289"/>
      </tp>
    </main>
    <main first="rtdsrv.c479a260de824b17bb383de78c05dadf">
      <tp t="e">
        <v>#N/A</v>
        <stp/>
        <stp>c7b98ada-d96b-4de4-89fd-5462e73ea488</stp>
        <tr r="G12" s="289"/>
      </tp>
      <tp t="e">
        <v>#N/A</v>
        <stp/>
        <stp>ba2e05a8-6d0b-4e4e-ace6-3b10de13f2fc</stp>
        <tr r="G134" s="289"/>
      </tp>
    </main>
    <main first="rtdsrv.c479a260de824b17bb383de78c05dadf">
      <tp t="e">
        <v>#N/A</v>
        <stp/>
        <stp>614fe451-6a99-4b30-b94d-5bae3283d080</stp>
        <tr r="M9" s="284"/>
      </tp>
      <tp t="e">
        <v>#N/A</v>
        <stp/>
        <stp>a3fdec28-aa0c-4aad-8e24-be8024805adb</stp>
        <tr r="M62" s="289"/>
      </tp>
      <tp t="e">
        <v>#N/A</v>
        <stp/>
        <stp>898ce5a7-db30-46ab-9deb-43a763d68899</stp>
        <tr r="M133" s="289"/>
      </tp>
    </main>
    <main first="rtdsrv.c479a260de824b17bb383de78c05dadf">
      <tp t="e">
        <v>#N/A</v>
        <stp/>
        <stp>24269abe-f9b5-4b85-b5bb-49c6f819c20e</stp>
        <tr r="M195" s="289"/>
      </tp>
    </main>
    <main first="rtdsrv.c479a260de824b17bb383de78c05dadf">
      <tp t="e">
        <v>#N/A</v>
        <stp/>
        <stp>b3cfbcbc-e9ef-41f4-8dbf-02fe2ce67e3f</stp>
        <tr r="G11" s="289"/>
      </tp>
    </main>
    <main first="rtdsrv.c479a260de824b17bb383de78c05dadf">
      <tp t="e">
        <v>#N/A</v>
        <stp/>
        <stp>0d3f7f90-e470-4b21-906b-97d4f31393fe</stp>
        <tr r="G98" s="289"/>
      </tp>
      <tp t="e">
        <v>#N/A</v>
        <stp/>
        <stp>bed893be-e703-445f-88a8-232b26bcef5f</stp>
        <tr r="M79" s="289"/>
      </tp>
    </main>
    <main first="rtdsrv.c479a260de824b17bb383de78c05dadf">
      <tp t="e">
        <v>#N/A</v>
        <stp/>
        <stp>60a206d5-727b-4513-a1d4-fb0580baabb1</stp>
        <tr r="M17" s="289"/>
      </tp>
    </main>
    <main first="rtdsrv.c479a260de824b17bb383de78c05dadf">
      <tp t="e">
        <v>#N/A</v>
        <stp/>
        <stp>7e85b1e5-8964-40ac-8a22-10fb7c34e82c</stp>
        <tr r="G78" s="289"/>
      </tp>
    </main>
    <main first="rtdsrv.c479a260de824b17bb383de78c05dadf">
      <tp t="e">
        <v>#N/A</v>
        <stp/>
        <stp>243bb92f-8e11-48eb-851c-1e719b232769</stp>
        <tr r="M64" s="289"/>
      </tp>
      <tp t="e">
        <v>#N/A</v>
        <stp/>
        <stp>a473db05-b5ac-4d26-b577-d67a73e4ffc7</stp>
        <tr r="M125" s="289"/>
      </tp>
    </main>
    <main first="rtdsrv.c479a260de824b17bb383de78c05dadf">
      <tp t="e">
        <v>#N/A</v>
        <stp/>
        <stp>20d07a76-dacc-4ebf-9433-f9e848c7d727</stp>
        <tr r="M164" s="289"/>
      </tp>
      <tp t="e">
        <v>#N/A</v>
        <stp/>
        <stp>2bb70f40-68e0-44bb-b43d-a1997209e699</stp>
        <tr r="G185" s="289"/>
      </tp>
      <tp t="e">
        <v>#N/A</v>
        <stp/>
        <stp>c469c188-a8ff-4c60-abd9-947e402e8b08</stp>
        <tr r="G10" s="289"/>
      </tp>
      <tp t="e">
        <v>#N/A</v>
        <stp/>
        <stp>dc8c918c-7c11-430b-83cd-eb6b8e921525</stp>
        <tr r="M15" s="289"/>
      </tp>
      <tp t="e">
        <v>#N/A</v>
        <stp/>
        <stp>39bad421-7523-46a5-a778-032049efcd02</stp>
        <tr r="G129" s="289"/>
      </tp>
      <tp t="e">
        <v>#N/A</v>
        <stp/>
        <stp>f5f7b8ae-a574-4e36-8f39-24cef9edc263</stp>
        <tr r="M180" s="289"/>
      </tp>
    </main>
    <main first="rtdsrv.c479a260de824b17bb383de78c05dadf">
      <tp t="e">
        <v>#N/A</v>
        <stp/>
        <stp>bd2e7f7d-a716-4a6e-a217-5e882aa71ede</stp>
        <tr r="G90" s="289"/>
      </tp>
      <tp t="e">
        <v>#N/A</v>
        <stp/>
        <stp>97af71eb-1539-4af5-bb18-c46505b3edeb</stp>
        <tr r="M165" s="289"/>
      </tp>
      <tp t="e">
        <v>#N/A</v>
        <stp/>
        <stp>8209ed2b-4940-4a52-ba7f-f2b26aff3bff</stp>
        <tr r="M13" s="284"/>
      </tp>
    </main>
    <main first="rtdsrv.c479a260de824b17bb383de78c05dadf">
      <tp t="e">
        <v>#N/A</v>
        <stp/>
        <stp>a13987aa-2961-4dab-8ac5-57b04a12551c</stp>
        <tr r="G137" s="289"/>
      </tp>
    </main>
    <main first="rtdsrv.c479a260de824b17bb383de78c05dadf">
      <tp t="e">
        <v>#N/A</v>
        <stp/>
        <stp>15da8f3d-8469-4191-bd2b-893dea71bf8c</stp>
        <tr r="M12" s="284"/>
      </tp>
      <tp t="e">
        <v>#N/A</v>
        <stp/>
        <stp>559e426c-d77e-484c-91e9-5c28c106baad</stp>
        <tr r="M6" s="284"/>
      </tp>
    </main>
    <main first="rtdsrv.c479a260de824b17bb383de78c05dadf">
      <tp t="e">
        <v>#N/A</v>
        <stp/>
        <stp>962daa68-d349-41cf-9348-5286211284ef</stp>
        <tr r="G124" s="289"/>
      </tp>
      <tp t="e">
        <v>#N/A</v>
        <stp/>
        <stp>5e186a18-91a9-4a8a-9a95-ed655ce0a476</stp>
        <tr r="M178" s="289"/>
      </tp>
    </main>
    <main first="rtdsrv.c479a260de824b17bb383de78c05dadf">
      <tp t="e">
        <v>#N/A</v>
        <stp/>
        <stp>4674b741-2516-49b7-8e2e-d77a42427e11</stp>
        <tr r="G28" s="289"/>
      </tp>
      <tp t="e">
        <v>#N/A</v>
        <stp/>
        <stp>9597379e-6e5c-4b43-bf0f-56d6f3e5bdd7</stp>
        <tr r="G168" s="289"/>
      </tp>
    </main>
    <main first="rtdsrv.c479a260de824b17bb383de78c05dadf">
      <tp t="e">
        <v>#N/A</v>
        <stp/>
        <stp>77e9797c-2524-4fd3-b1eb-476e098762f2</stp>
        <tr r="M26" s="289"/>
      </tp>
    </main>
    <main first="rtdsrv.c479a260de824b17bb383de78c05dadf">
      <tp t="e">
        <v>#N/A</v>
        <stp/>
        <stp>1f3d6bf7-87a3-42a9-92a3-c4b55280e711</stp>
        <tr r="G17" s="289"/>
      </tp>
    </main>
    <main first="rtdsrv.c479a260de824b17bb383de78c05dadf">
      <tp t="e">
        <v>#N/A</v>
        <stp/>
        <stp>df85bafe-d266-4f77-8b9a-59229202c31c</stp>
        <tr r="M39" s="289"/>
      </tp>
    </main>
    <main first="rtdsrv.c479a260de824b17bb383de78c05dadf">
      <tp t="e">
        <v>#N/A</v>
        <stp/>
        <stp>416b8177-d46d-4b05-912c-68828817c6c4</stp>
        <tr r="G95" s="289"/>
      </tp>
    </main>
    <main first="rtdsrv.c479a260de824b17bb383de78c05dadf">
      <tp t="e">
        <v>#N/A</v>
        <stp/>
        <stp>4da4975b-0b9c-4173-bffe-27d635de4a5b</stp>
        <tr r="M206" s="289"/>
      </tp>
    </main>
    <main first="rtdsrv.c479a260de824b17bb383de78c05dadf">
      <tp t="e">
        <v>#N/A</v>
        <stp/>
        <stp>b191ca8f-9bf0-4609-b1d1-85a9eba19671</stp>
        <tr r="G125" s="289"/>
      </tp>
    </main>
    <main first="rtdsrv.c479a260de824b17bb383de78c05dadf">
      <tp t="e">
        <v>#N/A</v>
        <stp/>
        <stp>c593a1b9-cc87-437a-b8d8-c549f1fea38f</stp>
        <tr r="M175" s="289"/>
      </tp>
    </main>
    <main first="rtdsrv.c479a260de824b17bb383de78c05dadf">
      <tp t="e">
        <v>#N/A</v>
        <stp/>
        <stp>763fb266-3cbd-49f6-b1ff-a54fcf9a8adc</stp>
        <tr r="G23" s="289"/>
      </tp>
    </main>
    <main first="rtdsrv.c479a260de824b17bb383de78c05dadf">
      <tp t="e">
        <v>#N/A</v>
        <stp/>
        <stp>285a36dd-4fc6-4954-9e8b-8ca936e6b7ba</stp>
        <tr r="M145" s="289"/>
      </tp>
    </main>
    <main first="rtdsrv.c479a260de824b17bb383de78c05dadf">
      <tp t="e">
        <v>#N/A</v>
        <stp/>
        <stp>7cf24307-8c8e-4e83-9eff-d7604894effb</stp>
        <tr r="G187" s="289"/>
      </tp>
    </main>
    <main first="rtdsrv.c479a260de824b17bb383de78c05dadf">
      <tp t="e">
        <v>#N/A</v>
        <stp/>
        <stp>785a5404-a77f-4698-a80d-ca8c24a94d58</stp>
        <tr r="M205" s="289"/>
      </tp>
      <tp t="e">
        <v>#N/A</v>
        <stp/>
        <stp>c625fff3-f291-4825-8d02-e03203924de0</stp>
        <tr r="M183" s="289"/>
      </tp>
    </main>
    <main first="rtdsrv.c479a260de824b17bb383de78c05dadf">
      <tp t="e">
        <v>#N/A</v>
        <stp/>
        <stp>1ea362c6-f223-4dae-804b-b86a0489a8ee</stp>
        <tr r="G69" s="289"/>
      </tp>
    </main>
    <main first="rtdsrv.c479a260de824b17bb383de78c05dadf">
      <tp t="e">
        <v>#N/A</v>
        <stp/>
        <stp>b8950073-e83d-4d40-acf8-f9e4a4f4ab32</stp>
        <tr r="M193" s="289"/>
      </tp>
    </main>
    <main first="rtdsrv.c479a260de824b17bb383de78c05dadf">
      <tp t="e">
        <v>#N/A</v>
        <stp/>
        <stp>0d268897-a4be-435b-a5c0-984a03c17ce5</stp>
        <tr r="G100" s="289"/>
      </tp>
    </main>
    <main first="rtdsrv.c479a260de824b17bb383de78c05dadf">
      <tp t="e">
        <v>#N/A</v>
        <stp/>
        <stp>a2f92d79-9fae-4e00-8f7e-900ec478b87a</stp>
        <tr r="G189" s="289"/>
      </tp>
      <tp t="e">
        <v>#N/A</v>
        <stp/>
        <stp>67c92aee-f02f-49a2-9cb3-14a53cf10ca8</stp>
        <tr r="G200" s="289"/>
      </tp>
      <tp t="e">
        <v>#N/A</v>
        <stp/>
        <stp>1fd0c028-b2b4-4344-aebf-56aef9568969</stp>
        <tr r="M32" s="289"/>
      </tp>
      <tp t="e">
        <v>#N/A</v>
        <stp/>
        <stp>900692ff-bbe4-4574-875d-3fba56d5ae0d</stp>
        <tr r="G73" s="289"/>
      </tp>
    </main>
    <main first="rtdsrv.c479a260de824b17bb383de78c05dadf">
      <tp t="e">
        <v>#N/A</v>
        <stp/>
        <stp>87c4198e-876e-4685-8667-e789a26f3d22</stp>
        <tr r="G172" s="289"/>
      </tp>
      <tp t="e">
        <v>#N/A</v>
        <stp/>
        <stp>172009b0-055b-4c6a-8fe0-6474c90adc75</stp>
        <tr r="M35" s="289"/>
      </tp>
    </main>
    <main first="rtdsrv.c479a260de824b17bb383de78c05dadf">
      <tp t="e">
        <v>#N/A</v>
        <stp/>
        <stp>90d4d315-46bb-4294-b42c-37c777646e0c</stp>
        <tr r="M20" s="289"/>
      </tp>
    </main>
    <main first="rtdsrv.c479a260de824b17bb383de78c05dadf">
      <tp t="e">
        <v>#N/A</v>
        <stp/>
        <stp>fea7346e-6260-4923-866c-f3683687f3a5</stp>
        <tr r="M110" s="289"/>
      </tp>
      <tp t="e">
        <v>#N/A</v>
        <stp/>
        <stp>48d31723-9e1f-4ceb-b61f-4a9b664dff64</stp>
        <tr r="R27" s="284"/>
      </tp>
    </main>
    <main first="rtdsrv.c479a260de824b17bb383de78c05dadf">
      <tp t="e">
        <v>#N/A</v>
        <stp/>
        <stp>22bdbad0-4d30-4241-91c2-0dbd1aee4d85</stp>
        <tr r="M51" s="289"/>
      </tp>
      <tp t="e">
        <v>#N/A</v>
        <stp/>
        <stp>855a9749-c86b-41f3-bb0e-8e759ab602e2</stp>
        <tr r="G202" s="289"/>
      </tp>
      <tp t="e">
        <v>#N/A</v>
        <stp/>
        <stp>59c7cd0e-0ade-408e-b569-08ba9ca341da</stp>
        <tr r="G156" s="289"/>
      </tp>
      <tp t="e">
        <v>#N/A</v>
        <stp/>
        <stp>dc9ef496-c7ca-43cd-8e6d-52d2b239f561</stp>
        <tr r="M36" s="284"/>
      </tp>
    </main>
    <main first="rtdsrv.c479a260de824b17bb383de78c05dadf">
      <tp t="e">
        <v>#N/A</v>
        <stp/>
        <stp>c39a2693-7e2e-4390-97ed-674e21e242f9</stp>
        <tr r="G167" s="289"/>
      </tp>
    </main>
    <main first="rtdsrv.c479a260de824b17bb383de78c05dadf">
      <tp t="e">
        <v>#N/A</v>
        <stp/>
        <stp>60242617-2b94-4733-a653-7df3fc583f5e</stp>
        <tr r="M169" s="289"/>
      </tp>
    </main>
    <main first="rtdsrv.c479a260de824b17bb383de78c05dadf">
      <tp t="e">
        <v>#N/A</v>
        <stp/>
        <stp>4e3435bd-537e-40aa-bae6-b2940f276fe7</stp>
        <tr r="G64" s="289"/>
      </tp>
      <tp t="e">
        <v>#N/A</v>
        <stp/>
        <stp>9fdab588-3d33-4e52-8a70-fadd42b45e4f</stp>
        <tr r="M27" s="289"/>
      </tp>
    </main>
    <main first="rtdsrv.c479a260de824b17bb383de78c05dadf">
      <tp t="e">
        <v>#N/A</v>
        <stp/>
        <stp>9de3f16d-455b-42e7-b8cb-b36247401bd2</stp>
        <tr r="G193" s="289"/>
      </tp>
    </main>
    <main first="rtdsrv.c479a260de824b17bb383de78c05dadf">
      <tp t="e">
        <v>#N/A</v>
        <stp/>
        <stp>26a695af-0a2c-4b0e-8d03-e1895151f584</stp>
        <tr r="G115" s="289"/>
      </tp>
    </main>
    <main first="rtdsrv.c479a260de824b17bb383de78c05dadf">
      <tp t="e">
        <v>#N/A</v>
        <stp/>
        <stp>dd12ca6f-3702-4d7f-a80e-fbf2b2323cde</stp>
        <tr r="M150" s="289"/>
      </tp>
    </main>
    <main first="rtdsrv.c479a260de824b17bb383de78c05dadf">
      <tp t="e">
        <v>#N/A</v>
        <stp/>
        <stp>4e4d54d7-b267-4f26-832b-f7b1e56daf1b</stp>
        <tr r="G36" s="289"/>
      </tp>
      <tp t="e">
        <v>#N/A</v>
        <stp/>
        <stp>020f015c-eeb9-43dc-a823-cb5e2509733b</stp>
        <tr r="G166" s="289"/>
      </tp>
    </main>
    <main first="rtdsrv.c479a260de824b17bb383de78c05dadf">
      <tp t="e">
        <v>#N/A</v>
        <stp/>
        <stp>4a9028d0-6bf2-4b70-9618-98948adf1d12</stp>
        <tr r="M16" s="289"/>
      </tp>
    </main>
    <main first="rtdsrv.c479a260de824b17bb383de78c05dadf">
      <tp t="e">
        <v>#N/A</v>
        <stp/>
        <stp>1b0d1589-5abe-4d72-a854-974ca70e1648</stp>
        <tr r="G14" s="289"/>
      </tp>
    </main>
    <main first="rtdsrv.c479a260de824b17bb383de78c05dadf">
      <tp t="e">
        <v>#N/A</v>
        <stp/>
        <stp>dc609bed-b2d1-49ae-905f-23e08d2c86c3</stp>
        <tr r="G57" s="289"/>
      </tp>
    </main>
    <main first="rtdsrv.c479a260de824b17bb383de78c05dadf">
      <tp t="e">
        <v>#N/A</v>
        <stp/>
        <stp>4ec8d092-1428-49c2-b0ee-53c621c74c3e</stp>
        <tr r="M131" s="289"/>
      </tp>
    </main>
    <main first="rtdsrv.c479a260de824b17bb383de78c05dadf">
      <tp t="e">
        <v>#N/A</v>
        <stp/>
        <stp>05b47fc0-355f-44ca-892f-5d856aec0d0f</stp>
        <tr r="M181" s="289"/>
      </tp>
    </main>
    <main first="rtdsrv.c479a260de824b17bb383de78c05dadf">
      <tp t="e">
        <v>#N/A</v>
        <stp/>
        <stp>049b07a7-7203-4a3a-b73a-3254bbb7fdc9</stp>
        <tr r="G80" s="289"/>
      </tp>
    </main>
    <main first="rtdsrv.c479a260de824b17bb383de78c05dadf">
      <tp t="e">
        <v>#N/A</v>
        <stp/>
        <stp>e78b9342-c4d9-4bb7-91f1-ba73e0491572</stp>
        <tr r="G199" s="289"/>
      </tp>
    </main>
    <main first="rtdsrv.c479a260de824b17bb383de78c05dadf">
      <tp t="e">
        <v>#N/A</v>
        <stp/>
        <stp>5d1ec1b8-9b1d-48c2-9b1b-f00924a959a4</stp>
        <tr r="M97" s="289"/>
      </tp>
      <tp t="e">
        <v>#N/A</v>
        <stp/>
        <stp>c7280c56-3c2f-44ec-8e5e-446abcb0e441</stp>
        <tr r="M152" s="289"/>
      </tp>
      <tp t="e">
        <v>#N/A</v>
        <stp/>
        <stp>01c37494-9a47-4cba-8f83-c49a0bc11a4f</stp>
        <tr r="M94" s="289"/>
      </tp>
    </main>
    <main first="rtdsrv.c479a260de824b17bb383de78c05dadf">
      <tp t="e">
        <v>#N/A</v>
        <stp/>
        <stp>04d330f2-9d3e-422a-a224-28c7e3d31707</stp>
        <tr r="M24" s="289"/>
      </tp>
      <tp t="e">
        <v>#N/A</v>
        <stp/>
        <stp>8b641c18-7ed7-48fd-a572-c4cf340d67fa</stp>
        <tr r="G88" s="289"/>
      </tp>
    </main>
    <main first="rtdsrv.c479a260de824b17bb383de78c05dadf">
      <tp t="e">
        <v>#N/A</v>
        <stp/>
        <stp>9b5400ea-64d5-4055-8216-ae89feee22f3</stp>
        <tr r="G138" s="289"/>
      </tp>
      <tp t="e">
        <v>#N/A</v>
        <stp/>
        <stp>668fe1e4-87f6-497d-badf-336d68d4ef29</stp>
        <tr r="G128" s="289"/>
      </tp>
    </main>
    <main first="rtdsrv.c479a260de824b17bb383de78c05dadf">
      <tp t="e">
        <v>#N/A</v>
        <stp/>
        <stp>7fb906ee-b8c6-4816-9635-93f593640e7e</stp>
        <tr r="G21" s="289"/>
      </tp>
    </main>
    <main first="rtdsrv.c479a260de824b17bb383de78c05dadf">
      <tp t="e">
        <v>#N/A</v>
        <stp/>
        <stp>ea5af34b-eed1-43a5-9743-ef3a9cc1eb43</stp>
        <tr r="M207" s="289"/>
      </tp>
    </main>
    <main first="rtdsrv.c479a260de824b17bb383de78c05dadf">
      <tp t="e">
        <v>#N/A</v>
        <stp/>
        <stp>e2c591f3-6bc0-4d81-9512-819c63df9f83</stp>
        <tr r="G43" s="289"/>
      </tp>
    </main>
    <main first="rtdsrv.c479a260de824b17bb383de78c05dadf">
      <tp t="e">
        <v>#N/A</v>
        <stp/>
        <stp>fd8d2b5c-871d-4a06-9064-93423888dd30</stp>
        <tr r="M109" s="289"/>
      </tp>
    </main>
    <main first="rtdsrv.c479a260de824b17bb383de78c05dadf">
      <tp t="e">
        <v>#N/A</v>
        <stp/>
        <stp>23067bf1-468f-44a5-984c-f62dc6f1c5a6</stp>
        <tr r="M161" s="289"/>
      </tp>
    </main>
    <main first="rtdsrv.c479a260de824b17bb383de78c05dadf">
      <tp t="e">
        <v>#N/A</v>
        <stp/>
        <stp>728a8273-76da-4604-811e-daecb5fd97e9</stp>
        <tr r="M41" s="284"/>
      </tp>
    </main>
    <main first="rtdsrv.c479a260de824b17bb383de78c05dadf">
      <tp t="e">
        <v>#N/A</v>
        <stp/>
        <stp>af4da796-2339-4ff8-9369-830119739699</stp>
        <tr r="G45" s="289"/>
      </tp>
    </main>
    <main first="rtdsrv.c479a260de824b17bb383de78c05dadf">
      <tp t="e">
        <v>#N/A</v>
        <stp/>
        <stp>648027ae-7d86-4037-b00d-1ce1e597d498</stp>
        <tr r="M156" s="289"/>
      </tp>
      <tp t="e">
        <v>#N/A</v>
        <stp/>
        <stp>947a50b8-dd8d-4d4e-ab24-60d244266b1d</stp>
        <tr r="G101" s="289"/>
      </tp>
    </main>
    <main first="rtdsrv.c479a260de824b17bb383de78c05dadf">
      <tp t="e">
        <v>#N/A</v>
        <stp/>
        <stp>9052afc9-7218-489c-9454-113efd25d31a</stp>
        <tr r="M144" s="289"/>
      </tp>
      <tp t="e">
        <v>#N/A</v>
        <stp/>
        <stp>d053017b-2cd0-4ac9-99a7-47a185dd383d</stp>
        <tr r="M189" s="289"/>
      </tp>
    </main>
    <main first="rtdsrv.c479a260de824b17bb383de78c05dadf">
      <tp t="e">
        <v>#N/A</v>
        <stp/>
        <stp>854e32df-82e3-424e-998d-2b0ef0aada06</stp>
        <tr r="G152" s="289"/>
      </tp>
    </main>
    <main first="rtdsrv.c479a260de824b17bb383de78c05dadf">
      <tp t="e">
        <v>#N/A</v>
        <stp/>
        <stp>9e0be464-ee65-4b46-b1ee-f7e844f7d5a9</stp>
        <tr r="G110" s="289"/>
      </tp>
    </main>
    <main first="rtdsrv.c479a260de824b17bb383de78c05dadf">
      <tp t="e">
        <v>#N/A</v>
        <stp/>
        <stp>86b32265-d19e-4a56-9f00-ce15b786ee6a</stp>
        <tr r="G58" s="289"/>
      </tp>
    </main>
    <main first="rtdsrv.c479a260de824b17bb383de78c05dadf">
      <tp t="e">
        <v>#N/A</v>
        <stp/>
        <stp>91b5d460-d319-47d1-ab41-7d9617c68fad</stp>
        <tr r="G72" s="289"/>
      </tp>
    </main>
    <main first="rtdsrv.c479a260de824b17bb383de78c05dadf">
      <tp t="e">
        <v>#N/A</v>
        <stp/>
        <stp>217d49f0-2337-43b1-9a95-a5fd44c75cb8</stp>
        <tr r="G186" s="289"/>
      </tp>
      <tp t="e">
        <v>#N/A</v>
        <stp/>
        <stp>c7f0a6b9-1f58-4afa-b1b7-f4cc93bfdde6</stp>
        <tr r="M38" s="289"/>
      </tp>
    </main>
    <main first="rtdsrv.c479a260de824b17bb383de78c05dadf">
      <tp t="e">
        <v>#N/A</v>
        <stp/>
        <stp>2e0eaf61-b519-468b-bc9b-89c371f7cbe2</stp>
        <tr r="M158" s="289"/>
      </tp>
      <tp t="e">
        <v>#N/A</v>
        <stp/>
        <stp>9d106316-9257-4cb1-be03-7f0e38340a39</stp>
        <tr r="M68" s="289"/>
      </tp>
    </main>
    <main first="rtdsrv.c479a260de824b17bb383de78c05dadf">
      <tp t="e">
        <v>#N/A</v>
        <stp/>
        <stp>726c0eeb-9e58-4c46-8a68-3ca699b50d95</stp>
        <tr r="M172" s="289"/>
      </tp>
    </main>
    <main first="rtdsrv.c479a260de824b17bb383de78c05dadf">
      <tp t="e">
        <v>#N/A</v>
        <stp/>
        <stp>5ca67301-193d-4e6d-84ef-20a8eacada75</stp>
        <tr r="M90" s="289"/>
      </tp>
      <tp t="e">
        <v>#N/A</v>
        <stp/>
        <stp>9d96a489-dda3-440a-8cbb-be19515e0389</stp>
        <tr r="M179" s="289"/>
      </tp>
    </main>
    <main first="rtdsrv.c479a260de824b17bb383de78c05dadf">
      <tp t="e">
        <v>#N/A</v>
        <stp/>
        <stp>638dc745-708b-40bd-856b-12ddca2c0b07</stp>
        <tr r="G76" s="289"/>
      </tp>
    </main>
    <main first="rtdsrv.c479a260de824b17bb383de78c05dadf">
      <tp t="e">
        <v>#N/A</v>
        <stp/>
        <stp>4b6a7e40-00b9-4d05-86a1-ea286eb78753</stp>
        <tr r="G107" s="289"/>
      </tp>
    </main>
    <main first="rtdsrv.c479a260de824b17bb383de78c05dadf">
      <tp t="e">
        <v>#N/A</v>
        <stp/>
        <stp>6bc28357-bf4d-46fa-88b7-3d599540e1bd</stp>
        <tr r="M136" s="289"/>
      </tp>
    </main>
    <main first="rtdsrv.c479a260de824b17bb383de78c05dadf">
      <tp t="e">
        <v>#N/A</v>
        <stp/>
        <stp>b2984ee9-df97-43bd-8c78-8180085259d4</stp>
        <tr r="R52" s="284"/>
      </tp>
    </main>
    <main first="rtdsrv.c479a260de824b17bb383de78c05dadf">
      <tp t="e">
        <v>#N/A</v>
        <stp/>
        <stp>10097e7e-f57e-4cea-b22b-3eb7acbfa9be</stp>
        <tr r="G77" s="289"/>
      </tp>
      <tp t="e">
        <v>#N/A</v>
        <stp/>
        <stp>20a9de91-90bc-41d0-a3c3-2fd25097665a</stp>
        <tr r="G42" s="289"/>
      </tp>
    </main>
    <main first="rtdsrv.c479a260de824b17bb383de78c05dadf">
      <tp t="e">
        <v>#N/A</v>
        <stp/>
        <stp>6d001683-9533-46c3-ab42-ebd8fa9b90b1</stp>
        <tr r="G127" s="289"/>
      </tp>
      <tp t="e">
        <v>#N/A</v>
        <stp/>
        <stp>264a9727-5bee-4e3f-a683-55275512a5d7</stp>
        <tr r="G203" s="289"/>
      </tp>
      <tp t="e">
        <v>#N/A</v>
        <stp/>
        <stp>ac73af36-2d4a-4fef-ac7b-f90e01add1b7</stp>
        <tr r="R25" s="284"/>
      </tp>
    </main>
    <main first="rtdsrv.c479a260de824b17bb383de78c05dadf">
      <tp t="e">
        <v>#N/A</v>
        <stp/>
        <stp>2ad805e5-c954-4a5a-b619-0cb6e91cfbe1</stp>
        <tr r="M139" s="289"/>
      </tp>
    </main>
    <main first="rtdsrv.c479a260de824b17bb383de78c05dadf">
      <tp t="e">
        <v>#N/A</v>
        <stp/>
        <stp>ddeec0f0-8e3c-4e3f-afb3-fb4e0b8857b1</stp>
        <tr r="G181" s="289"/>
      </tp>
    </main>
    <main first="rtdsrv.c479a260de824b17bb383de78c05dadf">
      <tp t="e">
        <v>#N/A</v>
        <stp/>
        <stp>40367e62-93b9-48a2-b79c-a99e18cea97b</stp>
        <tr r="M137" s="289"/>
      </tp>
    </main>
    <main first="rtdsrv.c479a260de824b17bb383de78c05dadf">
      <tp t="e">
        <v>#N/A</v>
        <stp/>
        <stp>06b2dac9-2098-443b-9c39-086f058adfd6</stp>
        <tr r="M194" s="289"/>
      </tp>
    </main>
    <main first="rtdsrv.c479a260de824b17bb383de78c05dadf">
      <tp t="e">
        <v>#N/A</v>
        <stp/>
        <stp>f01382a5-ae35-4298-b784-18c463536755</stp>
        <tr r="M46" s="289"/>
      </tp>
      <tp t="e">
        <v>#N/A</v>
        <stp/>
        <stp>867a343e-8013-4f70-ad4c-9b5df403b705</stp>
        <tr r="M126" s="289"/>
      </tp>
      <tp t="e">
        <v>#N/A</v>
        <stp/>
        <stp>589c9bb6-f984-49cb-b8f3-edbc022201b9</stp>
        <tr r="M155" s="289"/>
      </tp>
      <tp t="e">
        <v>#N/A</v>
        <stp/>
        <stp>3909af8d-2c45-4b12-814a-1583f54ea4e5</stp>
        <tr r="M28" s="289"/>
      </tp>
    </main>
    <main first="rtdsrv.c479a260de824b17bb383de78c05dadf">
      <tp t="e">
        <v>#N/A</v>
        <stp/>
        <stp>32281d3b-9403-4f24-960f-762f3f55fd46</stp>
        <tr r="G114" s="289"/>
      </tp>
    </main>
    <main first="rtdsrv.c479a260de824b17bb383de78c05dadf">
      <tp t="e">
        <v>#N/A</v>
        <stp/>
        <stp>f12144a5-9680-44c9-a67d-5744c800fbb0</stp>
        <tr r="M83" s="289"/>
      </tp>
      <tp t="e">
        <v>#N/A</v>
        <stp/>
        <stp>cd9a5f71-fb04-40ea-b1e5-f8bd5fd38a84</stp>
        <tr r="G83" s="289"/>
      </tp>
      <tp t="e">
        <v>#N/A</v>
        <stp/>
        <stp>3fa4393a-5933-45a3-82d4-bd160c30be9a</stp>
        <tr r="M34" s="289"/>
      </tp>
      <tp t="e">
        <v>#N/A</v>
        <stp/>
        <stp>05d76bdc-ad57-46eb-8de7-b929ebf0e5cc</stp>
        <tr r="M30" s="289"/>
      </tp>
    </main>
    <main first="rtdsrv.c479a260de824b17bb383de78c05dadf">
      <tp t="e">
        <v>#N/A</v>
        <stp/>
        <stp>320cb1cc-643a-4f12-ae57-b9468789cc5f</stp>
        <tr r="G47" s="289"/>
      </tp>
      <tp t="e">
        <v>#N/A</v>
        <stp/>
        <stp>18c3e506-e193-497d-8f3e-098cdab1f836</stp>
        <tr r="M13" s="289"/>
      </tp>
    </main>
    <main first="rtdsrv.c479a260de824b17bb383de78c05dadf">
      <tp t="e">
        <v>#N/A</v>
        <stp/>
        <stp>1b3d677e-1dc1-47b1-aa3a-d816066b260b</stp>
        <tr r="M163" s="289"/>
      </tp>
    </main>
    <main first="rtdsrv.c479a260de824b17bb383de78c05dadf">
      <tp t="e">
        <v>#N/A</v>
        <stp/>
        <stp>90385772-ade3-429a-82d8-9f25c989dbea</stp>
        <tr r="R34" s="284"/>
      </tp>
      <tp t="e">
        <v>#N/A</v>
        <stp/>
        <stp>60c960c2-a074-4327-a999-0f309b96a541</stp>
        <tr r="R54" s="284"/>
      </tp>
    </main>
    <main first="rtdsrv.c479a260de824b17bb383de78c05dadf">
      <tp t="e">
        <v>#N/A</v>
        <stp/>
        <stp>7867ae38-ab4c-4421-aa06-e585b3a27e0c</stp>
        <tr r="G183" s="289"/>
      </tp>
    </main>
    <main first="rtdsrv.c479a260de824b17bb383de78c05dadf">
      <tp t="e">
        <v>#N/A</v>
        <stp/>
        <stp>c0b08ebc-88b3-4bc4-8c1a-27d0deac6da8</stp>
        <tr r="M99" s="289"/>
      </tp>
      <tp t="e">
        <v>#N/A</v>
        <stp/>
        <stp>bb52c425-50cf-4b22-9057-7522c99f7667</stp>
        <tr r="M199" s="289"/>
      </tp>
    </main>
    <main first="rtdsrv.c479a260de824b17bb383de78c05dadf">
      <tp t="e">
        <v>#N/A</v>
        <stp/>
        <stp>910cc663-ae6a-4a78-ac3d-1d3692ef0e24</stp>
        <tr r="M50" s="289"/>
      </tp>
      <tp t="e">
        <v>#N/A</v>
        <stp/>
        <stp>a01e06e2-efee-4755-877e-8764784ae061</stp>
        <tr r="G144" s="289"/>
      </tp>
    </main>
    <main first="rtdsrv.c479a260de824b17bb383de78c05dadf">
      <tp t="e">
        <v>#N/A</v>
        <stp/>
        <stp>9dee5c4f-2d43-4edc-9fbc-87516d66594a</stp>
        <tr r="G102" s="289"/>
      </tp>
    </main>
    <main first="rtdsrv.c479a260de824b17bb383de78c05dadf">
      <tp t="e">
        <v>#N/A</v>
        <stp/>
        <stp>ecbb0033-da5c-4aab-9e4f-0942943f6206</stp>
        <tr r="M91" s="289"/>
      </tp>
      <tp t="e">
        <v>#N/A</v>
        <stp/>
        <stp>da51e113-c782-4aa8-9bab-44015dbebde6</stp>
        <tr r="G59" s="289"/>
      </tp>
    </main>
    <main first="rtdsrv.c479a260de824b17bb383de78c05dadf">
      <tp t="e">
        <v>#N/A</v>
        <stp/>
        <stp>62754b3d-0792-48d4-9ea4-596621260cd8</stp>
        <tr r="M37" s="284"/>
      </tp>
    </main>
    <main first="rtdsrv.c479a260de824b17bb383de78c05dadf">
      <tp t="e">
        <v>#N/A</v>
        <stp/>
        <stp>69d412aa-439a-4d1b-b7da-47dca2f6cb07</stp>
        <tr r="G147" s="289"/>
      </tp>
      <tp t="e">
        <v>#N/A</v>
        <stp/>
        <stp>c82a3e1d-ae89-4958-bea1-9810cbe6faf1</stp>
        <tr r="G106" s="289"/>
      </tp>
      <tp t="e">
        <v>#N/A</v>
        <stp/>
        <stp>85ad8c19-821e-4f14-b068-9f3dfea1b1b2</stp>
        <tr r="G155" s="289"/>
      </tp>
    </main>
    <main first="rtdsrv.c479a260de824b17bb383de78c05dadf">
      <tp t="e">
        <v>#N/A</v>
        <stp/>
        <stp>12d2e3a7-c3a3-4a9e-8e85-8dd13c9bbf59</stp>
        <tr r="M54" s="289"/>
      </tp>
    </main>
    <main first="rtdsrv.c479a260de824b17bb383de78c05dadf">
      <tp t="e">
        <v>#N/A</v>
        <stp/>
        <stp>1fa74105-7612-4a99-9538-5bbe2fc13010</stp>
        <tr r="G162" s="289"/>
      </tp>
    </main>
    <main first="rtdsrv.c479a260de824b17bb383de78c05dadf">
      <tp t="e">
        <v>#N/A</v>
        <stp/>
        <stp>acb90240-9684-439f-8f4d-4faff9eca836</stp>
        <tr r="M11" s="289"/>
      </tp>
    </main>
    <main first="rtdsrv.c479a260de824b17bb383de78c05dadf">
      <tp t="e">
        <v>#N/A</v>
        <stp/>
        <stp>48e442cf-8510-4c12-9bb7-d9a8d5f83396</stp>
        <tr r="G140" s="289"/>
      </tp>
    </main>
    <main first="rtdsrv.c479a260de824b17bb383de78c05dadf">
      <tp t="e">
        <v>#N/A</v>
        <stp/>
        <stp>d3e8ee44-dcfe-46e1-b449-99a8500bfcf5</stp>
        <tr r="M14" s="284"/>
      </tp>
      <tp t="e">
        <v>#N/A</v>
        <stp/>
        <stp>bea334ba-4077-42e5-abcc-70fd0f38c898</stp>
        <tr r="M39" s="284"/>
      </tp>
    </main>
    <main first="rtdsrv.c479a260de824b17bb383de78c05dadf">
      <tp t="e">
        <v>#N/A</v>
        <stp/>
        <stp>f6b51a28-3ecb-4647-94e9-568b2e74f8b3</stp>
        <tr r="M36" s="289"/>
      </tp>
    </main>
    <main first="rtdsrv.c479a260de824b17bb383de78c05dadf">
      <tp t="e">
        <v>#N/A</v>
        <stp/>
        <stp>a98479e8-6b62-4ac5-a0f9-a977f04261ac</stp>
        <tr r="G8" s="289"/>
      </tp>
    </main>
    <main first="rtdsrv.c479a260de824b17bb383de78c05dadf">
      <tp t="e">
        <v>#N/A</v>
        <stp/>
        <stp>f91b8b92-0003-405d-8b64-eed76e0c8d01</stp>
        <tr r="R38" s="284"/>
      </tp>
    </main>
    <main first="rtdsrv.c479a260de824b17bb383de78c05dadf">
      <tp t="e">
        <v>#N/A</v>
        <stp/>
        <stp>4ba1cd20-1e36-4c3d-aabe-d9bb2c5c7741</stp>
        <tr r="M115" s="289"/>
      </tp>
      <tp t="e">
        <v>#N/A</v>
        <stp/>
        <stp>187a2356-621b-4bbc-81b6-7c25574e0408</stp>
        <tr r="M201" s="289"/>
      </tp>
    </main>
    <main first="rtdsrv.c479a260de824b17bb383de78c05dadf">
      <tp t="e">
        <v>#N/A</v>
        <stp/>
        <stp>8549347c-decb-41e2-a88d-2828a801437c</stp>
        <tr r="M176" s="289"/>
      </tp>
    </main>
    <main first="rtdsrv.c479a260de824b17bb383de78c05dadf">
      <tp t="e">
        <v>#N/A</v>
        <stp/>
        <stp>7f805aaf-c1d1-490f-9b64-83a13b0db972</stp>
        <tr r="M162" s="289"/>
      </tp>
    </main>
    <main first="rtdsrv.c479a260de824b17bb383de78c05dadf">
      <tp t="e">
        <v>#N/A</v>
        <stp/>
        <stp>fb99357f-06b7-4868-89ba-17cbb02aaf67</stp>
        <tr r="M4" s="284"/>
      </tp>
      <tp t="e">
        <v>#N/A</v>
        <stp/>
        <stp>13d1a892-93d0-4baa-b4ec-c9675143cb1f</stp>
        <tr r="M149" s="289"/>
      </tp>
    </main>
    <main first="rtdsrv.c479a260de824b17bb383de78c05dadf">
      <tp t="e">
        <v>#N/A</v>
        <stp/>
        <stp>1cbfdaa8-30bc-4231-9748-9d676833440d</stp>
        <tr r="G52" s="289"/>
      </tp>
      <tp t="e">
        <v>#N/A</v>
        <stp/>
        <stp>2514be7f-861d-4064-aa2f-a02146ca8480</stp>
        <tr r="M41" s="289"/>
      </tp>
    </main>
    <main first="rtdsrv.c479a260de824b17bb383de78c05dadf">
      <tp t="e">
        <v>#N/A</v>
        <stp/>
        <stp>0ae51627-5444-4538-973f-c656ce4b7ffb</stp>
        <tr r="M8" s="284"/>
      </tp>
    </main>
    <main first="rtdsrv.c479a260de824b17bb383de78c05dadf">
      <tp t="e">
        <v>#N/A</v>
        <stp/>
        <stp>64c6c4c0-b4a5-4b99-adfb-f4b8d1a0bd66</stp>
        <tr r="G92" s="289"/>
      </tp>
    </main>
    <main first="rtdsrv.c479a260de824b17bb383de78c05dadf">
      <tp t="e">
        <v>#N/A</v>
        <stp/>
        <stp>61d455af-4189-46ee-9241-184bf5fea074</stp>
        <tr r="G87" s="289"/>
      </tp>
    </main>
    <main first="rtdsrv.c479a260de824b17bb383de78c05dadf">
      <tp t="e">
        <v>#N/A</v>
        <stp/>
        <stp>c9aea798-a900-4c63-9baa-dde7e74dd208</stp>
        <tr r="M73" s="289"/>
      </tp>
    </main>
    <main first="rtdsrv.c479a260de824b17bb383de78c05dadf">
      <tp t="e">
        <v>#N/A</v>
        <stp/>
        <stp>bc0c1444-c229-45fe-b08d-42cd2dab9c57</stp>
        <tr r="G109" s="289"/>
      </tp>
    </main>
    <main first="rtdsrv.c479a260de824b17bb383de78c05dadf">
      <tp t="e">
        <v>#N/A</v>
        <stp/>
        <stp>2428af39-ff6a-4e61-8b5a-a3893f6ff9f1</stp>
        <tr r="M187" s="289"/>
      </tp>
    </main>
    <main first="rtdsrv.c479a260de824b17bb383de78c05dadf">
      <tp t="e">
        <v>#N/A</v>
        <stp/>
        <stp>3367fd7c-9461-40ae-885b-af71709b4445</stp>
        <tr r="G84" s="289"/>
      </tp>
    </main>
    <main first="rtdsrv.c479a260de824b17bb383de78c05dadf">
      <tp t="e">
        <v>#N/A</v>
        <stp/>
        <stp>4511fe4c-be30-42ed-aa8d-d502e861280c</stp>
        <tr r="M190" s="289"/>
      </tp>
    </main>
    <main first="rtdsrv.c479a260de824b17bb383de78c05dadf">
      <tp t="e">
        <v>#N/A</v>
        <stp/>
        <stp>5acb2501-2d3c-4a19-a82c-1b69f2f53f37</stp>
        <tr r="R26" s="284"/>
      </tp>
    </main>
    <main first="rtdsrv.c479a260de824b17bb383de78c05dadf">
      <tp t="e">
        <v>#N/A</v>
        <stp/>
        <stp>c9b84611-3077-4ccf-870b-ebc48a5742b3</stp>
        <tr r="G207" s="289"/>
      </tp>
      <tp t="e">
        <v>#N/A</v>
        <stp/>
        <stp>fa8a0391-2b78-4bf3-b3c4-c074c89aacb5</stp>
        <tr r="M105" s="289"/>
      </tp>
      <tp t="e">
        <v>#N/A</v>
        <stp/>
        <stp>630483cd-43a5-45e2-a572-f49c88e68f51</stp>
        <tr r="G116" s="289"/>
      </tp>
    </main>
    <main first="rtdsrv.c479a260de824b17bb383de78c05dadf">
      <tp t="e">
        <v>#N/A</v>
        <stp/>
        <stp>41c0907b-9613-4db8-a7b9-694f335633b1</stp>
        <tr r="M135" s="289"/>
      </tp>
    </main>
    <main first="rtdsrv.c479a260de824b17bb383de78c05dadf">
      <tp t="e">
        <v>#N/A</v>
        <stp/>
        <stp>9a58060b-7974-4333-bab1-8b492119a976</stp>
        <tr r="M32" s="284"/>
      </tp>
      <tp t="e">
        <v>#N/A</v>
        <stp/>
        <stp>f9cc45aa-5961-497f-a260-b418ccf72ec8</stp>
        <tr r="G174" s="289"/>
      </tp>
      <tp t="e">
        <v>#N/A</v>
        <stp/>
        <stp>e4968afc-abd7-4abb-bbff-3be960da89e8</stp>
        <tr r="M120" s="289"/>
      </tp>
    </main>
    <main first="rtdsrv.c479a260de824b17bb383de78c05dadf">
      <tp t="e">
        <v>#N/A</v>
        <stp/>
        <stp>2c08f770-5fdb-40dc-a8c2-39838e473fc7</stp>
        <tr r="G198" s="289"/>
      </tp>
    </main>
    <main first="rtdsrv.c479a260de824b17bb383de78c05dadf">
      <tp t="e">
        <v>#N/A</v>
        <stp/>
        <stp>615bdcd5-a502-4006-99b4-e16948fc05cd</stp>
        <tr r="G27" s="289"/>
      </tp>
    </main>
    <main first="rtdsrv.c479a260de824b17bb383de78c05dadf">
      <tp t="e">
        <v>#N/A</v>
        <stp/>
        <stp>a976eae7-47a8-4002-8043-21171f49ef8a</stp>
        <tr r="G190" s="289"/>
      </tp>
      <tp t="e">
        <v>#N/A</v>
        <stp/>
        <stp>37cf7e62-b558-43ec-9c8d-08f8212fb987</stp>
        <tr r="M141" s="289"/>
      </tp>
    </main>
    <main first="rtdsrv.c479a260de824b17bb383de78c05dadf">
      <tp t="e">
        <v>#N/A</v>
        <stp/>
        <stp>8abd1719-65a8-4d13-94a8-727e18bc1cb8</stp>
        <tr r="G9" s="289"/>
      </tp>
    </main>
    <main first="rtdsrv.c479a260de824b17bb383de78c05dadf">
      <tp t="e">
        <v>#N/A</v>
        <stp/>
        <stp>2b2adca3-f985-4f2a-af68-ea4ac2ac9919</stp>
        <tr r="G204" s="289"/>
      </tp>
    </main>
    <main first="rtdsrv.c479a260de824b17bb383de78c05dadf">
      <tp t="e">
        <v>#N/A</v>
        <stp/>
        <stp>6c50367d-3cdc-4f25-b79a-9a0a3d7c250b</stp>
        <tr r="M93" s="289"/>
      </tp>
    </main>
    <main first="rtdsrv.c479a260de824b17bb383de78c05dadf">
      <tp t="e">
        <v>#N/A</v>
        <stp/>
        <stp>7da965bb-9c4a-43cc-bd02-525701fb1b59</stp>
        <tr r="R40" s="284"/>
      </tp>
    </main>
    <main first="rtdsrv.c479a260de824b17bb383de78c05dadf">
      <tp t="e">
        <v>#N/A</v>
        <stp/>
        <stp>2d162b29-b5b7-45a6-9785-2b30cc02d199</stp>
        <tr r="M114" s="289"/>
      </tp>
    </main>
    <main first="rtdsrv.c479a260de824b17bb383de78c05dadf">
      <tp t="e">
        <v>#N/A</v>
        <stp/>
        <stp>75d138c2-da55-48de-8c0d-d514bbafc113</stp>
        <tr r="G158" s="289"/>
      </tp>
      <tp t="e">
        <v>#N/A</v>
        <stp/>
        <stp>b7df687b-4b07-497e-9fa2-9b16a336b4a8</stp>
        <tr r="G37" s="289"/>
      </tp>
    </main>
    <main first="rtdsrv.c479a260de824b17bb383de78c05dadf">
      <tp t="e">
        <v>#N/A</v>
        <stp/>
        <stp>a3b9cee0-5a66-44bb-bc02-8df278fe970d</stp>
        <tr r="M59" s="289"/>
      </tp>
      <tp t="e">
        <v>#N/A</v>
        <stp/>
        <stp>c368a845-4476-4329-adfd-15b2b7cef869</stp>
        <tr r="M67" s="289"/>
      </tp>
    </main>
    <main first="rtdsrv.c479a260de824b17bb383de78c05dadf">
      <tp t="e">
        <v>#N/A</v>
        <stp/>
        <stp>10d830cb-bcf0-4459-b340-83fec30b760a</stp>
        <tr r="M197" s="289"/>
      </tp>
    </main>
    <main first="rtdsrv.c479a260de824b17bb383de78c05dadf">
      <tp t="e">
        <v>#N/A</v>
        <stp/>
        <stp>11f64190-4828-403c-9b8e-76396bd09bf0</stp>
        <tr r="M170" s="289"/>
      </tp>
    </main>
    <main first="rtdsrv.c479a260de824b17bb383de78c05dadf">
      <tp t="e">
        <v>#N/A</v>
        <stp/>
        <stp>71faebc0-d681-4f5d-9094-973e2f637b4e</stp>
        <tr r="M84" s="289"/>
      </tp>
      <tp t="e">
        <v>#N/A</v>
        <stp/>
        <stp>fd3f02e1-2f07-4edb-8b0c-db1a0576c8b6</stp>
        <tr r="G148" s="289"/>
      </tp>
      <tp t="e">
        <v>#N/A</v>
        <stp/>
        <stp>be534e44-673d-44a9-b023-2ee4520283d8</stp>
        <tr r="M65" s="289"/>
      </tp>
    </main>
    <main first="rtdsrv.c479a260de824b17bb383de78c05dadf">
      <tp t="e">
        <v>#N/A</v>
        <stp/>
        <stp>071b02f9-c393-423b-999e-b4d47bac328f</stp>
        <tr r="G60" s="289"/>
      </tp>
      <tp t="e">
        <v>#N/A</v>
        <stp/>
        <stp>03f1c219-1b71-4798-b9ce-b522d3f3d49f</stp>
        <tr r="G20" s="289"/>
      </tp>
    </main>
    <main first="rtdsrv.c479a260de824b17bb383de78c05dadf">
      <tp t="e">
        <v>#N/A</v>
        <stp/>
        <stp>ebc67bfc-ad38-4178-a15d-bccd7dcdc2f8</stp>
        <tr r="M116" s="289"/>
      </tp>
    </main>
    <main first="rtdsrv.c479a260de824b17bb383de78c05dadf">
      <tp t="e">
        <v>#N/A</v>
        <stp/>
        <stp>29f7fd7b-4d44-438a-b9c5-df3c2ce49715</stp>
        <tr r="M25" s="284"/>
      </tp>
    </main>
    <main first="rtdsrv.c479a260de824b17bb383de78c05dadf">
      <tp t="e">
        <v>#N/A</v>
        <stp/>
        <stp>fc2ce694-0dd5-4130-a905-60734840b42f</stp>
        <tr r="G150" s="289"/>
      </tp>
    </main>
    <main first="rtdsrv.c479a260de824b17bb383de78c05dadf">
      <tp t="e">
        <v>#N/A</v>
        <stp/>
        <stp>388d8b2b-765f-4564-832a-94ec77a3a14c</stp>
        <tr r="G93" s="289"/>
      </tp>
      <tp t="e">
        <v>#N/A</v>
        <stp/>
        <stp>992aa594-70d8-4bfa-9bd7-ef08c144d0ec</stp>
        <tr r="G29" s="289"/>
      </tp>
    </main>
    <main first="rtdsrv.c479a260de824b17bb383de78c05dadf">
      <tp t="e">
        <v>#N/A</v>
        <stp/>
        <stp>832b216c-312b-4ab4-92be-0aea88601f29</stp>
        <tr r="G119" s="289"/>
      </tp>
    </main>
    <main first="rtdsrv.c479a260de824b17bb383de78c05dadf">
      <tp t="e">
        <v>#N/A</v>
        <stp/>
        <stp>0f7d9776-4dad-4219-a650-dcd4e6595d23</stp>
        <tr r="M76" s="289"/>
      </tp>
      <tp t="e">
        <v>#N/A</v>
        <stp/>
        <stp>df7bf083-c077-4190-bd79-ec313048a992</stp>
        <tr r="M95" s="289"/>
      </tp>
      <tp t="e">
        <v>#N/A</v>
        <stp/>
        <stp>c22e4211-8a8e-4897-a0fb-828381ada2ac</stp>
        <tr r="G85" s="289"/>
      </tp>
      <tp t="e">
        <v>#N/A</v>
        <stp/>
        <stp>65024cb9-3353-4a4a-93ff-287d929b9017</stp>
        <tr r="G105" s="289"/>
      </tp>
    </main>
    <main first="rtdsrv.c479a260de824b17bb383de78c05dadf">
      <tp t="e">
        <v>#N/A</v>
        <stp/>
        <stp>8b0ad881-d29f-412a-bc2b-773545ac375c</stp>
        <tr r="G206" s="289"/>
      </tp>
      <tp t="e">
        <v>#N/A</v>
        <stp/>
        <stp>48dbd246-2e6d-41aa-b0c4-e7126c97f663</stp>
        <tr r="G51" s="289"/>
      </tp>
    </main>
    <main first="rtdsrv.c479a260de824b17bb383de78c05dadf">
      <tp t="e">
        <v>#N/A</v>
        <stp/>
        <stp>c2eb6d15-5a63-4bb4-b210-9cd838e37eda</stp>
        <tr r="M124" s="289"/>
      </tp>
      <tp t="e">
        <v>#N/A</v>
        <stp/>
        <stp>bb6ea043-f5c0-4c09-8ece-821004304005</stp>
        <tr r="G112" s="289"/>
      </tp>
      <tp t="e">
        <v>#N/A</v>
        <stp/>
        <stp>98709d06-12cd-4fd0-a334-d7aac870b966</stp>
        <tr r="G111" s="289"/>
      </tp>
    </main>
    <main first="rtdsrv.c479a260de824b17bb383de78c05dadf">
      <tp t="e">
        <v>#N/A</v>
        <stp/>
        <stp>614a35b5-83b7-491b-a20d-a85b2858c6e9</stp>
        <tr r="M174" s="289"/>
      </tp>
    </main>
    <main first="rtdsrv.c479a260de824b17bb383de78c05dadf">
      <tp t="e">
        <v>#N/A</v>
        <stp/>
        <stp>9b50caf5-1c06-42c3-ada1-0ad72a5dc852</stp>
        <tr r="M102" s="289"/>
      </tp>
    </main>
    <main first="rtdsrv.c479a260de824b17bb383de78c05dadf">
      <tp t="e">
        <v>#N/A</v>
        <stp/>
        <stp>65189edb-ce87-4a98-bba5-b682a0b6743d</stp>
        <tr r="G159" s="289"/>
      </tp>
      <tp t="e">
        <v>#N/A</v>
        <stp/>
        <stp>5efac349-592a-4f1a-9f44-0815630d8e2f</stp>
        <tr r="M80" s="289"/>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volatileDependencies" Target="volatileDependenci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PH" sz="1000" b="1"/>
              <a:t>Risk Distribution by Category</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PRR!$AA$86:$AA$91</c:f>
              <c:strCache>
                <c:ptCount val="6"/>
                <c:pt idx="0">
                  <c:v>Engineering</c:v>
                </c:pt>
                <c:pt idx="1">
                  <c:v>Environmental</c:v>
                </c:pt>
                <c:pt idx="2">
                  <c:v>Operation</c:v>
                </c:pt>
                <c:pt idx="3">
                  <c:v>Political</c:v>
                </c:pt>
                <c:pt idx="4">
                  <c:v>PQM</c:v>
                </c:pt>
                <c:pt idx="5">
                  <c:v>Procurement</c:v>
                </c:pt>
              </c:strCache>
            </c:strRef>
          </c:cat>
          <c:val>
            <c:numRef>
              <c:f>PRR!$AC$86:$AC$91</c:f>
              <c:numCache>
                <c:formatCode>_-* #,##0_-;\-* #,##0_-;_-*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4CF-4904-A610-5CC44694C4A0}"/>
            </c:ext>
          </c:extLst>
        </c:ser>
        <c:dLbls>
          <c:dLblPos val="outEnd"/>
          <c:showLegendKey val="0"/>
          <c:showVal val="1"/>
          <c:showCatName val="0"/>
          <c:showSerName val="0"/>
          <c:showPercent val="0"/>
          <c:showBubbleSize val="0"/>
        </c:dLbls>
        <c:gapWidth val="219"/>
        <c:overlap val="-27"/>
        <c:axId val="52030128"/>
        <c:axId val="793097264"/>
      </c:barChart>
      <c:catAx>
        <c:axId val="5203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97264"/>
        <c:crosses val="autoZero"/>
        <c:auto val="1"/>
        <c:lblAlgn val="ctr"/>
        <c:lblOffset val="100"/>
        <c:noMultiLvlLbl val="0"/>
      </c:catAx>
      <c:valAx>
        <c:axId val="7930972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'Risk Cost Sensitivity'!$U$34</c:f>
          <c:strCache>
            <c:ptCount val="1"/>
            <c:pt idx="0">
              <c:v>Tornado Chart: TOTAL RISK COST PHP</c:v>
            </c:pt>
          </c:strCache>
        </c:strRef>
      </c:tx>
      <c:overlay val="0"/>
    </c:title>
    <c:autoTitleDeleted val="0"/>
    <c:plotArea>
      <c:layout/>
      <c:barChart>
        <c:barDir val="bar"/>
        <c:grouping val="clustered"/>
        <c:varyColors val="0"/>
        <c:ser>
          <c:idx val="0"/>
          <c:order val="0"/>
          <c:tx>
            <c:v>Downside</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'Risk Cost Sensitivity'!$B$37:$B$56</c:f>
              <c:strCache>
                <c:ptCount val="20"/>
                <c:pt idx="0">
                  <c:v>MC'!$M$27</c:v>
                </c:pt>
                <c:pt idx="1">
                  <c:v>MC'!$M$20</c:v>
                </c:pt>
                <c:pt idx="2">
                  <c:v>MC'!$M$13</c:v>
                </c:pt>
                <c:pt idx="3">
                  <c:v>MC'!$M$14</c:v>
                </c:pt>
                <c:pt idx="4">
                  <c:v>MC'!$M$35</c:v>
                </c:pt>
                <c:pt idx="5">
                  <c:v>MC'!$M$8</c:v>
                </c:pt>
                <c:pt idx="6">
                  <c:v>MC'!$M$43</c:v>
                </c:pt>
                <c:pt idx="7">
                  <c:v>MC'!$M$11</c:v>
                </c:pt>
                <c:pt idx="8">
                  <c:v>MC'!$M$7</c:v>
                </c:pt>
                <c:pt idx="9">
                  <c:v>MC'!$M$16</c:v>
                </c:pt>
                <c:pt idx="10">
                  <c:v>MC'!$M$12</c:v>
                </c:pt>
                <c:pt idx="11">
                  <c:v>MC'!$M$23</c:v>
                </c:pt>
                <c:pt idx="12">
                  <c:v>MC'!$M$36</c:v>
                </c:pt>
                <c:pt idx="13">
                  <c:v>MC'!$M$37</c:v>
                </c:pt>
                <c:pt idx="14">
                  <c:v>MC'!$M$38</c:v>
                </c:pt>
                <c:pt idx="15">
                  <c:v>MC'!$M$9</c:v>
                </c:pt>
                <c:pt idx="16">
                  <c:v>MC'!$M$6</c:v>
                </c:pt>
                <c:pt idx="17">
                  <c:v>MC'!$M$41</c:v>
                </c:pt>
                <c:pt idx="18">
                  <c:v>MC'!$M$32</c:v>
                </c:pt>
                <c:pt idx="19">
                  <c:v>MC'!$M$33</c:v>
                </c:pt>
              </c:strCache>
            </c:strRef>
          </c:cat>
          <c:val>
            <c:numRef>
              <c:f>'Risk Cost Sensitivity'!$U$37:$U$56</c:f>
              <c:numCache>
                <c:formatCode>_-* #,##0_-;\-* #,##0_-;_-* "-"??_-;_-@_-</c:formatCode>
                <c:ptCount val="20"/>
                <c:pt idx="0">
                  <c:v>8066345823.6894226</c:v>
                </c:pt>
                <c:pt idx="1">
                  <c:v>8076707885.9627609</c:v>
                </c:pt>
                <c:pt idx="2">
                  <c:v>8319917841.8420258</c:v>
                </c:pt>
                <c:pt idx="3">
                  <c:v>8343416123.9539623</c:v>
                </c:pt>
                <c:pt idx="4">
                  <c:v>8339364263.3867798</c:v>
                </c:pt>
                <c:pt idx="5">
                  <c:v>8354363414.2210712</c:v>
                </c:pt>
                <c:pt idx="6">
                  <c:v>8359620669.5180635</c:v>
                </c:pt>
                <c:pt idx="7">
                  <c:v>8384898672.3094692</c:v>
                </c:pt>
                <c:pt idx="8">
                  <c:v>8430557709.3406162</c:v>
                </c:pt>
                <c:pt idx="9">
                  <c:v>8435815581.4588909</c:v>
                </c:pt>
                <c:pt idx="10">
                  <c:v>8437682197.3057594</c:v>
                </c:pt>
                <c:pt idx="11">
                  <c:v>8437682197.3057594</c:v>
                </c:pt>
                <c:pt idx="12">
                  <c:v>8437682197.3057594</c:v>
                </c:pt>
                <c:pt idx="13">
                  <c:v>8437682197.3057594</c:v>
                </c:pt>
                <c:pt idx="14">
                  <c:v>8437682197.3057594</c:v>
                </c:pt>
                <c:pt idx="15">
                  <c:v>8437896501.9037514</c:v>
                </c:pt>
                <c:pt idx="16">
                  <c:v>8438388946.5119019</c:v>
                </c:pt>
                <c:pt idx="17">
                  <c:v>8438434543.2348785</c:v>
                </c:pt>
                <c:pt idx="18">
                  <c:v>8438434543.2348785</c:v>
                </c:pt>
                <c:pt idx="19">
                  <c:v>8438434543.2348785</c:v>
                </c:pt>
              </c:numCache>
            </c:numRef>
          </c:val>
          <c:extLst>
            <c:ext xmlns:c16="http://schemas.microsoft.com/office/drawing/2014/chart" uri="{C3380CC4-5D6E-409C-BE32-E72D297353CC}">
              <c16:uniqueId val="{00000000-A8E7-44FD-BFAD-8AD18C9E8D05}"/>
            </c:ext>
          </c:extLst>
        </c:ser>
        <c:ser>
          <c:idx val="1"/>
          <c:order val="1"/>
          <c:tx>
            <c:v>Upside</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'Risk Cost Sensitivity'!$B$37:$B$56</c:f>
              <c:strCache>
                <c:ptCount val="20"/>
                <c:pt idx="0">
                  <c:v>MC'!$M$27</c:v>
                </c:pt>
                <c:pt idx="1">
                  <c:v>MC'!$M$20</c:v>
                </c:pt>
                <c:pt idx="2">
                  <c:v>MC'!$M$13</c:v>
                </c:pt>
                <c:pt idx="3">
                  <c:v>MC'!$M$14</c:v>
                </c:pt>
                <c:pt idx="4">
                  <c:v>MC'!$M$35</c:v>
                </c:pt>
                <c:pt idx="5">
                  <c:v>MC'!$M$8</c:v>
                </c:pt>
                <c:pt idx="6">
                  <c:v>MC'!$M$43</c:v>
                </c:pt>
                <c:pt idx="7">
                  <c:v>MC'!$M$11</c:v>
                </c:pt>
                <c:pt idx="8">
                  <c:v>MC'!$M$7</c:v>
                </c:pt>
                <c:pt idx="9">
                  <c:v>MC'!$M$16</c:v>
                </c:pt>
                <c:pt idx="10">
                  <c:v>MC'!$M$12</c:v>
                </c:pt>
                <c:pt idx="11">
                  <c:v>MC'!$M$23</c:v>
                </c:pt>
                <c:pt idx="12">
                  <c:v>MC'!$M$36</c:v>
                </c:pt>
                <c:pt idx="13">
                  <c:v>MC'!$M$37</c:v>
                </c:pt>
                <c:pt idx="14">
                  <c:v>MC'!$M$38</c:v>
                </c:pt>
                <c:pt idx="15">
                  <c:v>MC'!$M$9</c:v>
                </c:pt>
                <c:pt idx="16">
                  <c:v>MC'!$M$6</c:v>
                </c:pt>
                <c:pt idx="17">
                  <c:v>MC'!$M$41</c:v>
                </c:pt>
                <c:pt idx="18">
                  <c:v>MC'!$M$32</c:v>
                </c:pt>
                <c:pt idx="19">
                  <c:v>MC'!$M$33</c:v>
                </c:pt>
              </c:strCache>
            </c:strRef>
          </c:cat>
          <c:val>
            <c:numRef>
              <c:f>'Risk Cost Sensitivity'!$V$37:$V$56</c:f>
              <c:numCache>
                <c:formatCode>_-* #,##0_-;\-* #,##0_-;_-* "-"??_-;_-@_-</c:formatCode>
                <c:ptCount val="20"/>
                <c:pt idx="0">
                  <c:v>8861910085.9355145</c:v>
                </c:pt>
                <c:pt idx="1">
                  <c:v>8838385299.4353371</c:v>
                </c:pt>
                <c:pt idx="2">
                  <c:v>8582830986.7536793</c:v>
                </c:pt>
                <c:pt idx="3">
                  <c:v>8538898278.0101414</c:v>
                </c:pt>
                <c:pt idx="4">
                  <c:v>8534021889.5038586</c:v>
                </c:pt>
                <c:pt idx="5">
                  <c:v>8530745918.7361813</c:v>
                </c:pt>
                <c:pt idx="6">
                  <c:v>8522456015.8788471</c:v>
                </c:pt>
                <c:pt idx="7">
                  <c:v>8500687193.2667789</c:v>
                </c:pt>
                <c:pt idx="8">
                  <c:v>8447242648.7220802</c:v>
                </c:pt>
                <c:pt idx="9">
                  <c:v>8442239283.1207561</c:v>
                </c:pt>
                <c:pt idx="10">
                  <c:v>8440463020.5360031</c:v>
                </c:pt>
                <c:pt idx="11">
                  <c:v>8440463020.5360031</c:v>
                </c:pt>
                <c:pt idx="12">
                  <c:v>8440463020.5360031</c:v>
                </c:pt>
                <c:pt idx="13">
                  <c:v>8440463020.5360031</c:v>
                </c:pt>
                <c:pt idx="14">
                  <c:v>8440463020.5360031</c:v>
                </c:pt>
                <c:pt idx="15">
                  <c:v>8440259089.3201656</c:v>
                </c:pt>
                <c:pt idx="16">
                  <c:v>8439790481.4199448</c:v>
                </c:pt>
                <c:pt idx="17">
                  <c:v>8439747091.7995539</c:v>
                </c:pt>
                <c:pt idx="18">
                  <c:v>8439747091.7995529</c:v>
                </c:pt>
                <c:pt idx="19">
                  <c:v>8439747091.7995529</c:v>
                </c:pt>
              </c:numCache>
            </c:numRef>
          </c:val>
          <c:extLst>
            <c:ext xmlns:c16="http://schemas.microsoft.com/office/drawing/2014/chart" uri="{C3380CC4-5D6E-409C-BE32-E72D297353CC}">
              <c16:uniqueId val="{00000001-A8E7-44FD-BFAD-8AD18C9E8D05}"/>
            </c:ext>
          </c:extLst>
        </c:ser>
        <c:dLbls>
          <c:showLegendKey val="0"/>
          <c:showVal val="0"/>
          <c:showCatName val="0"/>
          <c:showSerName val="0"/>
          <c:showPercent val="0"/>
          <c:showBubbleSize val="0"/>
        </c:dLbls>
        <c:gapWidth val="25"/>
        <c:overlap val="100"/>
        <c:axId val="2082296960"/>
        <c:axId val="516963600"/>
      </c:barChart>
      <c:catAx>
        <c:axId val="2082296960"/>
        <c:scaling>
          <c:orientation val="maxMin"/>
        </c:scaling>
        <c:delete val="0"/>
        <c:axPos val="l"/>
        <c:numFmt formatCode="General" sourceLinked="1"/>
        <c:majorTickMark val="out"/>
        <c:minorTickMark val="none"/>
        <c:tickLblPos val="low"/>
        <c:crossAx val="516963600"/>
        <c:crossesAt val="8439107094.8987885"/>
        <c:auto val="1"/>
        <c:lblAlgn val="ctr"/>
        <c:lblOffset val="100"/>
        <c:noMultiLvlLbl val="0"/>
      </c:catAx>
      <c:valAx>
        <c:axId val="516963600"/>
        <c:scaling>
          <c:orientation val="minMax"/>
        </c:scaling>
        <c:delete val="0"/>
        <c:axPos val="t"/>
        <c:majorGridlines/>
        <c:numFmt formatCode="_-* #,##0_-;\-* #,##0_-;_-* &quot;-&quot;??_-;_-@_-" sourceLinked="1"/>
        <c:majorTickMark val="out"/>
        <c:minorTickMark val="none"/>
        <c:tickLblPos val="nextTo"/>
        <c:crossAx val="20822969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Project Risk Cost Impact Distribution PhpM</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PRR!$AA$92:$AA$97</c:f>
              <c:strCache>
                <c:ptCount val="6"/>
                <c:pt idx="0">
                  <c:v>Engineering</c:v>
                </c:pt>
                <c:pt idx="1">
                  <c:v>Environmental</c:v>
                </c:pt>
                <c:pt idx="2">
                  <c:v>Operation</c:v>
                </c:pt>
                <c:pt idx="3">
                  <c:v>Political</c:v>
                </c:pt>
                <c:pt idx="4">
                  <c:v>PQM</c:v>
                </c:pt>
                <c:pt idx="5">
                  <c:v>Procurement</c:v>
                </c:pt>
              </c:strCache>
            </c:strRef>
          </c:cat>
          <c:val>
            <c:numRef>
              <c:f>PRR!$AD$92:$AD$97</c:f>
              <c:numCache>
                <c:formatCode>_-* #,##0_-;\-* #,##0_-;_-*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FB6-4E62-9067-DFF717005D42}"/>
            </c:ext>
          </c:extLst>
        </c:ser>
        <c:dLbls>
          <c:dLblPos val="outEnd"/>
          <c:showLegendKey val="0"/>
          <c:showVal val="1"/>
          <c:showCatName val="0"/>
          <c:showSerName val="0"/>
          <c:showPercent val="0"/>
          <c:showBubbleSize val="0"/>
        </c:dLbls>
        <c:gapWidth val="219"/>
        <c:overlap val="-27"/>
        <c:axId val="961844928"/>
        <c:axId val="867063760"/>
      </c:barChart>
      <c:catAx>
        <c:axId val="96184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63760"/>
        <c:crosses val="autoZero"/>
        <c:auto val="1"/>
        <c:lblAlgn val="ctr"/>
        <c:lblOffset val="100"/>
        <c:noMultiLvlLbl val="0"/>
      </c:catAx>
      <c:valAx>
        <c:axId val="86706376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PH" sz="1000" b="1"/>
              <a:t>Proj Risk Sched Delay Distribution (Days)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5"/>
            </a:solidFill>
            <a:ln>
              <a:no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PRR!$AA$98:$AA$103</c:f>
              <c:strCache>
                <c:ptCount val="6"/>
                <c:pt idx="0">
                  <c:v>Engineering</c:v>
                </c:pt>
                <c:pt idx="1">
                  <c:v>Environmental</c:v>
                </c:pt>
                <c:pt idx="2">
                  <c:v>Operation</c:v>
                </c:pt>
                <c:pt idx="3">
                  <c:v>Political</c:v>
                </c:pt>
                <c:pt idx="4">
                  <c:v>PQM</c:v>
                </c:pt>
                <c:pt idx="5">
                  <c:v>Procurement</c:v>
                </c:pt>
              </c:strCache>
            </c:strRef>
          </c:cat>
          <c:val>
            <c:numRef>
              <c:f>PRR!$AC$98:$AC$103</c:f>
              <c:numCache>
                <c:formatCode>_-* #,##0_-;\-* #,##0_-;_-*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A0C-4C91-9DC1-C58CABAD6E14}"/>
            </c:ext>
          </c:extLst>
        </c:ser>
        <c:dLbls>
          <c:dLblPos val="outEnd"/>
          <c:showLegendKey val="0"/>
          <c:showVal val="1"/>
          <c:showCatName val="0"/>
          <c:showSerName val="0"/>
          <c:showPercent val="0"/>
          <c:showBubbleSize val="0"/>
        </c:dLbls>
        <c:gapWidth val="219"/>
        <c:overlap val="-27"/>
        <c:axId val="623139791"/>
        <c:axId val="520650319"/>
      </c:barChart>
      <c:catAx>
        <c:axId val="62313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50319"/>
        <c:crosses val="autoZero"/>
        <c:auto val="1"/>
        <c:lblAlgn val="ctr"/>
        <c:lblOffset val="100"/>
        <c:noMultiLvlLbl val="0"/>
      </c:catAx>
      <c:valAx>
        <c:axId val="5206503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3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Residual Risk Index Distribution</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a:outerShdw blurRad="63500" sx="102000" sy="102000" algn="ctr" rotWithShape="0">
                <a:prstClr val="black">
                  <a:alpha val="40000"/>
                </a:prstClr>
              </a:outerShdw>
            </a:effectLst>
          </c:spPr>
          <c:invertIfNegative val="0"/>
          <c:dPt>
            <c:idx val="0"/>
            <c:invertIfNegative val="0"/>
            <c:bubble3D val="0"/>
            <c:spPr>
              <a:solidFill>
                <a:srgbClr val="00B050"/>
              </a:solidFill>
              <a:ln>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24D5-47B3-82DF-68C44CCAF771}"/>
              </c:ext>
            </c:extLst>
          </c:dPt>
          <c:dPt>
            <c:idx val="1"/>
            <c:invertIfNegative val="0"/>
            <c:bubble3D val="0"/>
            <c:spPr>
              <a:solidFill>
                <a:srgbClr val="FFFF00"/>
              </a:solidFill>
              <a:ln>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2-24D5-47B3-82DF-68C44CCAF771}"/>
              </c:ext>
            </c:extLst>
          </c:dPt>
          <c:dPt>
            <c:idx val="2"/>
            <c:invertIfNegative val="0"/>
            <c:bubble3D val="0"/>
            <c:spPr>
              <a:solidFill>
                <a:srgbClr val="FF0000"/>
              </a:solidFill>
              <a:ln>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24D5-47B3-82DF-68C44CCAF771}"/>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D5-47B3-82DF-68C44CCAF771}"/>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D5-47B3-82DF-68C44CCAF771}"/>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D5-47B3-82DF-68C44CCAF7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PRR!$AB$106:$AB$108</c:f>
              <c:strCache>
                <c:ptCount val="3"/>
                <c:pt idx="0">
                  <c:v>Low</c:v>
                </c:pt>
                <c:pt idx="1">
                  <c:v>Medium</c:v>
                </c:pt>
                <c:pt idx="2">
                  <c:v>High</c:v>
                </c:pt>
              </c:strCache>
            </c:strRef>
          </c:cat>
          <c:val>
            <c:numRef>
              <c:f>PRR!$AC$106:$AC$108</c:f>
              <c:numCache>
                <c:formatCode>_-* #,##0_-;\-* #,##0_-;_-* "-"??_-;_-@_-</c:formatCode>
                <c:ptCount val="3"/>
                <c:pt idx="0">
                  <c:v>0</c:v>
                </c:pt>
                <c:pt idx="1">
                  <c:v>0</c:v>
                </c:pt>
                <c:pt idx="2">
                  <c:v>0</c:v>
                </c:pt>
              </c:numCache>
            </c:numRef>
          </c:val>
          <c:extLst>
            <c:ext xmlns:c16="http://schemas.microsoft.com/office/drawing/2014/chart" uri="{C3380CC4-5D6E-409C-BE32-E72D297353CC}">
              <c16:uniqueId val="{00000000-24D5-47B3-82DF-68C44CCAF771}"/>
            </c:ext>
          </c:extLst>
        </c:ser>
        <c:dLbls>
          <c:showLegendKey val="0"/>
          <c:showVal val="0"/>
          <c:showCatName val="0"/>
          <c:showSerName val="0"/>
          <c:showPercent val="0"/>
          <c:showBubbleSize val="0"/>
        </c:dLbls>
        <c:gapWidth val="271"/>
        <c:axId val="623126591"/>
        <c:axId val="720279775"/>
      </c:barChart>
      <c:catAx>
        <c:axId val="62312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279775"/>
        <c:crosses val="autoZero"/>
        <c:auto val="1"/>
        <c:lblAlgn val="ctr"/>
        <c:lblOffset val="100"/>
        <c:noMultiLvlLbl val="0"/>
      </c:catAx>
      <c:valAx>
        <c:axId val="720279775"/>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2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a:t>Simulation: Percentile Distribution</a:t>
            </a:r>
          </a:p>
        </c:rich>
      </c:tx>
      <c:overlay val="0"/>
    </c:title>
    <c:autoTitleDeleted val="0"/>
    <c:plotArea>
      <c:layout/>
      <c:barChart>
        <c:barDir val="col"/>
        <c:grouping val="clustered"/>
        <c:varyColors val="0"/>
        <c:ser>
          <c:idx val="0"/>
          <c:order val="0"/>
          <c:invertIfNegative val="0"/>
          <c:cat>
            <c:numRef>
              <c:f>SimulationResults1!$E$5:$E$25</c:f>
              <c:numCache>
                <c:formatCode>0%</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cat>
          <c:val>
            <c:numRef>
              <c:f>SimulationResults1!$F$5:$F$25</c:f>
              <c:numCache>
                <c:formatCode>_(* #,##0.00_);_(* \(#,##0.00\);_(*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11C6-4D33-929A-CF15F7033B8C}"/>
            </c:ext>
          </c:extLst>
        </c:ser>
        <c:dLbls>
          <c:showLegendKey val="0"/>
          <c:showVal val="0"/>
          <c:showCatName val="0"/>
          <c:showSerName val="0"/>
          <c:showPercent val="0"/>
          <c:showBubbleSize val="0"/>
        </c:dLbls>
        <c:gapWidth val="150"/>
        <c:axId val="994878400"/>
        <c:axId val="994874656"/>
      </c:barChart>
      <c:catAx>
        <c:axId val="994878400"/>
        <c:scaling>
          <c:orientation val="minMax"/>
        </c:scaling>
        <c:delete val="0"/>
        <c:axPos val="b"/>
        <c:title>
          <c:tx>
            <c:rich>
              <a:bodyPr/>
              <a:lstStyle/>
              <a:p>
                <a:pPr>
                  <a:defRPr/>
                </a:pPr>
                <a:endParaRPr lang="en-PH"/>
              </a:p>
            </c:rich>
          </c:tx>
          <c:overlay val="0"/>
        </c:title>
        <c:numFmt formatCode="0%" sourceLinked="1"/>
        <c:majorTickMark val="out"/>
        <c:minorTickMark val="none"/>
        <c:tickLblPos val="nextTo"/>
        <c:crossAx val="994874656"/>
        <c:crosses val="autoZero"/>
        <c:auto val="1"/>
        <c:lblAlgn val="ctr"/>
        <c:lblOffset val="100"/>
        <c:noMultiLvlLbl val="0"/>
      </c:catAx>
      <c:valAx>
        <c:axId val="994874656"/>
        <c:scaling>
          <c:orientation val="minMax"/>
        </c:scaling>
        <c:delete val="0"/>
        <c:axPos val="l"/>
        <c:title>
          <c:tx>
            <c:rich>
              <a:bodyPr/>
              <a:lstStyle/>
              <a:p>
                <a:pPr>
                  <a:defRPr/>
                </a:pPr>
                <a:endParaRPr lang="en-PH"/>
              </a:p>
            </c:rich>
          </c:tx>
          <c:overlay val="0"/>
        </c:title>
        <c:numFmt formatCode="_(* #,##0.00_);_(* \(#,##0.00\);_(* &quot;-&quot;??_);_(@_)" sourceLinked="1"/>
        <c:majorTickMark val="out"/>
        <c:minorTickMark val="none"/>
        <c:tickLblPos val="nextTo"/>
        <c:crossAx val="994878400"/>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a:t>Simulation: Histogram</a:t>
            </a:r>
          </a:p>
        </c:rich>
      </c:tx>
      <c:overlay val="0"/>
    </c:title>
    <c:autoTitleDeleted val="0"/>
    <c:plotArea>
      <c:layout/>
      <c:barChart>
        <c:barDir val="col"/>
        <c:grouping val="clustered"/>
        <c:varyColors val="0"/>
        <c:ser>
          <c:idx val="0"/>
          <c:order val="0"/>
          <c:spPr>
            <a:ln w="3175">
              <a:solidFill>
                <a:schemeClr val="bg1"/>
              </a:solidFill>
            </a:ln>
            <a:effectLst>
              <a:outerShdw blurRad="50800" dist="38100" dir="5400000" algn="t">
                <a:prstClr val="black">
                  <a:alpha val="40000"/>
                </a:prstClr>
              </a:outerShdw>
            </a:effectLst>
          </c:spPr>
          <c:invertIfNegative val="0"/>
          <c:cat>
            <c:numRef>
              <c:f>SimulationResults1!$H$5:$H$25</c:f>
              <c:numCache>
                <c:formatCode>_(* #,##0.00_);_(* \(#,##0.00\);_(*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cat>
          <c:val>
            <c:numRef>
              <c:f>SimulationResults1!$I$5:$I$25</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B9B4-4EC2-8CBE-FBD5BBF8576A}"/>
            </c:ext>
          </c:extLst>
        </c:ser>
        <c:dLbls>
          <c:showLegendKey val="0"/>
          <c:showVal val="0"/>
          <c:showCatName val="0"/>
          <c:showSerName val="0"/>
          <c:showPercent val="0"/>
          <c:showBubbleSize val="0"/>
        </c:dLbls>
        <c:gapWidth val="0"/>
        <c:axId val="994862176"/>
        <c:axId val="994869664"/>
      </c:barChart>
      <c:catAx>
        <c:axId val="994862176"/>
        <c:scaling>
          <c:orientation val="minMax"/>
        </c:scaling>
        <c:delete val="0"/>
        <c:axPos val="b"/>
        <c:title>
          <c:tx>
            <c:rich>
              <a:bodyPr/>
              <a:lstStyle/>
              <a:p>
                <a:pPr>
                  <a:defRPr/>
                </a:pPr>
                <a:endParaRPr lang="en-PH"/>
              </a:p>
            </c:rich>
          </c:tx>
          <c:overlay val="0"/>
        </c:title>
        <c:numFmt formatCode="_(* #,##0.00_);_(* \(#,##0.00\);_(* &quot;-&quot;??_);_(@_)" sourceLinked="1"/>
        <c:majorTickMark val="out"/>
        <c:minorTickMark val="none"/>
        <c:tickLblPos val="nextTo"/>
        <c:crossAx val="994869664"/>
        <c:crosses val="autoZero"/>
        <c:auto val="1"/>
        <c:lblAlgn val="ctr"/>
        <c:lblOffset val="100"/>
        <c:noMultiLvlLbl val="0"/>
      </c:catAx>
      <c:valAx>
        <c:axId val="994869664"/>
        <c:scaling>
          <c:orientation val="minMax"/>
        </c:scaling>
        <c:delete val="0"/>
        <c:axPos val="l"/>
        <c:title>
          <c:tx>
            <c:rich>
              <a:bodyPr/>
              <a:lstStyle/>
              <a:p>
                <a:pPr>
                  <a:defRPr/>
                </a:pPr>
                <a:endParaRPr lang="en-PH"/>
              </a:p>
            </c:rich>
          </c:tx>
          <c:overlay val="0"/>
        </c:title>
        <c:numFmt formatCode="0" sourceLinked="1"/>
        <c:majorTickMark val="out"/>
        <c:minorTickMark val="none"/>
        <c:tickLblPos val="nextTo"/>
        <c:crossAx val="99486217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'Risk Sched Sensitivity'!$C$34</c:f>
          <c:strCache>
            <c:ptCount val="1"/>
            <c:pt idx="0">
              <c:v>Spider Chart: 'MC'!$R$54</c:v>
            </c:pt>
          </c:strCache>
        </c:strRef>
      </c:tx>
      <c:overlay val="0"/>
    </c:title>
    <c:autoTitleDeleted val="0"/>
    <c:plotArea>
      <c:layout/>
      <c:lineChart>
        <c:grouping val="standard"/>
        <c:varyColors val="0"/>
        <c:ser>
          <c:idx val="0"/>
          <c:order val="0"/>
          <c:tx>
            <c:strRef>
              <c:f>'Risk Sched Sensitivity'!$B$37</c:f>
              <c:strCache>
                <c:ptCount val="1"/>
                <c:pt idx="0">
                  <c:v>MC'!$R$43</c:v>
                </c:pt>
              </c:strCache>
            </c:strRef>
          </c:tx>
          <c:cat>
            <c:numRef>
              <c:f>'Risk Sched Sensitivity'!$L$36:$T$36</c:f>
              <c:numCache>
                <c:formatCode>##,###%</c:formatCode>
                <c:ptCount val="9"/>
                <c:pt idx="0">
                  <c:v>0.1</c:v>
                </c:pt>
                <c:pt idx="1">
                  <c:v>0.2</c:v>
                </c:pt>
                <c:pt idx="2">
                  <c:v>0.3</c:v>
                </c:pt>
                <c:pt idx="3">
                  <c:v>0.4</c:v>
                </c:pt>
                <c:pt idx="4">
                  <c:v>0.5</c:v>
                </c:pt>
                <c:pt idx="5">
                  <c:v>0.6</c:v>
                </c:pt>
                <c:pt idx="6">
                  <c:v>0.7</c:v>
                </c:pt>
                <c:pt idx="7">
                  <c:v>0.8</c:v>
                </c:pt>
                <c:pt idx="8">
                  <c:v>0.9</c:v>
                </c:pt>
              </c:numCache>
            </c:numRef>
          </c:cat>
          <c:val>
            <c:numRef>
              <c:f>'Risk Sched Sensitivity'!$L$37:$T$37</c:f>
              <c:numCache>
                <c:formatCode>_-* #,##0_-;\-* #,##0_-;_-* "-"??_-;_-@_-</c:formatCode>
                <c:ptCount val="9"/>
                <c:pt idx="0">
                  <c:v>1374.3085562401839</c:v>
                </c:pt>
                <c:pt idx="1">
                  <c:v>1392.5660268644672</c:v>
                </c:pt>
                <c:pt idx="2">
                  <c:v>1407.1964720942035</c:v>
                </c:pt>
                <c:pt idx="3">
                  <c:v>1420.3893749596446</c:v>
                </c:pt>
                <c:pt idx="4">
                  <c:v>1433.064907676616</c:v>
                </c:pt>
                <c:pt idx="5">
                  <c:v>1445.8480501187</c:v>
                </c:pt>
                <c:pt idx="6">
                  <c:v>1459.3888611387872</c:v>
                </c:pt>
                <c:pt idx="7">
                  <c:v>1474.7084649453113</c:v>
                </c:pt>
                <c:pt idx="8">
                  <c:v>1494.338879162691</c:v>
                </c:pt>
              </c:numCache>
            </c:numRef>
          </c:val>
          <c:smooth val="0"/>
          <c:extLst>
            <c:ext xmlns:c16="http://schemas.microsoft.com/office/drawing/2014/chart" uri="{C3380CC4-5D6E-409C-BE32-E72D297353CC}">
              <c16:uniqueId val="{00000000-EB8C-409E-BD58-B13807163C1C}"/>
            </c:ext>
          </c:extLst>
        </c:ser>
        <c:ser>
          <c:idx val="1"/>
          <c:order val="1"/>
          <c:tx>
            <c:strRef>
              <c:f>'Risk Sched Sensitivity'!$B$38</c:f>
              <c:strCache>
                <c:ptCount val="1"/>
                <c:pt idx="0">
                  <c:v>MC'!$R$27</c:v>
                </c:pt>
              </c:strCache>
            </c:strRef>
          </c:tx>
          <c:val>
            <c:numRef>
              <c:f>'Risk Sched Sensitivity'!$L$38:$T$38</c:f>
              <c:numCache>
                <c:formatCode>_-* #,##0_-;\-* #,##0_-;_-* "-"??_-;_-@_-</c:formatCode>
                <c:ptCount val="9"/>
                <c:pt idx="0">
                  <c:v>1404.0891727216631</c:v>
                </c:pt>
                <c:pt idx="1">
                  <c:v>1413.0928568651454</c:v>
                </c:pt>
                <c:pt idx="2">
                  <c:v>1420.3078709510426</c:v>
                </c:pt>
                <c:pt idx="3">
                  <c:v>1426.8139600353697</c:v>
                </c:pt>
                <c:pt idx="4">
                  <c:v>1433.064907676616</c:v>
                </c:pt>
                <c:pt idx="5">
                  <c:v>1439.3689231275068</c:v>
                </c:pt>
                <c:pt idx="6">
                  <c:v>1446.0465833565906</c:v>
                </c:pt>
                <c:pt idx="7">
                  <c:v>1453.6014564666575</c:v>
                </c:pt>
                <c:pt idx="8">
                  <c:v>1463.2822086834476</c:v>
                </c:pt>
              </c:numCache>
            </c:numRef>
          </c:val>
          <c:smooth val="0"/>
          <c:extLst>
            <c:ext xmlns:c16="http://schemas.microsoft.com/office/drawing/2014/chart" uri="{C3380CC4-5D6E-409C-BE32-E72D297353CC}">
              <c16:uniqueId val="{00000001-EB8C-409E-BD58-B13807163C1C}"/>
            </c:ext>
          </c:extLst>
        </c:ser>
        <c:ser>
          <c:idx val="2"/>
          <c:order val="2"/>
          <c:tx>
            <c:strRef>
              <c:f>'Risk Sched Sensitivity'!$B$39</c:f>
              <c:strCache>
                <c:ptCount val="1"/>
                <c:pt idx="0">
                  <c:v>MC'!$R$8</c:v>
                </c:pt>
              </c:strCache>
            </c:strRef>
          </c:tx>
          <c:val>
            <c:numRef>
              <c:f>'Risk Sched Sensitivity'!$L$39:$T$39</c:f>
              <c:numCache>
                <c:formatCode>_-* #,##0_-;\-* #,##0_-;_-* "-"??_-;_-@_-</c:formatCode>
                <c:ptCount val="9"/>
                <c:pt idx="0">
                  <c:v>1416.9672771460866</c:v>
                </c:pt>
                <c:pt idx="1">
                  <c:v>1421.9693238924658</c:v>
                </c:pt>
                <c:pt idx="2">
                  <c:v>1425.9776650512974</c:v>
                </c:pt>
                <c:pt idx="3">
                  <c:v>1429.5921589870347</c:v>
                </c:pt>
                <c:pt idx="4">
                  <c:v>1433.064907676616</c:v>
                </c:pt>
                <c:pt idx="5">
                  <c:v>1436.5671384826662</c:v>
                </c:pt>
                <c:pt idx="6">
                  <c:v>1440.2769497210463</c:v>
                </c:pt>
                <c:pt idx="7">
                  <c:v>1444.4741014488611</c:v>
                </c:pt>
                <c:pt idx="8">
                  <c:v>1449.8522971248556</c:v>
                </c:pt>
              </c:numCache>
            </c:numRef>
          </c:val>
          <c:smooth val="0"/>
          <c:extLst>
            <c:ext xmlns:c16="http://schemas.microsoft.com/office/drawing/2014/chart" uri="{C3380CC4-5D6E-409C-BE32-E72D297353CC}">
              <c16:uniqueId val="{00000002-EB8C-409E-BD58-B13807163C1C}"/>
            </c:ext>
          </c:extLst>
        </c:ser>
        <c:ser>
          <c:idx val="3"/>
          <c:order val="3"/>
          <c:tx>
            <c:strRef>
              <c:f>'Risk Sched Sensitivity'!$B$40</c:f>
              <c:strCache>
                <c:ptCount val="1"/>
                <c:pt idx="0">
                  <c:v>MC'!$R$35</c:v>
                </c:pt>
              </c:strCache>
            </c:strRef>
          </c:tx>
          <c:val>
            <c:numRef>
              <c:f>'Risk Sched Sensitivity'!$L$40:$T$40</c:f>
              <c:numCache>
                <c:formatCode>_-* #,##0_-;\-* #,##0_-;_-* "-"??_-;_-@_-</c:formatCode>
                <c:ptCount val="9"/>
                <c:pt idx="0">
                  <c:v>1416.9672771460866</c:v>
                </c:pt>
                <c:pt idx="1">
                  <c:v>1421.9693238924656</c:v>
                </c:pt>
                <c:pt idx="2">
                  <c:v>1425.9776650512974</c:v>
                </c:pt>
                <c:pt idx="3">
                  <c:v>1429.5921589870347</c:v>
                </c:pt>
                <c:pt idx="4">
                  <c:v>1433.064907676616</c:v>
                </c:pt>
                <c:pt idx="5">
                  <c:v>1436.5671384826662</c:v>
                </c:pt>
                <c:pt idx="6">
                  <c:v>1440.2769497210463</c:v>
                </c:pt>
                <c:pt idx="7">
                  <c:v>1444.4741014488611</c:v>
                </c:pt>
                <c:pt idx="8">
                  <c:v>1449.8522971248556</c:v>
                </c:pt>
              </c:numCache>
            </c:numRef>
          </c:val>
          <c:smooth val="0"/>
          <c:extLst>
            <c:ext xmlns:c16="http://schemas.microsoft.com/office/drawing/2014/chart" uri="{C3380CC4-5D6E-409C-BE32-E72D297353CC}">
              <c16:uniqueId val="{00000003-EB8C-409E-BD58-B13807163C1C}"/>
            </c:ext>
          </c:extLst>
        </c:ser>
        <c:ser>
          <c:idx val="4"/>
          <c:order val="4"/>
          <c:tx>
            <c:strRef>
              <c:f>'Risk Sched Sensitivity'!$B$41</c:f>
              <c:strCache>
                <c:ptCount val="1"/>
                <c:pt idx="0">
                  <c:v>MC'!$R$16</c:v>
                </c:pt>
              </c:strCache>
            </c:strRef>
          </c:tx>
          <c:val>
            <c:numRef>
              <c:f>'Risk Sched Sensitivity'!$L$41:$T$41</c:f>
              <c:numCache>
                <c:formatCode>_-* #,##0_-;\-* #,##0_-;_-* "-"??_-;_-@_-</c:formatCode>
                <c:ptCount val="9"/>
                <c:pt idx="0">
                  <c:v>1420.6697321681083</c:v>
                </c:pt>
                <c:pt idx="1">
                  <c:v>1424.5213081628201</c:v>
                </c:pt>
                <c:pt idx="2">
                  <c:v>1427.6077308551207</c:v>
                </c:pt>
                <c:pt idx="3">
                  <c:v>1430.3908911856386</c:v>
                </c:pt>
                <c:pt idx="4">
                  <c:v>1433.064907676616</c:v>
                </c:pt>
                <c:pt idx="5">
                  <c:v>1435.7616253972749</c:v>
                </c:pt>
                <c:pt idx="6">
                  <c:v>1438.6181800508273</c:v>
                </c:pt>
                <c:pt idx="7">
                  <c:v>1441.8499868812448</c:v>
                </c:pt>
                <c:pt idx="8">
                  <c:v>1445.9911975517605</c:v>
                </c:pt>
              </c:numCache>
            </c:numRef>
          </c:val>
          <c:smooth val="0"/>
          <c:extLst>
            <c:ext xmlns:c16="http://schemas.microsoft.com/office/drawing/2014/chart" uri="{C3380CC4-5D6E-409C-BE32-E72D297353CC}">
              <c16:uniqueId val="{00000004-EB8C-409E-BD58-B13807163C1C}"/>
            </c:ext>
          </c:extLst>
        </c:ser>
        <c:ser>
          <c:idx val="5"/>
          <c:order val="5"/>
          <c:tx>
            <c:strRef>
              <c:f>'Risk Sched Sensitivity'!$B$42</c:f>
              <c:strCache>
                <c:ptCount val="1"/>
                <c:pt idx="0">
                  <c:v>MC'!$R$36</c:v>
                </c:pt>
              </c:strCache>
            </c:strRef>
          </c:tx>
          <c:val>
            <c:numRef>
              <c:f>'Risk Sched Sensitivity'!$L$42:$T$42</c:f>
              <c:numCache>
                <c:formatCode>_-* #,##0_-;\-* #,##0_-;_-* "-"??_-;_-@_-</c:formatCode>
                <c:ptCount val="9"/>
                <c:pt idx="0">
                  <c:v>1423.4063293582983</c:v>
                </c:pt>
                <c:pt idx="1">
                  <c:v>1426.4075574061255</c:v>
                </c:pt>
                <c:pt idx="2">
                  <c:v>1428.8125621014249</c:v>
                </c:pt>
                <c:pt idx="3">
                  <c:v>1430.9812584628671</c:v>
                </c:pt>
                <c:pt idx="4">
                  <c:v>1433.064907676616</c:v>
                </c:pt>
                <c:pt idx="5">
                  <c:v>1435.1662461602461</c:v>
                </c:pt>
                <c:pt idx="6">
                  <c:v>1437.3921329032742</c:v>
                </c:pt>
                <c:pt idx="7">
                  <c:v>1439.910423939963</c:v>
                </c:pt>
                <c:pt idx="8">
                  <c:v>1443.1373413455597</c:v>
                </c:pt>
              </c:numCache>
            </c:numRef>
          </c:val>
          <c:smooth val="0"/>
          <c:extLst>
            <c:ext xmlns:c16="http://schemas.microsoft.com/office/drawing/2014/chart" uri="{C3380CC4-5D6E-409C-BE32-E72D297353CC}">
              <c16:uniqueId val="{00000005-EB8C-409E-BD58-B13807163C1C}"/>
            </c:ext>
          </c:extLst>
        </c:ser>
        <c:ser>
          <c:idx val="6"/>
          <c:order val="6"/>
          <c:tx>
            <c:strRef>
              <c:f>'Risk Sched Sensitivity'!$B$43</c:f>
              <c:strCache>
                <c:ptCount val="1"/>
                <c:pt idx="0">
                  <c:v>MC'!$R$37</c:v>
                </c:pt>
              </c:strCache>
            </c:strRef>
          </c:tx>
          <c:val>
            <c:numRef>
              <c:f>'Risk Sched Sensitivity'!$L$43:$T$43</c:f>
              <c:numCache>
                <c:formatCode>_-* #,##0_-;\-* #,##0_-;_-* "-"??_-;_-@_-</c:formatCode>
                <c:ptCount val="9"/>
                <c:pt idx="0">
                  <c:v>1423.4063293582983</c:v>
                </c:pt>
                <c:pt idx="1">
                  <c:v>1426.4075574061255</c:v>
                </c:pt>
                <c:pt idx="2">
                  <c:v>1428.8125621014249</c:v>
                </c:pt>
                <c:pt idx="3">
                  <c:v>1430.9812584628671</c:v>
                </c:pt>
                <c:pt idx="4">
                  <c:v>1433.064907676616</c:v>
                </c:pt>
                <c:pt idx="5">
                  <c:v>1435.1662461602461</c:v>
                </c:pt>
                <c:pt idx="6">
                  <c:v>1437.3921329032742</c:v>
                </c:pt>
                <c:pt idx="7">
                  <c:v>1439.910423939963</c:v>
                </c:pt>
                <c:pt idx="8">
                  <c:v>1443.1373413455597</c:v>
                </c:pt>
              </c:numCache>
            </c:numRef>
          </c:val>
          <c:smooth val="0"/>
          <c:extLst>
            <c:ext xmlns:c16="http://schemas.microsoft.com/office/drawing/2014/chart" uri="{C3380CC4-5D6E-409C-BE32-E72D297353CC}">
              <c16:uniqueId val="{00000006-EB8C-409E-BD58-B13807163C1C}"/>
            </c:ext>
          </c:extLst>
        </c:ser>
        <c:ser>
          <c:idx val="7"/>
          <c:order val="7"/>
          <c:tx>
            <c:strRef>
              <c:f>'Risk Sched Sensitivity'!$B$44</c:f>
              <c:strCache>
                <c:ptCount val="1"/>
                <c:pt idx="0">
                  <c:v>MC'!$R$38</c:v>
                </c:pt>
              </c:strCache>
            </c:strRef>
          </c:tx>
          <c:val>
            <c:numRef>
              <c:f>'Risk Sched Sensitivity'!$L$44:$T$44</c:f>
              <c:numCache>
                <c:formatCode>_-* #,##0_-;\-* #,##0_-;_-* "-"??_-;_-@_-</c:formatCode>
                <c:ptCount val="9"/>
                <c:pt idx="0">
                  <c:v>1423.4063293582983</c:v>
                </c:pt>
                <c:pt idx="1">
                  <c:v>1426.4075574061255</c:v>
                </c:pt>
                <c:pt idx="2">
                  <c:v>1428.8125621014249</c:v>
                </c:pt>
                <c:pt idx="3">
                  <c:v>1430.9812584628671</c:v>
                </c:pt>
                <c:pt idx="4">
                  <c:v>1433.064907676616</c:v>
                </c:pt>
                <c:pt idx="5">
                  <c:v>1435.1662461602461</c:v>
                </c:pt>
                <c:pt idx="6">
                  <c:v>1437.3921329032742</c:v>
                </c:pt>
                <c:pt idx="7">
                  <c:v>1439.910423939963</c:v>
                </c:pt>
                <c:pt idx="8">
                  <c:v>1443.1373413455597</c:v>
                </c:pt>
              </c:numCache>
            </c:numRef>
          </c:val>
          <c:smooth val="0"/>
          <c:extLst>
            <c:ext xmlns:c16="http://schemas.microsoft.com/office/drawing/2014/chart" uri="{C3380CC4-5D6E-409C-BE32-E72D297353CC}">
              <c16:uniqueId val="{00000007-EB8C-409E-BD58-B13807163C1C}"/>
            </c:ext>
          </c:extLst>
        </c:ser>
        <c:ser>
          <c:idx val="8"/>
          <c:order val="8"/>
          <c:tx>
            <c:strRef>
              <c:f>'Risk Sched Sensitivity'!$B$45</c:f>
              <c:strCache>
                <c:ptCount val="1"/>
                <c:pt idx="0">
                  <c:v>MC'!$R$9</c:v>
                </c:pt>
              </c:strCache>
            </c:strRef>
          </c:tx>
          <c:val>
            <c:numRef>
              <c:f>'Risk Sched Sensitivity'!$L$45:$T$45</c:f>
              <c:numCache>
                <c:formatCode>_-* #,##0_-;\-* #,##0_-;_-* "-"??_-;_-@_-</c:formatCode>
                <c:ptCount val="9"/>
                <c:pt idx="0">
                  <c:v>1427.2697606856254</c:v>
                </c:pt>
                <c:pt idx="1">
                  <c:v>1429.0704975143219</c:v>
                </c:pt>
                <c:pt idx="2">
                  <c:v>1430.5135003315013</c:v>
                </c:pt>
                <c:pt idx="3">
                  <c:v>1431.8147181483666</c:v>
                </c:pt>
                <c:pt idx="4">
                  <c:v>1433.064907676616</c:v>
                </c:pt>
                <c:pt idx="5">
                  <c:v>1434.3257107667941</c:v>
                </c:pt>
                <c:pt idx="6">
                  <c:v>1435.6612428126111</c:v>
                </c:pt>
                <c:pt idx="7">
                  <c:v>1437.1722174346244</c:v>
                </c:pt>
                <c:pt idx="8">
                  <c:v>1439.1083678779821</c:v>
                </c:pt>
              </c:numCache>
            </c:numRef>
          </c:val>
          <c:smooth val="0"/>
          <c:extLst>
            <c:ext xmlns:c16="http://schemas.microsoft.com/office/drawing/2014/chart" uri="{C3380CC4-5D6E-409C-BE32-E72D297353CC}">
              <c16:uniqueId val="{00000008-EB8C-409E-BD58-B13807163C1C}"/>
            </c:ext>
          </c:extLst>
        </c:ser>
        <c:ser>
          <c:idx val="9"/>
          <c:order val="9"/>
          <c:tx>
            <c:strRef>
              <c:f>'Risk Sched Sensitivity'!$B$46</c:f>
              <c:strCache>
                <c:ptCount val="1"/>
                <c:pt idx="0">
                  <c:v>MC'!$R$53</c:v>
                </c:pt>
              </c:strCache>
            </c:strRef>
          </c:tx>
          <c:val>
            <c:numRef>
              <c:f>'Risk Sched Sensitivity'!$L$46:$T$46</c:f>
              <c:numCache>
                <c:formatCode>_-* #,##0_-;\-* #,##0_-;_-* "-"??_-;_-@_-</c:formatCode>
                <c:ptCount val="9"/>
                <c:pt idx="0">
                  <c:v>1428.2356185174574</c:v>
                </c:pt>
                <c:pt idx="1">
                  <c:v>1429.736232541371</c:v>
                </c:pt>
                <c:pt idx="2">
                  <c:v>1430.9387348890207</c:v>
                </c:pt>
                <c:pt idx="3">
                  <c:v>1432.0230830697417</c:v>
                </c:pt>
                <c:pt idx="4">
                  <c:v>1433.064907676616</c:v>
                </c:pt>
                <c:pt idx="5">
                  <c:v>1434.1155769184313</c:v>
                </c:pt>
                <c:pt idx="6">
                  <c:v>1435.2285202899452</c:v>
                </c:pt>
                <c:pt idx="7">
                  <c:v>1436.4876658082896</c:v>
                </c:pt>
                <c:pt idx="8">
                  <c:v>1438.1011245110881</c:v>
                </c:pt>
              </c:numCache>
            </c:numRef>
          </c:val>
          <c:smooth val="0"/>
          <c:extLst>
            <c:ext xmlns:c16="http://schemas.microsoft.com/office/drawing/2014/chart" uri="{C3380CC4-5D6E-409C-BE32-E72D297353CC}">
              <c16:uniqueId val="{00000009-EB8C-409E-BD58-B13807163C1C}"/>
            </c:ext>
          </c:extLst>
        </c:ser>
        <c:ser>
          <c:idx val="10"/>
          <c:order val="10"/>
          <c:tx>
            <c:strRef>
              <c:f>'Risk Sched Sensitivity'!$B$47</c:f>
              <c:strCache>
                <c:ptCount val="1"/>
                <c:pt idx="0">
                  <c:v>MC'!$R$6</c:v>
                </c:pt>
              </c:strCache>
            </c:strRef>
          </c:tx>
          <c:val>
            <c:numRef>
              <c:f>'Risk Sched Sensitivity'!$L$47:$T$47</c:f>
              <c:numCache>
                <c:formatCode>_-* #,##0_-;\-* #,##0_-;_-* "-"??_-;_-@_-</c:formatCode>
                <c:ptCount val="9"/>
                <c:pt idx="0">
                  <c:v>1428.2356185174572</c:v>
                </c:pt>
                <c:pt idx="1">
                  <c:v>1429.7362325413708</c:v>
                </c:pt>
                <c:pt idx="2">
                  <c:v>1430.9387348890202</c:v>
                </c:pt>
                <c:pt idx="3">
                  <c:v>1432.0230830697417</c:v>
                </c:pt>
                <c:pt idx="4">
                  <c:v>1433.064907676616</c:v>
                </c:pt>
                <c:pt idx="5">
                  <c:v>1434.1155769184311</c:v>
                </c:pt>
                <c:pt idx="6">
                  <c:v>1435.228520289945</c:v>
                </c:pt>
                <c:pt idx="7">
                  <c:v>1436.4876658082896</c:v>
                </c:pt>
                <c:pt idx="8">
                  <c:v>1438.1011245110878</c:v>
                </c:pt>
              </c:numCache>
            </c:numRef>
          </c:val>
          <c:smooth val="0"/>
          <c:extLst>
            <c:ext xmlns:c16="http://schemas.microsoft.com/office/drawing/2014/chart" uri="{C3380CC4-5D6E-409C-BE32-E72D297353CC}">
              <c16:uniqueId val="{0000000A-EB8C-409E-BD58-B13807163C1C}"/>
            </c:ext>
          </c:extLst>
        </c:ser>
        <c:ser>
          <c:idx val="11"/>
          <c:order val="11"/>
          <c:tx>
            <c:strRef>
              <c:f>'Risk Sched Sensitivity'!$B$48</c:f>
              <c:strCache>
                <c:ptCount val="1"/>
                <c:pt idx="0">
                  <c:v>MC'!$R$7</c:v>
                </c:pt>
              </c:strCache>
            </c:strRef>
          </c:tx>
          <c:val>
            <c:numRef>
              <c:f>'Risk Sched Sensitivity'!$L$48:$T$48</c:f>
              <c:numCache>
                <c:formatCode>_-* #,##0_-;\-* #,##0_-;_-* "-"??_-;_-@_-</c:formatCode>
                <c:ptCount val="9"/>
                <c:pt idx="0">
                  <c:v>1428.2356185174572</c:v>
                </c:pt>
                <c:pt idx="1">
                  <c:v>1429.7362325413708</c:v>
                </c:pt>
                <c:pt idx="2">
                  <c:v>1430.9387348890202</c:v>
                </c:pt>
                <c:pt idx="3">
                  <c:v>1432.0230830697417</c:v>
                </c:pt>
                <c:pt idx="4">
                  <c:v>1433.064907676616</c:v>
                </c:pt>
                <c:pt idx="5">
                  <c:v>1434.1155769184311</c:v>
                </c:pt>
                <c:pt idx="6">
                  <c:v>1435.228520289945</c:v>
                </c:pt>
                <c:pt idx="7">
                  <c:v>1436.4876658082896</c:v>
                </c:pt>
                <c:pt idx="8">
                  <c:v>1438.1011245110878</c:v>
                </c:pt>
              </c:numCache>
            </c:numRef>
          </c:val>
          <c:smooth val="0"/>
          <c:extLst>
            <c:ext xmlns:c16="http://schemas.microsoft.com/office/drawing/2014/chart" uri="{C3380CC4-5D6E-409C-BE32-E72D297353CC}">
              <c16:uniqueId val="{0000000B-EB8C-409E-BD58-B13807163C1C}"/>
            </c:ext>
          </c:extLst>
        </c:ser>
        <c:ser>
          <c:idx val="12"/>
          <c:order val="12"/>
          <c:tx>
            <c:strRef>
              <c:f>'Risk Sched Sensitivity'!$B$49</c:f>
              <c:strCache>
                <c:ptCount val="1"/>
                <c:pt idx="0">
                  <c:v>MC'!$R$12</c:v>
                </c:pt>
              </c:strCache>
            </c:strRef>
          </c:tx>
          <c:val>
            <c:numRef>
              <c:f>'Risk Sched Sensitivity'!$L$49:$T$49</c:f>
              <c:numCache>
                <c:formatCode>_-* #,##0_-;\-* #,##0_-;_-* "-"??_-;_-@_-</c:formatCode>
                <c:ptCount val="9"/>
                <c:pt idx="0">
                  <c:v>1428.2356185174572</c:v>
                </c:pt>
                <c:pt idx="1">
                  <c:v>1429.7362325413708</c:v>
                </c:pt>
                <c:pt idx="2">
                  <c:v>1430.9387348890205</c:v>
                </c:pt>
                <c:pt idx="3">
                  <c:v>1432.0230830697417</c:v>
                </c:pt>
                <c:pt idx="4">
                  <c:v>1433.064907676616</c:v>
                </c:pt>
                <c:pt idx="5">
                  <c:v>1434.1155769184311</c:v>
                </c:pt>
                <c:pt idx="6">
                  <c:v>1435.228520289945</c:v>
                </c:pt>
                <c:pt idx="7">
                  <c:v>1436.4876658082896</c:v>
                </c:pt>
                <c:pt idx="8">
                  <c:v>1438.1011245110878</c:v>
                </c:pt>
              </c:numCache>
            </c:numRef>
          </c:val>
          <c:smooth val="0"/>
          <c:extLst>
            <c:ext xmlns:c16="http://schemas.microsoft.com/office/drawing/2014/chart" uri="{C3380CC4-5D6E-409C-BE32-E72D297353CC}">
              <c16:uniqueId val="{0000000C-EB8C-409E-BD58-B13807163C1C}"/>
            </c:ext>
          </c:extLst>
        </c:ser>
        <c:ser>
          <c:idx val="13"/>
          <c:order val="13"/>
          <c:tx>
            <c:strRef>
              <c:f>'Risk Sched Sensitivity'!$B$50</c:f>
              <c:strCache>
                <c:ptCount val="1"/>
                <c:pt idx="0">
                  <c:v>MC'!$R$20</c:v>
                </c:pt>
              </c:strCache>
            </c:strRef>
          </c:tx>
          <c:val>
            <c:numRef>
              <c:f>'Risk Sched Sensitivity'!$L$50:$T$50</c:f>
              <c:numCache>
                <c:formatCode>_-* #,##0_-;\-* #,##0_-;_-* "-"??_-;_-@_-</c:formatCode>
                <c:ptCount val="9"/>
                <c:pt idx="0">
                  <c:v>1428.2356185174572</c:v>
                </c:pt>
                <c:pt idx="1">
                  <c:v>1429.7362325413708</c:v>
                </c:pt>
                <c:pt idx="2">
                  <c:v>1430.9387348890202</c:v>
                </c:pt>
                <c:pt idx="3">
                  <c:v>1432.0230830697417</c:v>
                </c:pt>
                <c:pt idx="4">
                  <c:v>1433.064907676616</c:v>
                </c:pt>
                <c:pt idx="5">
                  <c:v>1434.1155769184311</c:v>
                </c:pt>
                <c:pt idx="6">
                  <c:v>1435.228520289945</c:v>
                </c:pt>
                <c:pt idx="7">
                  <c:v>1436.4876658082896</c:v>
                </c:pt>
                <c:pt idx="8">
                  <c:v>1438.1011245110878</c:v>
                </c:pt>
              </c:numCache>
            </c:numRef>
          </c:val>
          <c:smooth val="0"/>
          <c:extLst>
            <c:ext xmlns:c16="http://schemas.microsoft.com/office/drawing/2014/chart" uri="{C3380CC4-5D6E-409C-BE32-E72D297353CC}">
              <c16:uniqueId val="{0000000D-EB8C-409E-BD58-B13807163C1C}"/>
            </c:ext>
          </c:extLst>
        </c:ser>
        <c:ser>
          <c:idx val="14"/>
          <c:order val="14"/>
          <c:tx>
            <c:strRef>
              <c:f>'Risk Sched Sensitivity'!$B$51</c:f>
              <c:strCache>
                <c:ptCount val="1"/>
                <c:pt idx="0">
                  <c:v>MC'!$R$23</c:v>
                </c:pt>
              </c:strCache>
            </c:strRef>
          </c:tx>
          <c:val>
            <c:numRef>
              <c:f>'Risk Sched Sensitivity'!$L$51:$T$51</c:f>
              <c:numCache>
                <c:formatCode>_-* #,##0_-;\-* #,##0_-;_-* "-"??_-;_-@_-</c:formatCode>
                <c:ptCount val="9"/>
                <c:pt idx="0">
                  <c:v>1428.2356185174572</c:v>
                </c:pt>
                <c:pt idx="1">
                  <c:v>1429.7362325413708</c:v>
                </c:pt>
                <c:pt idx="2">
                  <c:v>1430.9387348890202</c:v>
                </c:pt>
                <c:pt idx="3">
                  <c:v>1432.0230830697417</c:v>
                </c:pt>
                <c:pt idx="4">
                  <c:v>1433.064907676616</c:v>
                </c:pt>
                <c:pt idx="5">
                  <c:v>1434.1155769184311</c:v>
                </c:pt>
                <c:pt idx="6">
                  <c:v>1435.228520289945</c:v>
                </c:pt>
                <c:pt idx="7">
                  <c:v>1436.4876658082896</c:v>
                </c:pt>
                <c:pt idx="8">
                  <c:v>1438.1011245110878</c:v>
                </c:pt>
              </c:numCache>
            </c:numRef>
          </c:val>
          <c:smooth val="0"/>
          <c:extLst>
            <c:ext xmlns:c16="http://schemas.microsoft.com/office/drawing/2014/chart" uri="{C3380CC4-5D6E-409C-BE32-E72D297353CC}">
              <c16:uniqueId val="{0000000E-EB8C-409E-BD58-B13807163C1C}"/>
            </c:ext>
          </c:extLst>
        </c:ser>
        <c:ser>
          <c:idx val="15"/>
          <c:order val="15"/>
          <c:tx>
            <c:strRef>
              <c:f>'Risk Sched Sensitivity'!$B$52</c:f>
              <c:strCache>
                <c:ptCount val="1"/>
                <c:pt idx="0">
                  <c:v>MC'!$R$26</c:v>
                </c:pt>
              </c:strCache>
            </c:strRef>
          </c:tx>
          <c:val>
            <c:numRef>
              <c:f>'Risk Sched Sensitivity'!$L$52:$T$52</c:f>
              <c:numCache>
                <c:formatCode>_-* #,##0_-;\-* #,##0_-;_-* "-"??_-;_-@_-</c:formatCode>
                <c:ptCount val="9"/>
                <c:pt idx="0">
                  <c:v>1428.2356185174572</c:v>
                </c:pt>
                <c:pt idx="1">
                  <c:v>1429.7362325413708</c:v>
                </c:pt>
                <c:pt idx="2">
                  <c:v>1430.9387348890202</c:v>
                </c:pt>
                <c:pt idx="3">
                  <c:v>1432.0230830697417</c:v>
                </c:pt>
                <c:pt idx="4">
                  <c:v>1433.064907676616</c:v>
                </c:pt>
                <c:pt idx="5">
                  <c:v>1434.1155769184311</c:v>
                </c:pt>
                <c:pt idx="6">
                  <c:v>1435.228520289945</c:v>
                </c:pt>
                <c:pt idx="7">
                  <c:v>1436.4876658082896</c:v>
                </c:pt>
                <c:pt idx="8">
                  <c:v>1438.1011245110878</c:v>
                </c:pt>
              </c:numCache>
            </c:numRef>
          </c:val>
          <c:smooth val="0"/>
          <c:extLst>
            <c:ext xmlns:c16="http://schemas.microsoft.com/office/drawing/2014/chart" uri="{C3380CC4-5D6E-409C-BE32-E72D297353CC}">
              <c16:uniqueId val="{0000000F-EB8C-409E-BD58-B13807163C1C}"/>
            </c:ext>
          </c:extLst>
        </c:ser>
        <c:ser>
          <c:idx val="16"/>
          <c:order val="16"/>
          <c:tx>
            <c:strRef>
              <c:f>'Risk Sched Sensitivity'!$B$53</c:f>
              <c:strCache>
                <c:ptCount val="1"/>
                <c:pt idx="0">
                  <c:v>MC'!$R$4</c:v>
                </c:pt>
              </c:strCache>
            </c:strRef>
          </c:tx>
          <c:val>
            <c:numRef>
              <c:f>'Risk Sched Sensitivity'!$L$53:$T$53</c:f>
              <c:numCache>
                <c:formatCode>_-* #,##0_-;\-* #,##0_-;_-* "-"??_-;_-@_-</c:formatCode>
                <c:ptCount val="9"/>
                <c:pt idx="0">
                  <c:v>1429.84538157051</c:v>
                </c:pt>
                <c:pt idx="1">
                  <c:v>1430.8457909197857</c:v>
                </c:pt>
                <c:pt idx="2">
                  <c:v>1431.6474591515523</c:v>
                </c:pt>
                <c:pt idx="3">
                  <c:v>1432.3703579386997</c:v>
                </c:pt>
                <c:pt idx="4">
                  <c:v>1433.064907676616</c:v>
                </c:pt>
                <c:pt idx="5">
                  <c:v>1433.7653538378261</c:v>
                </c:pt>
                <c:pt idx="6">
                  <c:v>1434.507316085502</c:v>
                </c:pt>
                <c:pt idx="7">
                  <c:v>1435.346746431065</c:v>
                </c:pt>
                <c:pt idx="8">
                  <c:v>1436.4223855662638</c:v>
                </c:pt>
              </c:numCache>
            </c:numRef>
          </c:val>
          <c:smooth val="0"/>
          <c:extLst>
            <c:ext xmlns:c16="http://schemas.microsoft.com/office/drawing/2014/chart" uri="{C3380CC4-5D6E-409C-BE32-E72D297353CC}">
              <c16:uniqueId val="{00000010-EB8C-409E-BD58-B13807163C1C}"/>
            </c:ext>
          </c:extLst>
        </c:ser>
        <c:ser>
          <c:idx val="17"/>
          <c:order val="17"/>
          <c:tx>
            <c:strRef>
              <c:f>'Risk Sched Sensitivity'!$B$54</c:f>
              <c:strCache>
                <c:ptCount val="1"/>
                <c:pt idx="0">
                  <c:v>MC'!$R$32</c:v>
                </c:pt>
              </c:strCache>
            </c:strRef>
          </c:tx>
          <c:val>
            <c:numRef>
              <c:f>'Risk Sched Sensitivity'!$L$54:$T$54</c:f>
              <c:numCache>
                <c:formatCode>_-* #,##0_-;\-* #,##0_-;_-* "-"??_-;_-@_-</c:formatCode>
                <c:ptCount val="9"/>
                <c:pt idx="0">
                  <c:v>1429.84538157051</c:v>
                </c:pt>
                <c:pt idx="1">
                  <c:v>1430.8457909197857</c:v>
                </c:pt>
                <c:pt idx="2">
                  <c:v>1431.6474591515523</c:v>
                </c:pt>
                <c:pt idx="3">
                  <c:v>1432.3703579386995</c:v>
                </c:pt>
                <c:pt idx="4">
                  <c:v>1433.064907676616</c:v>
                </c:pt>
                <c:pt idx="5">
                  <c:v>1433.7653538378261</c:v>
                </c:pt>
                <c:pt idx="6">
                  <c:v>1434.507316085502</c:v>
                </c:pt>
                <c:pt idx="7">
                  <c:v>1435.346746431065</c:v>
                </c:pt>
                <c:pt idx="8">
                  <c:v>1436.4223855662638</c:v>
                </c:pt>
              </c:numCache>
            </c:numRef>
          </c:val>
          <c:smooth val="0"/>
          <c:extLst>
            <c:ext xmlns:c16="http://schemas.microsoft.com/office/drawing/2014/chart" uri="{C3380CC4-5D6E-409C-BE32-E72D297353CC}">
              <c16:uniqueId val="{00000011-EB8C-409E-BD58-B13807163C1C}"/>
            </c:ext>
          </c:extLst>
        </c:ser>
        <c:ser>
          <c:idx val="18"/>
          <c:order val="18"/>
          <c:tx>
            <c:strRef>
              <c:f>'Risk Sched Sensitivity'!$B$55</c:f>
              <c:strCache>
                <c:ptCount val="1"/>
                <c:pt idx="0">
                  <c:v>MC'!$R$33</c:v>
                </c:pt>
              </c:strCache>
            </c:strRef>
          </c:tx>
          <c:val>
            <c:numRef>
              <c:f>'Risk Sched Sensitivity'!$L$55:$T$55</c:f>
              <c:numCache>
                <c:formatCode>_-* #,##0_-;\-* #,##0_-;_-* "-"??_-;_-@_-</c:formatCode>
                <c:ptCount val="9"/>
                <c:pt idx="0">
                  <c:v>1429.84538157051</c:v>
                </c:pt>
                <c:pt idx="1">
                  <c:v>1430.8457909197857</c:v>
                </c:pt>
                <c:pt idx="2">
                  <c:v>1431.6474591515523</c:v>
                </c:pt>
                <c:pt idx="3">
                  <c:v>1432.3703579386995</c:v>
                </c:pt>
                <c:pt idx="4">
                  <c:v>1433.064907676616</c:v>
                </c:pt>
                <c:pt idx="5">
                  <c:v>1433.7653538378261</c:v>
                </c:pt>
                <c:pt idx="6">
                  <c:v>1434.507316085502</c:v>
                </c:pt>
                <c:pt idx="7">
                  <c:v>1435.346746431065</c:v>
                </c:pt>
                <c:pt idx="8">
                  <c:v>1436.4223855662638</c:v>
                </c:pt>
              </c:numCache>
            </c:numRef>
          </c:val>
          <c:smooth val="0"/>
          <c:extLst>
            <c:ext xmlns:c16="http://schemas.microsoft.com/office/drawing/2014/chart" uri="{C3380CC4-5D6E-409C-BE32-E72D297353CC}">
              <c16:uniqueId val="{00000012-EB8C-409E-BD58-B13807163C1C}"/>
            </c:ext>
          </c:extLst>
        </c:ser>
        <c:ser>
          <c:idx val="19"/>
          <c:order val="19"/>
          <c:tx>
            <c:strRef>
              <c:f>'Risk Sched Sensitivity'!$B$56</c:f>
              <c:strCache>
                <c:ptCount val="1"/>
                <c:pt idx="0">
                  <c:v>MC'!$R$34</c:v>
                </c:pt>
              </c:strCache>
            </c:strRef>
          </c:tx>
          <c:val>
            <c:numRef>
              <c:f>'Risk Sched Sensitivity'!$L$56:$T$56</c:f>
              <c:numCache>
                <c:formatCode>_-* #,##0_-;\-* #,##0_-;_-* "-"??_-;_-@_-</c:formatCode>
                <c:ptCount val="9"/>
                <c:pt idx="0">
                  <c:v>1429.84538157051</c:v>
                </c:pt>
                <c:pt idx="1">
                  <c:v>1430.8457909197857</c:v>
                </c:pt>
                <c:pt idx="2">
                  <c:v>1431.6474591515523</c:v>
                </c:pt>
                <c:pt idx="3">
                  <c:v>1432.3703579386995</c:v>
                </c:pt>
                <c:pt idx="4">
                  <c:v>1433.064907676616</c:v>
                </c:pt>
                <c:pt idx="5">
                  <c:v>1433.7653538378261</c:v>
                </c:pt>
                <c:pt idx="6">
                  <c:v>1434.507316085502</c:v>
                </c:pt>
                <c:pt idx="7">
                  <c:v>1435.346746431065</c:v>
                </c:pt>
                <c:pt idx="8">
                  <c:v>1436.4223855662638</c:v>
                </c:pt>
              </c:numCache>
            </c:numRef>
          </c:val>
          <c:smooth val="0"/>
          <c:extLst>
            <c:ext xmlns:c16="http://schemas.microsoft.com/office/drawing/2014/chart" uri="{C3380CC4-5D6E-409C-BE32-E72D297353CC}">
              <c16:uniqueId val="{00000013-EB8C-409E-BD58-B13807163C1C}"/>
            </c:ext>
          </c:extLst>
        </c:ser>
        <c:dLbls>
          <c:showLegendKey val="0"/>
          <c:showVal val="0"/>
          <c:showCatName val="0"/>
          <c:showSerName val="0"/>
          <c:showPercent val="0"/>
          <c:showBubbleSize val="0"/>
        </c:dLbls>
        <c:marker val="1"/>
        <c:smooth val="0"/>
        <c:axId val="2031944512"/>
        <c:axId val="2037778144"/>
      </c:lineChart>
      <c:catAx>
        <c:axId val="2031944512"/>
        <c:scaling>
          <c:orientation val="minMax"/>
        </c:scaling>
        <c:delete val="0"/>
        <c:axPos val="b"/>
        <c:numFmt formatCode="##,###%" sourceLinked="1"/>
        <c:majorTickMark val="out"/>
        <c:minorTickMark val="none"/>
        <c:tickLblPos val="nextTo"/>
        <c:crossAx val="2037778144"/>
        <c:crosses val="autoZero"/>
        <c:auto val="1"/>
        <c:lblAlgn val="ctr"/>
        <c:lblOffset val="100"/>
        <c:noMultiLvlLbl val="0"/>
      </c:catAx>
      <c:valAx>
        <c:axId val="2037778144"/>
        <c:scaling>
          <c:orientation val="minMax"/>
        </c:scaling>
        <c:delete val="0"/>
        <c:axPos val="l"/>
        <c:majorGridlines/>
        <c:numFmt formatCode="_-* #,##0_-;\-* #,##0_-;_-* &quot;-&quot;??_-;_-@_-" sourceLinked="1"/>
        <c:majorTickMark val="out"/>
        <c:minorTickMark val="none"/>
        <c:tickLblPos val="nextTo"/>
        <c:crossAx val="203194451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'Risk Sched Sensitivity'!$U$34</c:f>
          <c:strCache>
            <c:ptCount val="1"/>
            <c:pt idx="0">
              <c:v>Tornado Chart: 'MC'!$R$54</c:v>
            </c:pt>
          </c:strCache>
        </c:strRef>
      </c:tx>
      <c:overlay val="0"/>
    </c:title>
    <c:autoTitleDeleted val="0"/>
    <c:plotArea>
      <c:layout/>
      <c:barChart>
        <c:barDir val="bar"/>
        <c:grouping val="clustered"/>
        <c:varyColors val="0"/>
        <c:ser>
          <c:idx val="0"/>
          <c:order val="0"/>
          <c:tx>
            <c:v>Downside</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'Risk Sched Sensitivity'!$B$37:$B$56</c:f>
              <c:strCache>
                <c:ptCount val="20"/>
                <c:pt idx="0">
                  <c:v>MC'!$R$43</c:v>
                </c:pt>
                <c:pt idx="1">
                  <c:v>MC'!$R$27</c:v>
                </c:pt>
                <c:pt idx="2">
                  <c:v>MC'!$R$8</c:v>
                </c:pt>
                <c:pt idx="3">
                  <c:v>MC'!$R$35</c:v>
                </c:pt>
                <c:pt idx="4">
                  <c:v>MC'!$R$16</c:v>
                </c:pt>
                <c:pt idx="5">
                  <c:v>MC'!$R$36</c:v>
                </c:pt>
                <c:pt idx="6">
                  <c:v>MC'!$R$37</c:v>
                </c:pt>
                <c:pt idx="7">
                  <c:v>MC'!$R$38</c:v>
                </c:pt>
                <c:pt idx="8">
                  <c:v>MC'!$R$9</c:v>
                </c:pt>
                <c:pt idx="9">
                  <c:v>MC'!$R$53</c:v>
                </c:pt>
                <c:pt idx="10">
                  <c:v>MC'!$R$6</c:v>
                </c:pt>
                <c:pt idx="11">
                  <c:v>MC'!$R$7</c:v>
                </c:pt>
                <c:pt idx="12">
                  <c:v>MC'!$R$12</c:v>
                </c:pt>
                <c:pt idx="13">
                  <c:v>MC'!$R$20</c:v>
                </c:pt>
                <c:pt idx="14">
                  <c:v>MC'!$R$23</c:v>
                </c:pt>
                <c:pt idx="15">
                  <c:v>MC'!$R$26</c:v>
                </c:pt>
                <c:pt idx="16">
                  <c:v>MC'!$R$4</c:v>
                </c:pt>
                <c:pt idx="17">
                  <c:v>MC'!$R$32</c:v>
                </c:pt>
                <c:pt idx="18">
                  <c:v>MC'!$R$33</c:v>
                </c:pt>
                <c:pt idx="19">
                  <c:v>MC'!$R$34</c:v>
                </c:pt>
              </c:strCache>
            </c:strRef>
          </c:cat>
          <c:val>
            <c:numRef>
              <c:f>'Risk Sched Sensitivity'!$U$37:$U$56</c:f>
              <c:numCache>
                <c:formatCode>_-* #,##0_-;\-* #,##0_-;_-* "-"??_-;_-@_-</c:formatCode>
                <c:ptCount val="20"/>
                <c:pt idx="0">
                  <c:v>1374.3085562401839</c:v>
                </c:pt>
                <c:pt idx="1">
                  <c:v>1404.0891727216631</c:v>
                </c:pt>
                <c:pt idx="2">
                  <c:v>1416.9672771460866</c:v>
                </c:pt>
                <c:pt idx="3">
                  <c:v>1416.9672771460866</c:v>
                </c:pt>
                <c:pt idx="4">
                  <c:v>1420.6697321681083</c:v>
                </c:pt>
                <c:pt idx="5">
                  <c:v>1423.4063293582983</c:v>
                </c:pt>
                <c:pt idx="6">
                  <c:v>1423.4063293582983</c:v>
                </c:pt>
                <c:pt idx="7">
                  <c:v>1423.4063293582983</c:v>
                </c:pt>
                <c:pt idx="8">
                  <c:v>1427.2697606856254</c:v>
                </c:pt>
                <c:pt idx="9">
                  <c:v>1428.2356185174574</c:v>
                </c:pt>
                <c:pt idx="10">
                  <c:v>1428.2356185174572</c:v>
                </c:pt>
                <c:pt idx="11">
                  <c:v>1428.2356185174572</c:v>
                </c:pt>
                <c:pt idx="12">
                  <c:v>1428.2356185174572</c:v>
                </c:pt>
                <c:pt idx="13">
                  <c:v>1428.2356185174572</c:v>
                </c:pt>
                <c:pt idx="14">
                  <c:v>1428.2356185174572</c:v>
                </c:pt>
                <c:pt idx="15">
                  <c:v>1428.2356185174572</c:v>
                </c:pt>
                <c:pt idx="16">
                  <c:v>1429.84538157051</c:v>
                </c:pt>
                <c:pt idx="17">
                  <c:v>1429.84538157051</c:v>
                </c:pt>
                <c:pt idx="18">
                  <c:v>1429.84538157051</c:v>
                </c:pt>
                <c:pt idx="19">
                  <c:v>1429.84538157051</c:v>
                </c:pt>
              </c:numCache>
            </c:numRef>
          </c:val>
          <c:extLst>
            <c:ext xmlns:c16="http://schemas.microsoft.com/office/drawing/2014/chart" uri="{C3380CC4-5D6E-409C-BE32-E72D297353CC}">
              <c16:uniqueId val="{00000000-C40F-43EE-AC5C-30842D619DE0}"/>
            </c:ext>
          </c:extLst>
        </c:ser>
        <c:ser>
          <c:idx val="1"/>
          <c:order val="1"/>
          <c:tx>
            <c:v>Upside</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'Risk Sched Sensitivity'!$B$37:$B$56</c:f>
              <c:strCache>
                <c:ptCount val="20"/>
                <c:pt idx="0">
                  <c:v>MC'!$R$43</c:v>
                </c:pt>
                <c:pt idx="1">
                  <c:v>MC'!$R$27</c:v>
                </c:pt>
                <c:pt idx="2">
                  <c:v>MC'!$R$8</c:v>
                </c:pt>
                <c:pt idx="3">
                  <c:v>MC'!$R$35</c:v>
                </c:pt>
                <c:pt idx="4">
                  <c:v>MC'!$R$16</c:v>
                </c:pt>
                <c:pt idx="5">
                  <c:v>MC'!$R$36</c:v>
                </c:pt>
                <c:pt idx="6">
                  <c:v>MC'!$R$37</c:v>
                </c:pt>
                <c:pt idx="7">
                  <c:v>MC'!$R$38</c:v>
                </c:pt>
                <c:pt idx="8">
                  <c:v>MC'!$R$9</c:v>
                </c:pt>
                <c:pt idx="9">
                  <c:v>MC'!$R$53</c:v>
                </c:pt>
                <c:pt idx="10">
                  <c:v>MC'!$R$6</c:v>
                </c:pt>
                <c:pt idx="11">
                  <c:v>MC'!$R$7</c:v>
                </c:pt>
                <c:pt idx="12">
                  <c:v>MC'!$R$12</c:v>
                </c:pt>
                <c:pt idx="13">
                  <c:v>MC'!$R$20</c:v>
                </c:pt>
                <c:pt idx="14">
                  <c:v>MC'!$R$23</c:v>
                </c:pt>
                <c:pt idx="15">
                  <c:v>MC'!$R$26</c:v>
                </c:pt>
                <c:pt idx="16">
                  <c:v>MC'!$R$4</c:v>
                </c:pt>
                <c:pt idx="17">
                  <c:v>MC'!$R$32</c:v>
                </c:pt>
                <c:pt idx="18">
                  <c:v>MC'!$R$33</c:v>
                </c:pt>
                <c:pt idx="19">
                  <c:v>MC'!$R$34</c:v>
                </c:pt>
              </c:strCache>
            </c:strRef>
          </c:cat>
          <c:val>
            <c:numRef>
              <c:f>'Risk Sched Sensitivity'!$V$37:$V$56</c:f>
              <c:numCache>
                <c:formatCode>_-* #,##0_-;\-* #,##0_-;_-* "-"??_-;_-@_-</c:formatCode>
                <c:ptCount val="20"/>
                <c:pt idx="0">
                  <c:v>1494.338879162691</c:v>
                </c:pt>
                <c:pt idx="1">
                  <c:v>1463.2822086834476</c:v>
                </c:pt>
                <c:pt idx="2">
                  <c:v>1449.8522971248556</c:v>
                </c:pt>
                <c:pt idx="3">
                  <c:v>1449.8522971248556</c:v>
                </c:pt>
                <c:pt idx="4">
                  <c:v>1445.9911975517605</c:v>
                </c:pt>
                <c:pt idx="5">
                  <c:v>1443.1373413455597</c:v>
                </c:pt>
                <c:pt idx="6">
                  <c:v>1443.1373413455597</c:v>
                </c:pt>
                <c:pt idx="7">
                  <c:v>1443.1373413455597</c:v>
                </c:pt>
                <c:pt idx="8">
                  <c:v>1439.1083678779821</c:v>
                </c:pt>
                <c:pt idx="9">
                  <c:v>1438.1011245110881</c:v>
                </c:pt>
                <c:pt idx="10">
                  <c:v>1438.1011245110878</c:v>
                </c:pt>
                <c:pt idx="11">
                  <c:v>1438.1011245110878</c:v>
                </c:pt>
                <c:pt idx="12">
                  <c:v>1438.1011245110878</c:v>
                </c:pt>
                <c:pt idx="13">
                  <c:v>1438.1011245110878</c:v>
                </c:pt>
                <c:pt idx="14">
                  <c:v>1438.1011245110878</c:v>
                </c:pt>
                <c:pt idx="15">
                  <c:v>1438.1011245110878</c:v>
                </c:pt>
                <c:pt idx="16">
                  <c:v>1436.4223855662638</c:v>
                </c:pt>
                <c:pt idx="17">
                  <c:v>1436.4223855662638</c:v>
                </c:pt>
                <c:pt idx="18">
                  <c:v>1436.4223855662638</c:v>
                </c:pt>
                <c:pt idx="19">
                  <c:v>1436.4223855662638</c:v>
                </c:pt>
              </c:numCache>
            </c:numRef>
          </c:val>
          <c:extLst>
            <c:ext xmlns:c16="http://schemas.microsoft.com/office/drawing/2014/chart" uri="{C3380CC4-5D6E-409C-BE32-E72D297353CC}">
              <c16:uniqueId val="{00000001-C40F-43EE-AC5C-30842D619DE0}"/>
            </c:ext>
          </c:extLst>
        </c:ser>
        <c:dLbls>
          <c:showLegendKey val="0"/>
          <c:showVal val="0"/>
          <c:showCatName val="0"/>
          <c:showSerName val="0"/>
          <c:showPercent val="0"/>
          <c:showBubbleSize val="0"/>
        </c:dLbls>
        <c:gapWidth val="25"/>
        <c:overlap val="100"/>
        <c:axId val="2031943312"/>
        <c:axId val="2037766912"/>
      </c:barChart>
      <c:catAx>
        <c:axId val="2031943312"/>
        <c:scaling>
          <c:orientation val="maxMin"/>
        </c:scaling>
        <c:delete val="0"/>
        <c:axPos val="l"/>
        <c:numFmt formatCode="General" sourceLinked="1"/>
        <c:majorTickMark val="out"/>
        <c:minorTickMark val="none"/>
        <c:tickLblPos val="low"/>
        <c:crossAx val="2037766912"/>
        <c:crossesAt val="1433.064907676616"/>
        <c:auto val="1"/>
        <c:lblAlgn val="ctr"/>
        <c:lblOffset val="100"/>
        <c:noMultiLvlLbl val="0"/>
      </c:catAx>
      <c:valAx>
        <c:axId val="2037766912"/>
        <c:scaling>
          <c:orientation val="minMax"/>
        </c:scaling>
        <c:delete val="0"/>
        <c:axPos val="t"/>
        <c:majorGridlines/>
        <c:numFmt formatCode="_-* #,##0_-;\-* #,##0_-;_-* &quot;-&quot;??_-;_-@_-" sourceLinked="1"/>
        <c:majorTickMark val="out"/>
        <c:minorTickMark val="none"/>
        <c:tickLblPos val="nextTo"/>
        <c:crossAx val="203194331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'Risk Cost Sensitivity'!$C$34</c:f>
          <c:strCache>
            <c:ptCount val="1"/>
            <c:pt idx="0">
              <c:v>Spider Chart: TOTAL RISK COST PHP</c:v>
            </c:pt>
          </c:strCache>
        </c:strRef>
      </c:tx>
      <c:overlay val="0"/>
    </c:title>
    <c:autoTitleDeleted val="0"/>
    <c:plotArea>
      <c:layout/>
      <c:lineChart>
        <c:grouping val="standard"/>
        <c:varyColors val="0"/>
        <c:ser>
          <c:idx val="0"/>
          <c:order val="0"/>
          <c:tx>
            <c:strRef>
              <c:f>'Risk Cost Sensitivity'!$B$37</c:f>
              <c:strCache>
                <c:ptCount val="1"/>
                <c:pt idx="0">
                  <c:v>MC'!$M$27</c:v>
                </c:pt>
              </c:strCache>
            </c:strRef>
          </c:tx>
          <c:cat>
            <c:numRef>
              <c:f>'Risk Cost Sensitivity'!$L$36:$T$36</c:f>
              <c:numCache>
                <c:formatCode>##,###%</c:formatCode>
                <c:ptCount val="9"/>
                <c:pt idx="0">
                  <c:v>0.1</c:v>
                </c:pt>
                <c:pt idx="1">
                  <c:v>0.2</c:v>
                </c:pt>
                <c:pt idx="2">
                  <c:v>0.3</c:v>
                </c:pt>
                <c:pt idx="3">
                  <c:v>0.4</c:v>
                </c:pt>
                <c:pt idx="4">
                  <c:v>0.5</c:v>
                </c:pt>
                <c:pt idx="5">
                  <c:v>0.6</c:v>
                </c:pt>
                <c:pt idx="6">
                  <c:v>0.7</c:v>
                </c:pt>
                <c:pt idx="7">
                  <c:v>0.8</c:v>
                </c:pt>
                <c:pt idx="8">
                  <c:v>0.9</c:v>
                </c:pt>
              </c:numCache>
            </c:numRef>
          </c:cat>
          <c:val>
            <c:numRef>
              <c:f>'Risk Cost Sensitivity'!$L$37:$T$37</c:f>
              <c:numCache>
                <c:formatCode>_-* #,##0_-;\-* #,##0_-;_-* "-"??_-;_-@_-</c:formatCode>
                <c:ptCount val="9"/>
                <c:pt idx="0">
                  <c:v>8066345823.6894226</c:v>
                </c:pt>
                <c:pt idx="1">
                  <c:v>8178432728.685358</c:v>
                </c:pt>
                <c:pt idx="2">
                  <c:v>8270825513.4863434</c:v>
                </c:pt>
                <c:pt idx="3">
                  <c:v>8355894424.1256695</c:v>
                </c:pt>
                <c:pt idx="4">
                  <c:v>8439107094.8987885</c:v>
                </c:pt>
                <c:pt idx="5">
                  <c:v>8524459365.8601894</c:v>
                </c:pt>
                <c:pt idx="6">
                  <c:v>8616445321.7179413</c:v>
                </c:pt>
                <c:pt idx="7">
                  <c:v>8722537979.174654</c:v>
                </c:pt>
                <c:pt idx="8">
                  <c:v>8861910085.9355145</c:v>
                </c:pt>
              </c:numCache>
            </c:numRef>
          </c:val>
          <c:smooth val="0"/>
          <c:extLst>
            <c:ext xmlns:c16="http://schemas.microsoft.com/office/drawing/2014/chart" uri="{C3380CC4-5D6E-409C-BE32-E72D297353CC}">
              <c16:uniqueId val="{00000000-572A-45A3-A6C8-BB70141E1992}"/>
            </c:ext>
          </c:extLst>
        </c:ser>
        <c:ser>
          <c:idx val="1"/>
          <c:order val="1"/>
          <c:tx>
            <c:strRef>
              <c:f>'Risk Cost Sensitivity'!$B$38</c:f>
              <c:strCache>
                <c:ptCount val="1"/>
                <c:pt idx="0">
                  <c:v>MC'!$M$20</c:v>
                </c:pt>
              </c:strCache>
            </c:strRef>
          </c:tx>
          <c:val>
            <c:numRef>
              <c:f>'Risk Cost Sensitivity'!$L$38:$T$38</c:f>
              <c:numCache>
                <c:formatCode>_-* #,##0_-;\-* #,##0_-;_-* "-"??_-;_-@_-</c:formatCode>
                <c:ptCount val="9"/>
                <c:pt idx="0">
                  <c:v>8076707885.9627609</c:v>
                </c:pt>
                <c:pt idx="1">
                  <c:v>8186953033.3240108</c:v>
                </c:pt>
                <c:pt idx="2">
                  <c:v>8276926008.693346</c:v>
                </c:pt>
                <c:pt idx="3">
                  <c:v>8359164238.8328323</c:v>
                </c:pt>
                <c:pt idx="4">
                  <c:v>8439107094.8987885</c:v>
                </c:pt>
                <c:pt idx="5">
                  <c:v>8520626529.9862633</c:v>
                </c:pt>
                <c:pt idx="6">
                  <c:v>8607961767.2697277</c:v>
                </c:pt>
                <c:pt idx="7">
                  <c:v>8708030480.0344276</c:v>
                </c:pt>
                <c:pt idx="8">
                  <c:v>8838385299.4353371</c:v>
                </c:pt>
              </c:numCache>
            </c:numRef>
          </c:val>
          <c:smooth val="0"/>
          <c:extLst>
            <c:ext xmlns:c16="http://schemas.microsoft.com/office/drawing/2014/chart" uri="{C3380CC4-5D6E-409C-BE32-E72D297353CC}">
              <c16:uniqueId val="{00000001-572A-45A3-A6C8-BB70141E1992}"/>
            </c:ext>
          </c:extLst>
        </c:ser>
        <c:ser>
          <c:idx val="2"/>
          <c:order val="2"/>
          <c:tx>
            <c:strRef>
              <c:f>'Risk Cost Sensitivity'!$B$39</c:f>
              <c:strCache>
                <c:ptCount val="1"/>
                <c:pt idx="0">
                  <c:v>MC'!$M$13</c:v>
                </c:pt>
              </c:strCache>
            </c:strRef>
          </c:tx>
          <c:val>
            <c:numRef>
              <c:f>'Risk Cost Sensitivity'!$L$39:$T$39</c:f>
              <c:numCache>
                <c:formatCode>_-* #,##0_-;\-* #,##0_-;_-* "-"??_-;_-@_-</c:formatCode>
                <c:ptCount val="9"/>
                <c:pt idx="0">
                  <c:v>8319917841.8420258</c:v>
                </c:pt>
                <c:pt idx="1">
                  <c:v>8354856649.3959465</c:v>
                </c:pt>
                <c:pt idx="2">
                  <c:v>8384289324.3720856</c:v>
                </c:pt>
                <c:pt idx="3">
                  <c:v>8411818254.972393</c:v>
                </c:pt>
                <c:pt idx="4">
                  <c:v>8439107094.8987885</c:v>
                </c:pt>
                <c:pt idx="5">
                  <c:v>8467445399.3734779</c:v>
                </c:pt>
                <c:pt idx="6">
                  <c:v>8498366845.0533772</c:v>
                </c:pt>
                <c:pt idx="7">
                  <c:v>8534517495.800066</c:v>
                </c:pt>
                <c:pt idx="8">
                  <c:v>8582830986.7536793</c:v>
                </c:pt>
              </c:numCache>
            </c:numRef>
          </c:val>
          <c:smooth val="0"/>
          <c:extLst>
            <c:ext xmlns:c16="http://schemas.microsoft.com/office/drawing/2014/chart" uri="{C3380CC4-5D6E-409C-BE32-E72D297353CC}">
              <c16:uniqueId val="{00000002-572A-45A3-A6C8-BB70141E1992}"/>
            </c:ext>
          </c:extLst>
        </c:ser>
        <c:ser>
          <c:idx val="3"/>
          <c:order val="3"/>
          <c:tx>
            <c:strRef>
              <c:f>'Risk Cost Sensitivity'!$B$40</c:f>
              <c:strCache>
                <c:ptCount val="1"/>
                <c:pt idx="0">
                  <c:v>MC'!$M$14</c:v>
                </c:pt>
              </c:strCache>
            </c:strRef>
          </c:tx>
          <c:val>
            <c:numRef>
              <c:f>'Risk Cost Sensitivity'!$L$40:$T$40</c:f>
              <c:numCache>
                <c:formatCode>_-* #,##0_-;\-* #,##0_-;_-* "-"??_-;_-@_-</c:formatCode>
                <c:ptCount val="9"/>
                <c:pt idx="0">
                  <c:v>8343416123.9539623</c:v>
                </c:pt>
                <c:pt idx="1">
                  <c:v>8373150357.7571697</c:v>
                </c:pt>
                <c:pt idx="2">
                  <c:v>8396977594.730917</c:v>
                </c:pt>
                <c:pt idx="3">
                  <c:v>8418463640.9865398</c:v>
                </c:pt>
                <c:pt idx="4">
                  <c:v>8439107094.8987885</c:v>
                </c:pt>
                <c:pt idx="5">
                  <c:v>8459925802.6998062</c:v>
                </c:pt>
                <c:pt idx="6">
                  <c:v>8481978454.4083519</c:v>
                </c:pt>
                <c:pt idx="7">
                  <c:v>8506928059.4620667</c:v>
                </c:pt>
                <c:pt idx="8">
                  <c:v>8538898278.0101414</c:v>
                </c:pt>
              </c:numCache>
            </c:numRef>
          </c:val>
          <c:smooth val="0"/>
          <c:extLst>
            <c:ext xmlns:c16="http://schemas.microsoft.com/office/drawing/2014/chart" uri="{C3380CC4-5D6E-409C-BE32-E72D297353CC}">
              <c16:uniqueId val="{00000003-572A-45A3-A6C8-BB70141E1992}"/>
            </c:ext>
          </c:extLst>
        </c:ser>
        <c:ser>
          <c:idx val="4"/>
          <c:order val="4"/>
          <c:tx>
            <c:strRef>
              <c:f>'Risk Cost Sensitivity'!$B$41</c:f>
              <c:strCache>
                <c:ptCount val="1"/>
                <c:pt idx="0">
                  <c:v>MC'!$M$35</c:v>
                </c:pt>
              </c:strCache>
            </c:strRef>
          </c:tx>
          <c:val>
            <c:numRef>
              <c:f>'Risk Cost Sensitivity'!$L$41:$T$41</c:f>
              <c:numCache>
                <c:formatCode>_-* #,##0_-;\-* #,##0_-;_-* "-"??_-;_-@_-</c:formatCode>
                <c:ptCount val="9"/>
                <c:pt idx="0">
                  <c:v>8339364263.3867798</c:v>
                </c:pt>
                <c:pt idx="1">
                  <c:v>8371404841.7422466</c:v>
                </c:pt>
                <c:pt idx="2">
                  <c:v>8396351050.0430088</c:v>
                </c:pt>
                <c:pt idx="3">
                  <c:v>8418361341.4931583</c:v>
                </c:pt>
                <c:pt idx="4">
                  <c:v>8439107094.8987885</c:v>
                </c:pt>
                <c:pt idx="5">
                  <c:v>8459646481.9713612</c:v>
                </c:pt>
                <c:pt idx="6">
                  <c:v>8480989581.6465025</c:v>
                </c:pt>
                <c:pt idx="7">
                  <c:v>8504614182.9803772</c:v>
                </c:pt>
                <c:pt idx="8">
                  <c:v>8534021889.5038586</c:v>
                </c:pt>
              </c:numCache>
            </c:numRef>
          </c:val>
          <c:smooth val="0"/>
          <c:extLst>
            <c:ext xmlns:c16="http://schemas.microsoft.com/office/drawing/2014/chart" uri="{C3380CC4-5D6E-409C-BE32-E72D297353CC}">
              <c16:uniqueId val="{00000004-572A-45A3-A6C8-BB70141E1992}"/>
            </c:ext>
          </c:extLst>
        </c:ser>
        <c:ser>
          <c:idx val="5"/>
          <c:order val="5"/>
          <c:tx>
            <c:strRef>
              <c:f>'Risk Cost Sensitivity'!$B$42</c:f>
              <c:strCache>
                <c:ptCount val="1"/>
                <c:pt idx="0">
                  <c:v>MC'!$M$8</c:v>
                </c:pt>
              </c:strCache>
            </c:strRef>
          </c:tx>
          <c:val>
            <c:numRef>
              <c:f>'Risk Cost Sensitivity'!$L$42:$T$42</c:f>
              <c:numCache>
                <c:formatCode>_-* #,##0_-;\-* #,##0_-;_-* "-"??_-;_-@_-</c:formatCode>
                <c:ptCount val="9"/>
                <c:pt idx="0">
                  <c:v>8354363414.2210712</c:v>
                </c:pt>
                <c:pt idx="1">
                  <c:v>8380332763.2837811</c:v>
                </c:pt>
                <c:pt idx="2">
                  <c:v>8401393717.8397789</c:v>
                </c:pt>
                <c:pt idx="3">
                  <c:v>8420554942.7484035</c:v>
                </c:pt>
                <c:pt idx="4">
                  <c:v>8439107094.8987885</c:v>
                </c:pt>
                <c:pt idx="5">
                  <c:v>8457953992.8791084</c:v>
                </c:pt>
                <c:pt idx="6">
                  <c:v>8478068130.2191792</c:v>
                </c:pt>
                <c:pt idx="7">
                  <c:v>8501016595.4005146</c:v>
                </c:pt>
                <c:pt idx="8">
                  <c:v>8530745918.7361813</c:v>
                </c:pt>
              </c:numCache>
            </c:numRef>
          </c:val>
          <c:smooth val="0"/>
          <c:extLst>
            <c:ext xmlns:c16="http://schemas.microsoft.com/office/drawing/2014/chart" uri="{C3380CC4-5D6E-409C-BE32-E72D297353CC}">
              <c16:uniqueId val="{00000005-572A-45A3-A6C8-BB70141E1992}"/>
            </c:ext>
          </c:extLst>
        </c:ser>
        <c:ser>
          <c:idx val="6"/>
          <c:order val="6"/>
          <c:tx>
            <c:strRef>
              <c:f>'Risk Cost Sensitivity'!$B$43</c:f>
              <c:strCache>
                <c:ptCount val="1"/>
                <c:pt idx="0">
                  <c:v>MC'!$M$43</c:v>
                </c:pt>
              </c:strCache>
            </c:strRef>
          </c:tx>
          <c:val>
            <c:numRef>
              <c:f>'Risk Cost Sensitivity'!$L$43:$T$43</c:f>
              <c:numCache>
                <c:formatCode>_-* #,##0_-;\-* #,##0_-;_-* "-"??_-;_-@_-</c:formatCode>
                <c:ptCount val="9"/>
                <c:pt idx="0">
                  <c:v>8359620669.5180635</c:v>
                </c:pt>
                <c:pt idx="1">
                  <c:v>8384268401.336463</c:v>
                </c:pt>
                <c:pt idx="2">
                  <c:v>8404055057.9522648</c:v>
                </c:pt>
                <c:pt idx="3">
                  <c:v>8421921414.6133833</c:v>
                </c:pt>
                <c:pt idx="4">
                  <c:v>8439107094.8987885</c:v>
                </c:pt>
                <c:pt idx="5">
                  <c:v>8456457870.284935</c:v>
                </c:pt>
                <c:pt idx="6">
                  <c:v>8474857987.4034519</c:v>
                </c:pt>
                <c:pt idx="7">
                  <c:v>8495701945.6647358</c:v>
                </c:pt>
                <c:pt idx="8">
                  <c:v>8522456015.8788471</c:v>
                </c:pt>
              </c:numCache>
            </c:numRef>
          </c:val>
          <c:smooth val="0"/>
          <c:extLst>
            <c:ext xmlns:c16="http://schemas.microsoft.com/office/drawing/2014/chart" uri="{C3380CC4-5D6E-409C-BE32-E72D297353CC}">
              <c16:uniqueId val="{00000006-572A-45A3-A6C8-BB70141E1992}"/>
            </c:ext>
          </c:extLst>
        </c:ser>
        <c:ser>
          <c:idx val="7"/>
          <c:order val="7"/>
          <c:tx>
            <c:strRef>
              <c:f>'Risk Cost Sensitivity'!$B$44</c:f>
              <c:strCache>
                <c:ptCount val="1"/>
                <c:pt idx="0">
                  <c:v>MC'!$M$11</c:v>
                </c:pt>
              </c:strCache>
            </c:strRef>
          </c:tx>
          <c:val>
            <c:numRef>
              <c:f>'Risk Cost Sensitivity'!$L$44:$T$44</c:f>
              <c:numCache>
                <c:formatCode>_-* #,##0_-;\-* #,##0_-;_-* "-"??_-;_-@_-</c:formatCode>
                <c:ptCount val="9"/>
                <c:pt idx="0">
                  <c:v>8384898672.3094692</c:v>
                </c:pt>
                <c:pt idx="1">
                  <c:v>8401188661.8955612</c:v>
                </c:pt>
                <c:pt idx="2">
                  <c:v>8414623588.759306</c:v>
                </c:pt>
                <c:pt idx="3">
                  <c:v>8426998349.2240391</c:v>
                </c:pt>
                <c:pt idx="4">
                  <c:v>8439107094.8987885</c:v>
                </c:pt>
                <c:pt idx="5">
                  <c:v>8451531029.1355267</c:v>
                </c:pt>
                <c:pt idx="6">
                  <c:v>8464924751.0305023</c:v>
                </c:pt>
                <c:pt idx="7">
                  <c:v>8480377821.4149075</c:v>
                </c:pt>
                <c:pt idx="8">
                  <c:v>8500687193.2667789</c:v>
                </c:pt>
              </c:numCache>
            </c:numRef>
          </c:val>
          <c:smooth val="0"/>
          <c:extLst>
            <c:ext xmlns:c16="http://schemas.microsoft.com/office/drawing/2014/chart" uri="{C3380CC4-5D6E-409C-BE32-E72D297353CC}">
              <c16:uniqueId val="{00000007-572A-45A3-A6C8-BB70141E1992}"/>
            </c:ext>
          </c:extLst>
        </c:ser>
        <c:ser>
          <c:idx val="8"/>
          <c:order val="8"/>
          <c:tx>
            <c:strRef>
              <c:f>'Risk Cost Sensitivity'!$B$45</c:f>
              <c:strCache>
                <c:ptCount val="1"/>
                <c:pt idx="0">
                  <c:v>MC'!$M$7</c:v>
                </c:pt>
              </c:strCache>
            </c:strRef>
          </c:tx>
          <c:val>
            <c:numRef>
              <c:f>'Risk Cost Sensitivity'!$L$45:$T$45</c:f>
              <c:numCache>
                <c:formatCode>_-* #,##0_-;\-* #,##0_-;_-* "-"??_-;_-@_-</c:formatCode>
                <c:ptCount val="9"/>
                <c:pt idx="0">
                  <c:v>8430557709.3406162</c:v>
                </c:pt>
                <c:pt idx="1">
                  <c:v>8433304044.6282272</c:v>
                </c:pt>
                <c:pt idx="2">
                  <c:v>8435442291.0540066</c:v>
                </c:pt>
                <c:pt idx="3">
                  <c:v>8437328887.4640198</c:v>
                </c:pt>
                <c:pt idx="4">
                  <c:v>8439107094.8987885</c:v>
                </c:pt>
                <c:pt idx="5">
                  <c:v>8440867613.7907219</c:v>
                </c:pt>
                <c:pt idx="6">
                  <c:v>8442697022.3343067</c:v>
                </c:pt>
                <c:pt idx="7">
                  <c:v>8444721988.1629238</c:v>
                </c:pt>
                <c:pt idx="8">
                  <c:v>8447242648.7220802</c:v>
                </c:pt>
              </c:numCache>
            </c:numRef>
          </c:val>
          <c:smooth val="0"/>
          <c:extLst>
            <c:ext xmlns:c16="http://schemas.microsoft.com/office/drawing/2014/chart" uri="{C3380CC4-5D6E-409C-BE32-E72D297353CC}">
              <c16:uniqueId val="{00000008-572A-45A3-A6C8-BB70141E1992}"/>
            </c:ext>
          </c:extLst>
        </c:ser>
        <c:ser>
          <c:idx val="9"/>
          <c:order val="9"/>
          <c:tx>
            <c:strRef>
              <c:f>'Risk Cost Sensitivity'!$B$46</c:f>
              <c:strCache>
                <c:ptCount val="1"/>
                <c:pt idx="0">
                  <c:v>MC'!$M$16</c:v>
                </c:pt>
              </c:strCache>
            </c:strRef>
          </c:tx>
          <c:val>
            <c:numRef>
              <c:f>'Risk Cost Sensitivity'!$L$46:$T$46</c:f>
              <c:numCache>
                <c:formatCode>_-* #,##0_-;\-* #,##0_-;_-* "-"??_-;_-@_-</c:formatCode>
                <c:ptCount val="9"/>
                <c:pt idx="0">
                  <c:v>8435815581.4588909</c:v>
                </c:pt>
                <c:pt idx="1">
                  <c:v>8436872920.5446224</c:v>
                </c:pt>
                <c:pt idx="2">
                  <c:v>8437696145.4185467</c:v>
                </c:pt>
                <c:pt idx="3">
                  <c:v>8438422485.0364017</c:v>
                </c:pt>
                <c:pt idx="4">
                  <c:v>8439107094.8987885</c:v>
                </c:pt>
                <c:pt idx="5">
                  <c:v>8439784894.6721821</c:v>
                </c:pt>
                <c:pt idx="6">
                  <c:v>8440489216.961462</c:v>
                </c:pt>
                <c:pt idx="7">
                  <c:v>8441268828.805481</c:v>
                </c:pt>
                <c:pt idx="8">
                  <c:v>8442239283.1207561</c:v>
                </c:pt>
              </c:numCache>
            </c:numRef>
          </c:val>
          <c:smooth val="0"/>
          <c:extLst>
            <c:ext xmlns:c16="http://schemas.microsoft.com/office/drawing/2014/chart" uri="{C3380CC4-5D6E-409C-BE32-E72D297353CC}">
              <c16:uniqueId val="{00000009-572A-45A3-A6C8-BB70141E1992}"/>
            </c:ext>
          </c:extLst>
        </c:ser>
        <c:ser>
          <c:idx val="10"/>
          <c:order val="10"/>
          <c:tx>
            <c:strRef>
              <c:f>'Risk Cost Sensitivity'!$B$47</c:f>
              <c:strCache>
                <c:ptCount val="1"/>
                <c:pt idx="0">
                  <c:v>MC'!$M$12</c:v>
                </c:pt>
              </c:strCache>
            </c:strRef>
          </c:tx>
          <c:val>
            <c:numRef>
              <c:f>'Risk Cost Sensitivity'!$L$47:$T$47</c:f>
              <c:numCache>
                <c:formatCode>_-* #,##0_-;\-* #,##0_-;_-* "-"??_-;_-@_-</c:formatCode>
                <c:ptCount val="9"/>
                <c:pt idx="0">
                  <c:v>8437682197.3057594</c:v>
                </c:pt>
                <c:pt idx="1">
                  <c:v>8438139919.8536949</c:v>
                </c:pt>
                <c:pt idx="2">
                  <c:v>8438496294.2579918</c:v>
                </c:pt>
                <c:pt idx="3">
                  <c:v>8438810726.9929924</c:v>
                </c:pt>
                <c:pt idx="4">
                  <c:v>8439107094.8987885</c:v>
                </c:pt>
                <c:pt idx="5">
                  <c:v>8439400514.7141094</c:v>
                </c:pt>
                <c:pt idx="6">
                  <c:v>8439705416.1380405</c:v>
                </c:pt>
                <c:pt idx="7">
                  <c:v>8440042910.4428101</c:v>
                </c:pt>
                <c:pt idx="8">
                  <c:v>8440463020.5360031</c:v>
                </c:pt>
              </c:numCache>
            </c:numRef>
          </c:val>
          <c:smooth val="0"/>
          <c:extLst>
            <c:ext xmlns:c16="http://schemas.microsoft.com/office/drawing/2014/chart" uri="{C3380CC4-5D6E-409C-BE32-E72D297353CC}">
              <c16:uniqueId val="{0000000A-572A-45A3-A6C8-BB70141E1992}"/>
            </c:ext>
          </c:extLst>
        </c:ser>
        <c:ser>
          <c:idx val="11"/>
          <c:order val="11"/>
          <c:tx>
            <c:strRef>
              <c:f>'Risk Cost Sensitivity'!$B$48</c:f>
              <c:strCache>
                <c:ptCount val="1"/>
                <c:pt idx="0">
                  <c:v>MC'!$M$23</c:v>
                </c:pt>
              </c:strCache>
            </c:strRef>
          </c:tx>
          <c:val>
            <c:numRef>
              <c:f>'Risk Cost Sensitivity'!$L$48:$T$48</c:f>
              <c:numCache>
                <c:formatCode>_-* #,##0_-;\-* #,##0_-;_-* "-"??_-;_-@_-</c:formatCode>
                <c:ptCount val="9"/>
                <c:pt idx="0">
                  <c:v>8437682197.3057594</c:v>
                </c:pt>
                <c:pt idx="1">
                  <c:v>8438139919.8536949</c:v>
                </c:pt>
                <c:pt idx="2">
                  <c:v>8438496294.2579918</c:v>
                </c:pt>
                <c:pt idx="3">
                  <c:v>8438810726.9929924</c:v>
                </c:pt>
                <c:pt idx="4">
                  <c:v>8439107094.8987885</c:v>
                </c:pt>
                <c:pt idx="5">
                  <c:v>8439400514.7141094</c:v>
                </c:pt>
                <c:pt idx="6">
                  <c:v>8439705416.1380405</c:v>
                </c:pt>
                <c:pt idx="7">
                  <c:v>8440042910.4428101</c:v>
                </c:pt>
                <c:pt idx="8">
                  <c:v>8440463020.5360031</c:v>
                </c:pt>
              </c:numCache>
            </c:numRef>
          </c:val>
          <c:smooth val="0"/>
          <c:extLst>
            <c:ext xmlns:c16="http://schemas.microsoft.com/office/drawing/2014/chart" uri="{C3380CC4-5D6E-409C-BE32-E72D297353CC}">
              <c16:uniqueId val="{0000000B-572A-45A3-A6C8-BB70141E1992}"/>
            </c:ext>
          </c:extLst>
        </c:ser>
        <c:ser>
          <c:idx val="12"/>
          <c:order val="12"/>
          <c:tx>
            <c:strRef>
              <c:f>'Risk Cost Sensitivity'!$B$49</c:f>
              <c:strCache>
                <c:ptCount val="1"/>
                <c:pt idx="0">
                  <c:v>MC'!$M$36</c:v>
                </c:pt>
              </c:strCache>
            </c:strRef>
          </c:tx>
          <c:val>
            <c:numRef>
              <c:f>'Risk Cost Sensitivity'!$L$49:$T$49</c:f>
              <c:numCache>
                <c:formatCode>_-* #,##0_-;\-* #,##0_-;_-* "-"??_-;_-@_-</c:formatCode>
                <c:ptCount val="9"/>
                <c:pt idx="0">
                  <c:v>8437682197.3057594</c:v>
                </c:pt>
                <c:pt idx="1">
                  <c:v>8438139919.8536949</c:v>
                </c:pt>
                <c:pt idx="2">
                  <c:v>8438496294.2579908</c:v>
                </c:pt>
                <c:pt idx="3">
                  <c:v>8438810726.9929934</c:v>
                </c:pt>
                <c:pt idx="4">
                  <c:v>8439107094.8987885</c:v>
                </c:pt>
                <c:pt idx="5">
                  <c:v>8439400514.7141104</c:v>
                </c:pt>
                <c:pt idx="6">
                  <c:v>8439705416.1380415</c:v>
                </c:pt>
                <c:pt idx="7">
                  <c:v>8440042910.442811</c:v>
                </c:pt>
                <c:pt idx="8">
                  <c:v>8440463020.5360031</c:v>
                </c:pt>
              </c:numCache>
            </c:numRef>
          </c:val>
          <c:smooth val="0"/>
          <c:extLst>
            <c:ext xmlns:c16="http://schemas.microsoft.com/office/drawing/2014/chart" uri="{C3380CC4-5D6E-409C-BE32-E72D297353CC}">
              <c16:uniqueId val="{0000000C-572A-45A3-A6C8-BB70141E1992}"/>
            </c:ext>
          </c:extLst>
        </c:ser>
        <c:ser>
          <c:idx val="13"/>
          <c:order val="13"/>
          <c:tx>
            <c:strRef>
              <c:f>'Risk Cost Sensitivity'!$B$50</c:f>
              <c:strCache>
                <c:ptCount val="1"/>
                <c:pt idx="0">
                  <c:v>MC'!$M$37</c:v>
                </c:pt>
              </c:strCache>
            </c:strRef>
          </c:tx>
          <c:val>
            <c:numRef>
              <c:f>'Risk Cost Sensitivity'!$L$50:$T$50</c:f>
              <c:numCache>
                <c:formatCode>_-* #,##0_-;\-* #,##0_-;_-* "-"??_-;_-@_-</c:formatCode>
                <c:ptCount val="9"/>
                <c:pt idx="0">
                  <c:v>8437682197.3057594</c:v>
                </c:pt>
                <c:pt idx="1">
                  <c:v>8438139919.8536949</c:v>
                </c:pt>
                <c:pt idx="2">
                  <c:v>8438496294.2579908</c:v>
                </c:pt>
                <c:pt idx="3">
                  <c:v>8438810726.9929934</c:v>
                </c:pt>
                <c:pt idx="4">
                  <c:v>8439107094.8987885</c:v>
                </c:pt>
                <c:pt idx="5">
                  <c:v>8439400514.7141104</c:v>
                </c:pt>
                <c:pt idx="6">
                  <c:v>8439705416.1380415</c:v>
                </c:pt>
                <c:pt idx="7">
                  <c:v>8440042910.442811</c:v>
                </c:pt>
                <c:pt idx="8">
                  <c:v>8440463020.5360031</c:v>
                </c:pt>
              </c:numCache>
            </c:numRef>
          </c:val>
          <c:smooth val="0"/>
          <c:extLst>
            <c:ext xmlns:c16="http://schemas.microsoft.com/office/drawing/2014/chart" uri="{C3380CC4-5D6E-409C-BE32-E72D297353CC}">
              <c16:uniqueId val="{0000000D-572A-45A3-A6C8-BB70141E1992}"/>
            </c:ext>
          </c:extLst>
        </c:ser>
        <c:ser>
          <c:idx val="14"/>
          <c:order val="14"/>
          <c:tx>
            <c:strRef>
              <c:f>'Risk Cost Sensitivity'!$B$51</c:f>
              <c:strCache>
                <c:ptCount val="1"/>
                <c:pt idx="0">
                  <c:v>MC'!$M$38</c:v>
                </c:pt>
              </c:strCache>
            </c:strRef>
          </c:tx>
          <c:val>
            <c:numRef>
              <c:f>'Risk Cost Sensitivity'!$L$51:$T$51</c:f>
              <c:numCache>
                <c:formatCode>_-* #,##0_-;\-* #,##0_-;_-* "-"??_-;_-@_-</c:formatCode>
                <c:ptCount val="9"/>
                <c:pt idx="0">
                  <c:v>8437682197.3057594</c:v>
                </c:pt>
                <c:pt idx="1">
                  <c:v>8438139919.8536949</c:v>
                </c:pt>
                <c:pt idx="2">
                  <c:v>8438496294.2579908</c:v>
                </c:pt>
                <c:pt idx="3">
                  <c:v>8438810726.9929934</c:v>
                </c:pt>
                <c:pt idx="4">
                  <c:v>8439107094.8987885</c:v>
                </c:pt>
                <c:pt idx="5">
                  <c:v>8439400514.7141104</c:v>
                </c:pt>
                <c:pt idx="6">
                  <c:v>8439705416.1380415</c:v>
                </c:pt>
                <c:pt idx="7">
                  <c:v>8440042910.442811</c:v>
                </c:pt>
                <c:pt idx="8">
                  <c:v>8440463020.5360031</c:v>
                </c:pt>
              </c:numCache>
            </c:numRef>
          </c:val>
          <c:smooth val="0"/>
          <c:extLst>
            <c:ext xmlns:c16="http://schemas.microsoft.com/office/drawing/2014/chart" uri="{C3380CC4-5D6E-409C-BE32-E72D297353CC}">
              <c16:uniqueId val="{0000000E-572A-45A3-A6C8-BB70141E1992}"/>
            </c:ext>
          </c:extLst>
        </c:ser>
        <c:ser>
          <c:idx val="15"/>
          <c:order val="15"/>
          <c:tx>
            <c:strRef>
              <c:f>'Risk Cost Sensitivity'!$B$52</c:f>
              <c:strCache>
                <c:ptCount val="1"/>
                <c:pt idx="0">
                  <c:v>MC'!$M$9</c:v>
                </c:pt>
              </c:strCache>
            </c:strRef>
          </c:tx>
          <c:val>
            <c:numRef>
              <c:f>'Risk Cost Sensitivity'!$L$52:$T$52</c:f>
              <c:numCache>
                <c:formatCode>_-* #,##0_-;\-* #,##0_-;_-* "-"??_-;_-@_-</c:formatCode>
                <c:ptCount val="9"/>
                <c:pt idx="0">
                  <c:v>8437896501.9037514</c:v>
                </c:pt>
                <c:pt idx="1">
                  <c:v>8438285382.9804764</c:v>
                </c:pt>
                <c:pt idx="2">
                  <c:v>8438588158.674366</c:v>
                </c:pt>
                <c:pt idx="3">
                  <c:v>8438855300.7260246</c:v>
                </c:pt>
                <c:pt idx="4">
                  <c:v>8439107094.8987885</c:v>
                </c:pt>
                <c:pt idx="5">
                  <c:v>8439356384.3738861</c:v>
                </c:pt>
                <c:pt idx="6">
                  <c:v>8439615428.6236572</c:v>
                </c:pt>
                <c:pt idx="7">
                  <c:v>8439902163.7849903</c:v>
                </c:pt>
                <c:pt idx="8">
                  <c:v>8440259089.3201656</c:v>
                </c:pt>
              </c:numCache>
            </c:numRef>
          </c:val>
          <c:smooth val="0"/>
          <c:extLst>
            <c:ext xmlns:c16="http://schemas.microsoft.com/office/drawing/2014/chart" uri="{C3380CC4-5D6E-409C-BE32-E72D297353CC}">
              <c16:uniqueId val="{0000000F-572A-45A3-A6C8-BB70141E1992}"/>
            </c:ext>
          </c:extLst>
        </c:ser>
        <c:ser>
          <c:idx val="16"/>
          <c:order val="16"/>
          <c:tx>
            <c:strRef>
              <c:f>'Risk Cost Sensitivity'!$B$53</c:f>
              <c:strCache>
                <c:ptCount val="1"/>
                <c:pt idx="0">
                  <c:v>MC'!$M$6</c:v>
                </c:pt>
              </c:strCache>
            </c:strRef>
          </c:tx>
          <c:val>
            <c:numRef>
              <c:f>'Risk Cost Sensitivity'!$L$53:$T$53</c:f>
              <c:numCache>
                <c:formatCode>_-* #,##0_-;\-* #,##0_-;_-* "-"??_-;_-@_-</c:formatCode>
                <c:ptCount val="9"/>
                <c:pt idx="0">
                  <c:v>8438388946.5119019</c:v>
                </c:pt>
                <c:pt idx="1">
                  <c:v>8438619638.6760616</c:v>
                </c:pt>
                <c:pt idx="2">
                  <c:v>8438799251.3758259</c:v>
                </c:pt>
                <c:pt idx="3">
                  <c:v>8438957725.474268</c:v>
                </c:pt>
                <c:pt idx="4">
                  <c:v>8439107094.8987885</c:v>
                </c:pt>
                <c:pt idx="5">
                  <c:v>8439254978.4857101</c:v>
                </c:pt>
                <c:pt idx="6">
                  <c:v>8439408648.8033714</c:v>
                </c:pt>
                <c:pt idx="7">
                  <c:v>8439578745.9329758</c:v>
                </c:pt>
                <c:pt idx="8">
                  <c:v>8439790481.4199448</c:v>
                </c:pt>
              </c:numCache>
            </c:numRef>
          </c:val>
          <c:smooth val="0"/>
          <c:extLst>
            <c:ext xmlns:c16="http://schemas.microsoft.com/office/drawing/2014/chart" uri="{C3380CC4-5D6E-409C-BE32-E72D297353CC}">
              <c16:uniqueId val="{00000010-572A-45A3-A6C8-BB70141E1992}"/>
            </c:ext>
          </c:extLst>
        </c:ser>
        <c:ser>
          <c:idx val="17"/>
          <c:order val="17"/>
          <c:tx>
            <c:strRef>
              <c:f>'Risk Cost Sensitivity'!$B$54</c:f>
              <c:strCache>
                <c:ptCount val="1"/>
                <c:pt idx="0">
                  <c:v>MC'!$M$41</c:v>
                </c:pt>
              </c:strCache>
            </c:strRef>
          </c:tx>
          <c:val>
            <c:numRef>
              <c:f>'Risk Cost Sensitivity'!$L$54:$T$54</c:f>
              <c:numCache>
                <c:formatCode>_-* #,##0_-;\-* #,##0_-;_-* "-"??_-;_-@_-</c:formatCode>
                <c:ptCount val="9"/>
                <c:pt idx="0">
                  <c:v>8438434543.2348785</c:v>
                </c:pt>
                <c:pt idx="1">
                  <c:v>8438650588.277504</c:v>
                </c:pt>
                <c:pt idx="2">
                  <c:v>8438818796.9963322</c:v>
                </c:pt>
                <c:pt idx="3">
                  <c:v>8438967209.2472534</c:v>
                </c:pt>
                <c:pt idx="4">
                  <c:v>8439107094.8987885</c:v>
                </c:pt>
                <c:pt idx="5">
                  <c:v>8439245589.0516205</c:v>
                </c:pt>
                <c:pt idx="6">
                  <c:v>8439389502.523716</c:v>
                </c:pt>
                <c:pt idx="7">
                  <c:v>8439548799.8355675</c:v>
                </c:pt>
                <c:pt idx="8">
                  <c:v>8439747091.7995539</c:v>
                </c:pt>
              </c:numCache>
            </c:numRef>
          </c:val>
          <c:smooth val="0"/>
          <c:extLst>
            <c:ext xmlns:c16="http://schemas.microsoft.com/office/drawing/2014/chart" uri="{C3380CC4-5D6E-409C-BE32-E72D297353CC}">
              <c16:uniqueId val="{00000011-572A-45A3-A6C8-BB70141E1992}"/>
            </c:ext>
          </c:extLst>
        </c:ser>
        <c:ser>
          <c:idx val="18"/>
          <c:order val="18"/>
          <c:tx>
            <c:strRef>
              <c:f>'Risk Cost Sensitivity'!$B$55</c:f>
              <c:strCache>
                <c:ptCount val="1"/>
                <c:pt idx="0">
                  <c:v>MC'!$M$32</c:v>
                </c:pt>
              </c:strCache>
            </c:strRef>
          </c:tx>
          <c:val>
            <c:numRef>
              <c:f>'Risk Cost Sensitivity'!$L$55:$T$55</c:f>
              <c:numCache>
                <c:formatCode>_-* #,##0_-;\-* #,##0_-;_-* "-"??_-;_-@_-</c:formatCode>
                <c:ptCount val="9"/>
                <c:pt idx="0">
                  <c:v>8438434543.2348785</c:v>
                </c:pt>
                <c:pt idx="1">
                  <c:v>8438650588.277504</c:v>
                </c:pt>
                <c:pt idx="2">
                  <c:v>8438818796.9963322</c:v>
                </c:pt>
                <c:pt idx="3">
                  <c:v>8438967209.2472534</c:v>
                </c:pt>
                <c:pt idx="4">
                  <c:v>8439107094.8987885</c:v>
                </c:pt>
                <c:pt idx="5">
                  <c:v>8439245589.0516205</c:v>
                </c:pt>
                <c:pt idx="6">
                  <c:v>8439389502.523716</c:v>
                </c:pt>
                <c:pt idx="7">
                  <c:v>8439548799.8355675</c:v>
                </c:pt>
                <c:pt idx="8">
                  <c:v>8439747091.7995529</c:v>
                </c:pt>
              </c:numCache>
            </c:numRef>
          </c:val>
          <c:smooth val="0"/>
          <c:extLst>
            <c:ext xmlns:c16="http://schemas.microsoft.com/office/drawing/2014/chart" uri="{C3380CC4-5D6E-409C-BE32-E72D297353CC}">
              <c16:uniqueId val="{00000012-572A-45A3-A6C8-BB70141E1992}"/>
            </c:ext>
          </c:extLst>
        </c:ser>
        <c:ser>
          <c:idx val="19"/>
          <c:order val="19"/>
          <c:tx>
            <c:strRef>
              <c:f>'Risk Cost Sensitivity'!$B$56</c:f>
              <c:strCache>
                <c:ptCount val="1"/>
                <c:pt idx="0">
                  <c:v>MC'!$M$33</c:v>
                </c:pt>
              </c:strCache>
            </c:strRef>
          </c:tx>
          <c:val>
            <c:numRef>
              <c:f>'Risk Cost Sensitivity'!$L$56:$T$56</c:f>
              <c:numCache>
                <c:formatCode>_-* #,##0_-;\-* #,##0_-;_-* "-"??_-;_-@_-</c:formatCode>
                <c:ptCount val="9"/>
                <c:pt idx="0">
                  <c:v>8438434543.2348785</c:v>
                </c:pt>
                <c:pt idx="1">
                  <c:v>8438650588.277504</c:v>
                </c:pt>
                <c:pt idx="2">
                  <c:v>8438818796.9963322</c:v>
                </c:pt>
                <c:pt idx="3">
                  <c:v>8438967209.2472534</c:v>
                </c:pt>
                <c:pt idx="4">
                  <c:v>8439107094.8987885</c:v>
                </c:pt>
                <c:pt idx="5">
                  <c:v>8439245589.0516205</c:v>
                </c:pt>
                <c:pt idx="6">
                  <c:v>8439389502.523716</c:v>
                </c:pt>
                <c:pt idx="7">
                  <c:v>8439548799.8355675</c:v>
                </c:pt>
                <c:pt idx="8">
                  <c:v>8439747091.7995529</c:v>
                </c:pt>
              </c:numCache>
            </c:numRef>
          </c:val>
          <c:smooth val="0"/>
          <c:extLst>
            <c:ext xmlns:c16="http://schemas.microsoft.com/office/drawing/2014/chart" uri="{C3380CC4-5D6E-409C-BE32-E72D297353CC}">
              <c16:uniqueId val="{00000013-572A-45A3-A6C8-BB70141E1992}"/>
            </c:ext>
          </c:extLst>
        </c:ser>
        <c:dLbls>
          <c:showLegendKey val="0"/>
          <c:showVal val="0"/>
          <c:showCatName val="0"/>
          <c:showSerName val="0"/>
          <c:showPercent val="0"/>
          <c:showBubbleSize val="0"/>
        </c:dLbls>
        <c:marker val="1"/>
        <c:smooth val="0"/>
        <c:axId val="2082296560"/>
        <c:axId val="516963184"/>
      </c:lineChart>
      <c:catAx>
        <c:axId val="2082296560"/>
        <c:scaling>
          <c:orientation val="minMax"/>
        </c:scaling>
        <c:delete val="0"/>
        <c:axPos val="b"/>
        <c:numFmt formatCode="##,###%" sourceLinked="1"/>
        <c:majorTickMark val="out"/>
        <c:minorTickMark val="none"/>
        <c:tickLblPos val="nextTo"/>
        <c:crossAx val="516963184"/>
        <c:crosses val="autoZero"/>
        <c:auto val="1"/>
        <c:lblAlgn val="ctr"/>
        <c:lblOffset val="100"/>
        <c:noMultiLvlLbl val="0"/>
      </c:catAx>
      <c:valAx>
        <c:axId val="516963184"/>
        <c:scaling>
          <c:orientation val="minMax"/>
        </c:scaling>
        <c:delete val="0"/>
        <c:axPos val="l"/>
        <c:majorGridlines/>
        <c:numFmt formatCode="_-* #,##0_-;\-* #,##0_-;_-* &quot;-&quot;??_-;_-@_-" sourceLinked="1"/>
        <c:majorTickMark val="out"/>
        <c:minorTickMark val="none"/>
        <c:tickLblPos val="nextTo"/>
        <c:crossAx val="20822965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8.png"/><Relationship Id="rId5" Type="http://schemas.openxmlformats.org/officeDocument/2006/relationships/hyperlink" Target="https://commons.wikimedia.org/wiki/Category:Home_icons" TargetMode="External"/><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36</xdr:col>
      <xdr:colOff>123826</xdr:colOff>
      <xdr:row>136</xdr:row>
      <xdr:rowOff>9525</xdr:rowOff>
    </xdr:from>
    <xdr:to>
      <xdr:col>36</xdr:col>
      <xdr:colOff>123826</xdr:colOff>
      <xdr:row>139</xdr:row>
      <xdr:rowOff>0</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a:off x="809626" y="1028700"/>
          <a:ext cx="0" cy="790575"/>
        </a:xfrm>
        <a:prstGeom prst="line">
          <a:avLst/>
        </a:prstGeom>
        <a:ln>
          <a:solidFill>
            <a:schemeClr val="accent3">
              <a:lumMod val="75000"/>
            </a:schemeClr>
          </a:solidFill>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36</xdr:col>
      <xdr:colOff>123826</xdr:colOff>
      <xdr:row>142</xdr:row>
      <xdr:rowOff>257175</xdr:rowOff>
    </xdr:from>
    <xdr:to>
      <xdr:col>36</xdr:col>
      <xdr:colOff>123826</xdr:colOff>
      <xdr:row>145</xdr:row>
      <xdr:rowOff>247650</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a:off x="809626" y="2876550"/>
          <a:ext cx="0" cy="790575"/>
        </a:xfrm>
        <a:prstGeom prst="line">
          <a:avLst/>
        </a:prstGeom>
        <a:ln>
          <a:solidFill>
            <a:schemeClr val="accent3">
              <a:lumMod val="75000"/>
            </a:schemeClr>
          </a:solidFill>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40</xdr:col>
      <xdr:colOff>1</xdr:colOff>
      <xdr:row>152</xdr:row>
      <xdr:rowOff>104775</xdr:rowOff>
    </xdr:from>
    <xdr:to>
      <xdr:col>44</xdr:col>
      <xdr:colOff>57150</xdr:colOff>
      <xdr:row>152</xdr:row>
      <xdr:rowOff>104775</xdr:rowOff>
    </xdr:to>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flipH="1">
          <a:off x="1781176" y="4381500"/>
          <a:ext cx="1581149" cy="0"/>
        </a:xfrm>
        <a:prstGeom prst="line">
          <a:avLst/>
        </a:prstGeom>
        <a:ln>
          <a:solidFill>
            <a:schemeClr val="accent3">
              <a:lumMod val="75000"/>
            </a:schemeClr>
          </a:solidFill>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45</xdr:col>
      <xdr:colOff>314325</xdr:colOff>
      <xdr:row>152</xdr:row>
      <xdr:rowOff>104775</xdr:rowOff>
    </xdr:from>
    <xdr:to>
      <xdr:col>49</xdr:col>
      <xdr:colOff>371477</xdr:colOff>
      <xdr:row>152</xdr:row>
      <xdr:rowOff>104775</xdr:rowOff>
    </xdr:to>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H="1">
          <a:off x="4000500" y="4381500"/>
          <a:ext cx="1581152" cy="0"/>
        </a:xfrm>
        <a:prstGeom prst="line">
          <a:avLst/>
        </a:prstGeom>
        <a:ln>
          <a:solidFill>
            <a:schemeClr val="accent3">
              <a:lumMod val="75000"/>
            </a:schemeClr>
          </a:solidFill>
        </a:ln>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3</xdr:col>
      <xdr:colOff>166687</xdr:colOff>
      <xdr:row>35</xdr:row>
      <xdr:rowOff>0</xdr:rowOff>
    </xdr:from>
    <xdr:to>
      <xdr:col>11</xdr:col>
      <xdr:colOff>147499</xdr:colOff>
      <xdr:row>51</xdr:row>
      <xdr:rowOff>67260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stretch>
          <a:fillRect/>
        </a:stretch>
      </xdr:blipFill>
      <xdr:spPr>
        <a:xfrm>
          <a:off x="2309812" y="6524625"/>
          <a:ext cx="5005250" cy="2353260"/>
        </a:xfrm>
        <a:prstGeom prst="rect">
          <a:avLst/>
        </a:prstGeom>
      </xdr:spPr>
    </xdr:pic>
    <xdr:clientData/>
  </xdr:twoCellAnchor>
  <xdr:twoCellAnchor>
    <xdr:from>
      <xdr:col>26</xdr:col>
      <xdr:colOff>5266764</xdr:colOff>
      <xdr:row>0</xdr:row>
      <xdr:rowOff>0</xdr:rowOff>
    </xdr:from>
    <xdr:to>
      <xdr:col>35</xdr:col>
      <xdr:colOff>67234</xdr:colOff>
      <xdr:row>9</xdr:row>
      <xdr:rowOff>11206</xdr:rowOff>
    </xdr:to>
    <xdr:sp macro="" textlink="">
      <xdr:nvSpPr>
        <xdr:cNvPr id="2" name="Star: 24 Points 1">
          <a:extLst>
            <a:ext uri="{FF2B5EF4-FFF2-40B4-BE49-F238E27FC236}">
              <a16:creationId xmlns:a16="http://schemas.microsoft.com/office/drawing/2014/main" id="{00000000-0008-0000-0000-000002000000}"/>
            </a:ext>
          </a:extLst>
        </xdr:cNvPr>
        <xdr:cNvSpPr/>
      </xdr:nvSpPr>
      <xdr:spPr>
        <a:xfrm>
          <a:off x="23420293" y="0"/>
          <a:ext cx="5614147" cy="2554941"/>
        </a:xfrm>
        <a:prstGeom prst="star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9</xdr:row>
      <xdr:rowOff>0</xdr:rowOff>
    </xdr:from>
    <xdr:to>
      <xdr:col>5</xdr:col>
      <xdr:colOff>266700</xdr:colOff>
      <xdr:row>14</xdr:row>
      <xdr:rowOff>142875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1943100" y="2133600"/>
          <a:ext cx="1238250" cy="904875"/>
        </a:xfrm>
        <a:prstGeom prst="rect">
          <a:avLst/>
        </a:prstGeom>
        <a:solidFill>
          <a:srgbClr val="002060"/>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TOTAL NO OF RISK</a:t>
          </a: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23</a:t>
          </a:r>
        </a:p>
      </xdr:txBody>
    </xdr:sp>
    <xdr:clientData/>
  </xdr:twoCellAnchor>
  <xdr:twoCellAnchor>
    <xdr:from>
      <xdr:col>6</xdr:col>
      <xdr:colOff>19050</xdr:colOff>
      <xdr:row>9</xdr:row>
      <xdr:rowOff>0</xdr:rowOff>
    </xdr:from>
    <xdr:to>
      <xdr:col>9</xdr:col>
      <xdr:colOff>285750</xdr:colOff>
      <xdr:row>14</xdr:row>
      <xdr:rowOff>142875</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3257550" y="2133600"/>
          <a:ext cx="1238250" cy="904875"/>
        </a:xfrm>
        <a:prstGeom prst="rect">
          <a:avLst/>
        </a:prstGeom>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CRITICAL RISK</a:t>
          </a: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20</a:t>
          </a:r>
        </a:p>
      </xdr:txBody>
    </xdr:sp>
    <xdr:clientData/>
  </xdr:twoCellAnchor>
  <xdr:twoCellAnchor>
    <xdr:from>
      <xdr:col>10</xdr:col>
      <xdr:colOff>38100</xdr:colOff>
      <xdr:row>9</xdr:row>
      <xdr:rowOff>0</xdr:rowOff>
    </xdr:from>
    <xdr:to>
      <xdr:col>13</xdr:col>
      <xdr:colOff>304800</xdr:colOff>
      <xdr:row>14</xdr:row>
      <xdr:rowOff>142875</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4572000" y="2133600"/>
          <a:ext cx="1238250" cy="9048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NON-CRITICAL RISK</a:t>
          </a: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3</a:t>
          </a:r>
        </a:p>
      </xdr:txBody>
    </xdr:sp>
    <xdr:clientData/>
  </xdr:twoCellAnchor>
  <xdr:twoCellAnchor>
    <xdr:from>
      <xdr:col>14</xdr:col>
      <xdr:colOff>57150</xdr:colOff>
      <xdr:row>9</xdr:row>
      <xdr:rowOff>0</xdr:rowOff>
    </xdr:from>
    <xdr:to>
      <xdr:col>18</xdr:col>
      <xdr:colOff>0</xdr:colOff>
      <xdr:row>14</xdr:row>
      <xdr:rowOff>142875</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5886450" y="2133600"/>
          <a:ext cx="1238250" cy="904875"/>
        </a:xfrm>
        <a:prstGeom prst="rect">
          <a:avLst/>
        </a:prstGeom>
        <a:solidFill>
          <a:srgbClr val="FFC000"/>
        </a:soli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OVERALL RISK RATING</a:t>
          </a:r>
        </a:p>
        <a:p>
          <a:pPr algn="l"/>
          <a:endParaRPr lang="en-PH" sz="8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MEDIUM</a:t>
          </a:r>
        </a:p>
      </xdr:txBody>
    </xdr:sp>
    <xdr:clientData/>
  </xdr:twoCellAnchor>
  <xdr:twoCellAnchor>
    <xdr:from>
      <xdr:col>2</xdr:col>
      <xdr:colOff>0</xdr:colOff>
      <xdr:row>15</xdr:row>
      <xdr:rowOff>66675</xdr:rowOff>
    </xdr:from>
    <xdr:to>
      <xdr:col>5</xdr:col>
      <xdr:colOff>266700</xdr:colOff>
      <xdr:row>21</xdr:row>
      <xdr:rowOff>57150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1943100" y="3114675"/>
          <a:ext cx="1238250" cy="904875"/>
        </a:xfrm>
        <a:prstGeom prst="rect">
          <a:avLst/>
        </a:prstGeom>
        <a:solidFill>
          <a:srgbClr val="FF7979"/>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GROSS</a:t>
          </a:r>
          <a:r>
            <a:rPr lang="en-PH" sz="800" b="0" baseline="0">
              <a:latin typeface="Arial" panose="020B0604020202020204" pitchFamily="34" charset="0"/>
              <a:cs typeface="Arial" panose="020B0604020202020204" pitchFamily="34" charset="0"/>
            </a:rPr>
            <a:t> RISK COST</a:t>
          </a:r>
          <a:endParaRPr lang="en-PH" sz="800" b="0">
            <a:latin typeface="Arial" panose="020B0604020202020204" pitchFamily="34" charset="0"/>
            <a:cs typeface="Arial" panose="020B0604020202020204" pitchFamily="34" charset="0"/>
          </a:endParaRP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0M</a:t>
          </a:r>
        </a:p>
        <a:p>
          <a:pPr algn="ctr"/>
          <a:endParaRPr lang="en-PH" sz="800" b="0">
            <a:latin typeface="Arial" panose="020B0604020202020204" pitchFamily="34" charset="0"/>
            <a:cs typeface="Arial" panose="020B0604020202020204" pitchFamily="34" charset="0"/>
          </a:endParaRPr>
        </a:p>
        <a:p>
          <a:pPr algn="r"/>
          <a:r>
            <a:rPr lang="en-PH" sz="800" b="0">
              <a:latin typeface="Arial" panose="020B0604020202020204" pitchFamily="34" charset="0"/>
              <a:cs typeface="Arial" panose="020B0604020202020204" pitchFamily="34" charset="0"/>
            </a:rPr>
            <a:t>   </a:t>
          </a:r>
        </a:p>
      </xdr:txBody>
    </xdr:sp>
    <xdr:clientData/>
  </xdr:twoCellAnchor>
  <xdr:twoCellAnchor>
    <xdr:from>
      <xdr:col>6</xdr:col>
      <xdr:colOff>19050</xdr:colOff>
      <xdr:row>15</xdr:row>
      <xdr:rowOff>66675</xdr:rowOff>
    </xdr:from>
    <xdr:to>
      <xdr:col>9</xdr:col>
      <xdr:colOff>285750</xdr:colOff>
      <xdr:row>21</xdr:row>
      <xdr:rowOff>57150</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3257550" y="3114675"/>
          <a:ext cx="1238250" cy="904875"/>
        </a:xfrm>
        <a:prstGeom prst="rect">
          <a:avLst/>
        </a:prstGeom>
        <a:solidFill>
          <a:schemeClr val="accent2">
            <a:lumMod val="75000"/>
          </a:schemeClr>
        </a:solidFill>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PROJ RISK COST</a:t>
          </a: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0M</a:t>
          </a:r>
        </a:p>
        <a:p>
          <a:pPr algn="ctr"/>
          <a:endParaRPr lang="en-PH" sz="800" b="0">
            <a:latin typeface="Arial" panose="020B0604020202020204" pitchFamily="34" charset="0"/>
            <a:cs typeface="Arial" panose="020B0604020202020204" pitchFamily="34" charset="0"/>
          </a:endParaRPr>
        </a:p>
        <a:p>
          <a:pPr algn="r"/>
          <a:r>
            <a:rPr lang="en-PH" sz="800" b="0">
              <a:latin typeface="Arial" panose="020B0604020202020204" pitchFamily="34" charset="0"/>
              <a:cs typeface="Arial" panose="020B0604020202020204" pitchFamily="34" charset="0"/>
            </a:rPr>
            <a:t> </a:t>
          </a:r>
        </a:p>
      </xdr:txBody>
    </xdr:sp>
    <xdr:clientData/>
  </xdr:twoCellAnchor>
  <xdr:twoCellAnchor>
    <xdr:from>
      <xdr:col>10</xdr:col>
      <xdr:colOff>38100</xdr:colOff>
      <xdr:row>15</xdr:row>
      <xdr:rowOff>66675</xdr:rowOff>
    </xdr:from>
    <xdr:to>
      <xdr:col>13</xdr:col>
      <xdr:colOff>304800</xdr:colOff>
      <xdr:row>21</xdr:row>
      <xdr:rowOff>57150</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4572000" y="3114675"/>
          <a:ext cx="1238250" cy="904875"/>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RISK REVENUE LOSS</a:t>
          </a: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0M</a:t>
          </a:r>
        </a:p>
      </xdr:txBody>
    </xdr:sp>
    <xdr:clientData/>
  </xdr:twoCellAnchor>
  <xdr:twoCellAnchor>
    <xdr:from>
      <xdr:col>14</xdr:col>
      <xdr:colOff>57150</xdr:colOff>
      <xdr:row>15</xdr:row>
      <xdr:rowOff>66675</xdr:rowOff>
    </xdr:from>
    <xdr:to>
      <xdr:col>18</xdr:col>
      <xdr:colOff>0</xdr:colOff>
      <xdr:row>21</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5886450" y="3114675"/>
          <a:ext cx="1238250" cy="904875"/>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CONTINGENCY RESERVE</a:t>
          </a: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0M</a:t>
          </a:r>
        </a:p>
      </xdr:txBody>
    </xdr:sp>
    <xdr:clientData/>
  </xdr:twoCellAnchor>
  <xdr:twoCellAnchor>
    <xdr:from>
      <xdr:col>1</xdr:col>
      <xdr:colOff>304067</xdr:colOff>
      <xdr:row>31</xdr:row>
      <xdr:rowOff>10775</xdr:rowOff>
    </xdr:from>
    <xdr:to>
      <xdr:col>9</xdr:col>
      <xdr:colOff>285750</xdr:colOff>
      <xdr:row>43</xdr:row>
      <xdr:rowOff>78827</xdr:rowOff>
    </xdr:to>
    <xdr:graphicFrame macro="">
      <xdr:nvGraphicFramePr>
        <xdr:cNvPr id="20" name="Chart 19">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31</xdr:row>
      <xdr:rowOff>9525</xdr:rowOff>
    </xdr:from>
    <xdr:to>
      <xdr:col>18</xdr:col>
      <xdr:colOff>5846</xdr:colOff>
      <xdr:row>43</xdr:row>
      <xdr:rowOff>78827</xdr:rowOff>
    </xdr:to>
    <xdr:graphicFrame macro="">
      <xdr:nvGraphicFramePr>
        <xdr:cNvPr id="21" name="Chart 20">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22</xdr:row>
      <xdr:rowOff>734</xdr:rowOff>
    </xdr:from>
    <xdr:to>
      <xdr:col>5</xdr:col>
      <xdr:colOff>266700</xdr:colOff>
      <xdr:row>27</xdr:row>
      <xdr:rowOff>145074</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1934308" y="4155099"/>
          <a:ext cx="1233854" cy="913667"/>
        </a:xfrm>
        <a:prstGeom prst="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CUMULATIVE</a:t>
          </a:r>
          <a:r>
            <a:rPr lang="en-PH" sz="800" b="0" baseline="0">
              <a:latin typeface="Arial" panose="020B0604020202020204" pitchFamily="34" charset="0"/>
              <a:cs typeface="Arial" panose="020B0604020202020204" pitchFamily="34" charset="0"/>
            </a:rPr>
            <a:t> DELAYS</a:t>
          </a:r>
          <a:endParaRPr lang="en-PH" sz="800" b="0">
            <a:latin typeface="Arial" panose="020B0604020202020204" pitchFamily="34" charset="0"/>
            <a:cs typeface="Arial" panose="020B0604020202020204" pitchFamily="34" charset="0"/>
          </a:endParaRP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0D</a:t>
          </a:r>
        </a:p>
        <a:p>
          <a:pPr algn="ctr"/>
          <a:endParaRPr lang="en-PH" sz="800" b="0">
            <a:latin typeface="Arial" panose="020B0604020202020204" pitchFamily="34" charset="0"/>
            <a:cs typeface="Arial" panose="020B0604020202020204" pitchFamily="34" charset="0"/>
          </a:endParaRPr>
        </a:p>
        <a:p>
          <a:pPr algn="r"/>
          <a:r>
            <a:rPr lang="en-PH" sz="800" b="0">
              <a:latin typeface="Arial" panose="020B0604020202020204" pitchFamily="34" charset="0"/>
              <a:cs typeface="Arial" panose="020B0604020202020204" pitchFamily="34" charset="0"/>
            </a:rPr>
            <a:t> </a:t>
          </a:r>
        </a:p>
      </xdr:txBody>
    </xdr:sp>
    <xdr:clientData/>
  </xdr:twoCellAnchor>
  <xdr:twoCellAnchor>
    <xdr:from>
      <xdr:col>6</xdr:col>
      <xdr:colOff>19050</xdr:colOff>
      <xdr:row>22</xdr:row>
      <xdr:rowOff>734</xdr:rowOff>
    </xdr:from>
    <xdr:to>
      <xdr:col>9</xdr:col>
      <xdr:colOff>285750</xdr:colOff>
      <xdr:row>27</xdr:row>
      <xdr:rowOff>145074</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3242896" y="4155099"/>
          <a:ext cx="1233854" cy="913667"/>
        </a:xfrm>
        <a:prstGeom prst="rect">
          <a:avLst/>
        </a:prstGeom>
        <a:solidFill>
          <a:srgbClr val="00B0F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HIGH RISK COST</a:t>
          </a: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0M</a:t>
          </a:r>
        </a:p>
        <a:p>
          <a:pPr algn="ctr"/>
          <a:endParaRPr lang="en-PH" sz="800" b="0">
            <a:latin typeface="Arial" panose="020B0604020202020204" pitchFamily="34" charset="0"/>
            <a:cs typeface="Arial" panose="020B0604020202020204" pitchFamily="34" charset="0"/>
          </a:endParaRPr>
        </a:p>
        <a:p>
          <a:pPr algn="r"/>
          <a:r>
            <a:rPr lang="en-PH" sz="800" b="0">
              <a:latin typeface="Arial" panose="020B0604020202020204" pitchFamily="34" charset="0"/>
              <a:cs typeface="Arial" panose="020B0604020202020204" pitchFamily="34" charset="0"/>
            </a:rPr>
            <a:t> PR.RR18-02466.17  </a:t>
          </a:r>
        </a:p>
      </xdr:txBody>
    </xdr:sp>
    <xdr:clientData/>
  </xdr:twoCellAnchor>
  <xdr:twoCellAnchor>
    <xdr:from>
      <xdr:col>10</xdr:col>
      <xdr:colOff>38100</xdr:colOff>
      <xdr:row>22</xdr:row>
      <xdr:rowOff>734</xdr:rowOff>
    </xdr:from>
    <xdr:to>
      <xdr:col>13</xdr:col>
      <xdr:colOff>304800</xdr:colOff>
      <xdr:row>27</xdr:row>
      <xdr:rowOff>145074</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4551485" y="4155099"/>
          <a:ext cx="1233853" cy="913667"/>
        </a:xfrm>
        <a:prstGeom prst="rect">
          <a:avLst/>
        </a:prstGeom>
        <a:solidFill>
          <a:srgbClr val="48597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MITIGATION COST</a:t>
          </a: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0M</a:t>
          </a:r>
        </a:p>
      </xdr:txBody>
    </xdr:sp>
    <xdr:clientData/>
  </xdr:twoCellAnchor>
  <xdr:twoCellAnchor>
    <xdr:from>
      <xdr:col>14</xdr:col>
      <xdr:colOff>57150</xdr:colOff>
      <xdr:row>22</xdr:row>
      <xdr:rowOff>734</xdr:rowOff>
    </xdr:from>
    <xdr:to>
      <xdr:col>18</xdr:col>
      <xdr:colOff>0</xdr:colOff>
      <xdr:row>27</xdr:row>
      <xdr:rowOff>145074</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5860073" y="4155099"/>
          <a:ext cx="1232389" cy="913667"/>
        </a:xfrm>
        <a:prstGeom prst="rect">
          <a:avLst/>
        </a:prstGeom>
        <a:solidFill>
          <a:srgbClr val="9751CB"/>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PH" sz="800" b="0">
              <a:latin typeface="Arial" panose="020B0604020202020204" pitchFamily="34" charset="0"/>
              <a:cs typeface="Arial" panose="020B0604020202020204" pitchFamily="34" charset="0"/>
            </a:rPr>
            <a:t>RISK COST AVOIDED</a:t>
          </a:r>
        </a:p>
        <a:p>
          <a:pPr algn="l"/>
          <a:endParaRPr lang="en-PH" sz="900" b="0">
            <a:latin typeface="Arial" panose="020B0604020202020204" pitchFamily="34" charset="0"/>
            <a:cs typeface="Arial" panose="020B0604020202020204" pitchFamily="34" charset="0"/>
          </a:endParaRPr>
        </a:p>
        <a:p>
          <a:pPr algn="ctr"/>
          <a:r>
            <a:rPr lang="en-PH" sz="2000" b="0">
              <a:latin typeface="Arial" panose="020B0604020202020204" pitchFamily="34" charset="0"/>
              <a:cs typeface="Arial" panose="020B0604020202020204" pitchFamily="34" charset="0"/>
            </a:rPr>
            <a:t>0M</a:t>
          </a:r>
        </a:p>
      </xdr:txBody>
    </xdr:sp>
    <xdr:clientData/>
  </xdr:twoCellAnchor>
  <xdr:twoCellAnchor>
    <xdr:from>
      <xdr:col>1</xdr:col>
      <xdr:colOff>315979</xdr:colOff>
      <xdr:row>43</xdr:row>
      <xdr:rowOff>118242</xdr:rowOff>
    </xdr:from>
    <xdr:to>
      <xdr:col>9</xdr:col>
      <xdr:colOff>285750</xdr:colOff>
      <xdr:row>56</xdr:row>
      <xdr:rowOff>81635</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380512</xdr:colOff>
      <xdr:row>1</xdr:row>
      <xdr:rowOff>33132</xdr:rowOff>
    </xdr:from>
    <xdr:to>
      <xdr:col>17</xdr:col>
      <xdr:colOff>334779</xdr:colOff>
      <xdr:row>3</xdr:row>
      <xdr:rowOff>113558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5983453" y="190014"/>
          <a:ext cx="716267" cy="461426"/>
        </a:xfrm>
        <a:prstGeom prst="rect">
          <a:avLst/>
        </a:prstGeom>
      </xdr:spPr>
    </xdr:pic>
    <xdr:clientData/>
  </xdr:twoCellAnchor>
  <xdr:twoCellAnchor>
    <xdr:from>
      <xdr:col>9</xdr:col>
      <xdr:colOff>313765</xdr:colOff>
      <xdr:row>43</xdr:row>
      <xdr:rowOff>124384</xdr:rowOff>
    </xdr:from>
    <xdr:to>
      <xdr:col>18</xdr:col>
      <xdr:colOff>11206</xdr:colOff>
      <xdr:row>56</xdr:row>
      <xdr:rowOff>78441</xdr:rowOff>
    </xdr:to>
    <xdr:graphicFrame macro="">
      <xdr:nvGraphicFramePr>
        <xdr:cNvPr id="26" name="Chart 25">
          <a:extLst>
            <a:ext uri="{FF2B5EF4-FFF2-40B4-BE49-F238E27FC236}">
              <a16:creationId xmlns:a16="http://schemas.microsoft.com/office/drawing/2014/main" id="{00000000-0008-0000-01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607359</xdr:colOff>
      <xdr:row>88</xdr:row>
      <xdr:rowOff>104775</xdr:rowOff>
    </xdr:from>
    <xdr:to>
      <xdr:col>15</xdr:col>
      <xdr:colOff>418304</xdr:colOff>
      <xdr:row>129</xdr:row>
      <xdr:rowOff>70357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64459" y="10715625"/>
          <a:ext cx="8669195" cy="7871332"/>
        </a:xfrm>
        <a:prstGeom prst="rect">
          <a:avLst/>
        </a:prstGeom>
      </xdr:spPr>
    </xdr:pic>
    <xdr:clientData/>
  </xdr:twoCellAnchor>
  <xdr:twoCellAnchor editAs="oneCell">
    <xdr:from>
      <xdr:col>1</xdr:col>
      <xdr:colOff>1121</xdr:colOff>
      <xdr:row>135</xdr:row>
      <xdr:rowOff>95250</xdr:rowOff>
    </xdr:from>
    <xdr:to>
      <xdr:col>12</xdr:col>
      <xdr:colOff>204606</xdr:colOff>
      <xdr:row>151</xdr:row>
      <xdr:rowOff>164086</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267821" y="19802475"/>
          <a:ext cx="6623335" cy="3116836"/>
        </a:xfrm>
        <a:prstGeom prst="rect">
          <a:avLst/>
        </a:prstGeom>
      </xdr:spPr>
    </xdr:pic>
    <xdr:clientData/>
  </xdr:twoCellAnchor>
  <xdr:twoCellAnchor editAs="oneCell">
    <xdr:from>
      <xdr:col>0</xdr:col>
      <xdr:colOff>361950</xdr:colOff>
      <xdr:row>180</xdr:row>
      <xdr:rowOff>0</xdr:rowOff>
    </xdr:from>
    <xdr:to>
      <xdr:col>13</xdr:col>
      <xdr:colOff>104054</xdr:colOff>
      <xdr:row>223</xdr:row>
      <xdr:rowOff>34631</xdr:rowOff>
    </xdr:to>
    <xdr:pic>
      <xdr:nvPicPr>
        <xdr:cNvPr id="4" name="Content Placeholder 3">
          <a:extLst>
            <a:ext uri="{FF2B5EF4-FFF2-40B4-BE49-F238E27FC236}">
              <a16:creationId xmlns:a16="http://schemas.microsoft.com/office/drawing/2014/main" id="{00000000-0008-0000-0300-000004000000}"/>
            </a:ext>
          </a:extLst>
        </xdr:cNvPr>
        <xdr:cNvPicPr>
          <a:picLocks noGrp="1" noChangeAspect="1"/>
        </xdr:cNvPicPr>
      </xdr:nvPicPr>
      <xdr:blipFill>
        <a:blip xmlns:r="http://schemas.openxmlformats.org/officeDocument/2006/relationships" r:embed="rId3"/>
        <a:stretch>
          <a:fillRect/>
        </a:stretch>
      </xdr:blipFill>
      <xdr:spPr>
        <a:xfrm>
          <a:off x="266700" y="28374975"/>
          <a:ext cx="7133504" cy="8226131"/>
        </a:xfrm>
        <a:prstGeom prst="rect">
          <a:avLst/>
        </a:prstGeom>
      </xdr:spPr>
    </xdr:pic>
    <xdr:clientData/>
  </xdr:twoCellAnchor>
  <xdr:twoCellAnchor editAs="oneCell">
    <xdr:from>
      <xdr:col>13</xdr:col>
      <xdr:colOff>33589</xdr:colOff>
      <xdr:row>179</xdr:row>
      <xdr:rowOff>31254</xdr:rowOff>
    </xdr:from>
    <xdr:to>
      <xdr:col>13</xdr:col>
      <xdr:colOff>215567</xdr:colOff>
      <xdr:row>179</xdr:row>
      <xdr:rowOff>213560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7329739" y="28168104"/>
          <a:ext cx="181978" cy="182306"/>
        </a:xfrm>
        <a:prstGeom prst="rect">
          <a:avLst/>
        </a:prstGeom>
      </xdr:spPr>
    </xdr:pic>
    <xdr:clientData/>
  </xdr:twoCellAnchor>
  <xdr:oneCellAnchor>
    <xdr:from>
      <xdr:col>13</xdr:col>
      <xdr:colOff>33589</xdr:colOff>
      <xdr:row>155</xdr:row>
      <xdr:rowOff>31254</xdr:rowOff>
    </xdr:from>
    <xdr:ext cx="181978" cy="182306"/>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7329739" y="23548479"/>
          <a:ext cx="181978" cy="182306"/>
        </a:xfrm>
        <a:prstGeom prst="rect">
          <a:avLst/>
        </a:prstGeom>
      </xdr:spPr>
    </xdr:pic>
    <xdr:clientData/>
  </xdr:oneCellAnchor>
  <xdr:oneCellAnchor>
    <xdr:from>
      <xdr:col>13</xdr:col>
      <xdr:colOff>33589</xdr:colOff>
      <xdr:row>134</xdr:row>
      <xdr:rowOff>31254</xdr:rowOff>
    </xdr:from>
    <xdr:ext cx="181978" cy="182306"/>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7329739" y="19500354"/>
          <a:ext cx="181978" cy="182306"/>
        </a:xfrm>
        <a:prstGeom prst="rect">
          <a:avLst/>
        </a:prstGeom>
      </xdr:spPr>
    </xdr:pic>
    <xdr:clientData/>
  </xdr:oneCellAnchor>
  <xdr:oneCellAnchor>
    <xdr:from>
      <xdr:col>13</xdr:col>
      <xdr:colOff>33589</xdr:colOff>
      <xdr:row>87</xdr:row>
      <xdr:rowOff>31254</xdr:rowOff>
    </xdr:from>
    <xdr:ext cx="181978" cy="182306"/>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7329739" y="10403979"/>
          <a:ext cx="181978" cy="182306"/>
        </a:xfrm>
        <a:prstGeom prst="rect">
          <a:avLst/>
        </a:prstGeom>
      </xdr:spPr>
    </xdr:pic>
    <xdr:clientData/>
  </xdr:oneCellAnchor>
  <xdr:oneCellAnchor>
    <xdr:from>
      <xdr:col>13</xdr:col>
      <xdr:colOff>33589</xdr:colOff>
      <xdr:row>14</xdr:row>
      <xdr:rowOff>31254</xdr:rowOff>
    </xdr:from>
    <xdr:ext cx="181978" cy="182306"/>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7329739" y="3117354"/>
          <a:ext cx="181978" cy="182306"/>
        </a:xfrm>
        <a:prstGeom prst="rect">
          <a:avLst/>
        </a:prstGeom>
      </xdr:spPr>
    </xdr:pic>
    <xdr:clientData/>
  </xdr:oneCellAnchor>
  <xdr:twoCellAnchor>
    <xdr:from>
      <xdr:col>0</xdr:col>
      <xdr:colOff>557891</xdr:colOff>
      <xdr:row>13</xdr:row>
      <xdr:rowOff>54427</xdr:rowOff>
    </xdr:from>
    <xdr:to>
      <xdr:col>14</xdr:col>
      <xdr:colOff>272142</xdr:colOff>
      <xdr:row>82</xdr:row>
      <xdr:rowOff>54428</xdr:rowOff>
    </xdr:to>
    <xdr:sp macro="" textlink="">
      <xdr:nvSpPr>
        <xdr:cNvPr id="11" name="Rectangle 10">
          <a:extLst>
            <a:ext uri="{FF2B5EF4-FFF2-40B4-BE49-F238E27FC236}">
              <a16:creationId xmlns:a16="http://schemas.microsoft.com/office/drawing/2014/main" id="{00000000-0008-0000-0300-00000B000000}"/>
            </a:ext>
          </a:extLst>
        </xdr:cNvPr>
        <xdr:cNvSpPr/>
      </xdr:nvSpPr>
      <xdr:spPr>
        <a:xfrm>
          <a:off x="262616" y="2950027"/>
          <a:ext cx="7915276" cy="6524626"/>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557891</xdr:colOff>
      <xdr:row>86</xdr:row>
      <xdr:rowOff>68034</xdr:rowOff>
    </xdr:from>
    <xdr:to>
      <xdr:col>15</xdr:col>
      <xdr:colOff>544286</xdr:colOff>
      <xdr:row>130</xdr:row>
      <xdr:rowOff>68036</xdr:rowOff>
    </xdr:to>
    <xdr:sp macro="" textlink="">
      <xdr:nvSpPr>
        <xdr:cNvPr id="12" name="Rectangle 11">
          <a:extLst>
            <a:ext uri="{FF2B5EF4-FFF2-40B4-BE49-F238E27FC236}">
              <a16:creationId xmlns:a16="http://schemas.microsoft.com/office/drawing/2014/main" id="{00000000-0008-0000-0300-00000C000000}"/>
            </a:ext>
          </a:extLst>
        </xdr:cNvPr>
        <xdr:cNvSpPr/>
      </xdr:nvSpPr>
      <xdr:spPr>
        <a:xfrm>
          <a:off x="262616" y="10250259"/>
          <a:ext cx="8797020" cy="8524877"/>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557891</xdr:colOff>
      <xdr:row>133</xdr:row>
      <xdr:rowOff>81642</xdr:rowOff>
    </xdr:from>
    <xdr:to>
      <xdr:col>15</xdr:col>
      <xdr:colOff>544286</xdr:colOff>
      <xdr:row>153</xdr:row>
      <xdr:rowOff>68035</xdr:rowOff>
    </xdr:to>
    <xdr:sp macro="" textlink="">
      <xdr:nvSpPr>
        <xdr:cNvPr id="13" name="Rectangle 12">
          <a:extLst>
            <a:ext uri="{FF2B5EF4-FFF2-40B4-BE49-F238E27FC236}">
              <a16:creationId xmlns:a16="http://schemas.microsoft.com/office/drawing/2014/main" id="{00000000-0008-0000-0300-00000D000000}"/>
            </a:ext>
          </a:extLst>
        </xdr:cNvPr>
        <xdr:cNvSpPr/>
      </xdr:nvSpPr>
      <xdr:spPr>
        <a:xfrm>
          <a:off x="262616" y="19360242"/>
          <a:ext cx="8797020" cy="384401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557891</xdr:colOff>
      <xdr:row>154</xdr:row>
      <xdr:rowOff>108857</xdr:rowOff>
    </xdr:from>
    <xdr:to>
      <xdr:col>15</xdr:col>
      <xdr:colOff>544286</xdr:colOff>
      <xdr:row>175</xdr:row>
      <xdr:rowOff>13607</xdr:rowOff>
    </xdr:to>
    <xdr:sp macro="" textlink="">
      <xdr:nvSpPr>
        <xdr:cNvPr id="14" name="Rectangle 13">
          <a:extLst>
            <a:ext uri="{FF2B5EF4-FFF2-40B4-BE49-F238E27FC236}">
              <a16:creationId xmlns:a16="http://schemas.microsoft.com/office/drawing/2014/main" id="{00000000-0008-0000-0300-00000E000000}"/>
            </a:ext>
          </a:extLst>
        </xdr:cNvPr>
        <xdr:cNvSpPr/>
      </xdr:nvSpPr>
      <xdr:spPr>
        <a:xfrm>
          <a:off x="262616" y="23435582"/>
          <a:ext cx="8797020" cy="39528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557891</xdr:colOff>
      <xdr:row>178</xdr:row>
      <xdr:rowOff>95250</xdr:rowOff>
    </xdr:from>
    <xdr:to>
      <xdr:col>15</xdr:col>
      <xdr:colOff>544286</xdr:colOff>
      <xdr:row>223</xdr:row>
      <xdr:rowOff>95250</xdr:rowOff>
    </xdr:to>
    <xdr:sp macro="" textlink="">
      <xdr:nvSpPr>
        <xdr:cNvPr id="15" name="Rectangle 14">
          <a:extLst>
            <a:ext uri="{FF2B5EF4-FFF2-40B4-BE49-F238E27FC236}">
              <a16:creationId xmlns:a16="http://schemas.microsoft.com/office/drawing/2014/main" id="{00000000-0008-0000-0300-00000F000000}"/>
            </a:ext>
          </a:extLst>
        </xdr:cNvPr>
        <xdr:cNvSpPr/>
      </xdr:nvSpPr>
      <xdr:spPr>
        <a:xfrm>
          <a:off x="262616" y="28041600"/>
          <a:ext cx="8797020" cy="862012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xdr:from>
          <xdr:col>1</xdr:col>
          <xdr:colOff>312420</xdr:colOff>
          <xdr:row>17</xdr:row>
          <xdr:rowOff>182880</xdr:rowOff>
        </xdr:from>
        <xdr:to>
          <xdr:col>13</xdr:col>
          <xdr:colOff>487680</xdr:colOff>
          <xdr:row>80</xdr:row>
          <xdr:rowOff>182880</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300-000001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4</xdr:col>
      <xdr:colOff>180975</xdr:colOff>
      <xdr:row>158</xdr:row>
      <xdr:rowOff>76200</xdr:rowOff>
    </xdr:from>
    <xdr:to>
      <xdr:col>11</xdr:col>
      <xdr:colOff>266156</xdr:colOff>
      <xdr:row>172</xdr:row>
      <xdr:rowOff>85390</xdr:rowOff>
    </xdr:to>
    <xdr:pic>
      <xdr:nvPicPr>
        <xdr:cNvPr id="18" name="Picture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6"/>
        <a:stretch>
          <a:fillRect/>
        </a:stretch>
      </xdr:blipFill>
      <xdr:spPr>
        <a:xfrm>
          <a:off x="1990725" y="30880050"/>
          <a:ext cx="4352381" cy="26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32</xdr:col>
      <xdr:colOff>257175</xdr:colOff>
      <xdr:row>4</xdr:row>
      <xdr:rowOff>57150</xdr:rowOff>
    </xdr:from>
    <xdr:to>
      <xdr:col>32</xdr:col>
      <xdr:colOff>750994</xdr:colOff>
      <xdr:row>5</xdr:row>
      <xdr:rowOff>69369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754100" y="666750"/>
          <a:ext cx="493819" cy="3170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342049</xdr:colOff>
      <xdr:row>1</xdr:row>
      <xdr:rowOff>48185</xdr:rowOff>
    </xdr:from>
    <xdr:to>
      <xdr:col>32</xdr:col>
      <xdr:colOff>1012264</xdr:colOff>
      <xdr:row>2</xdr:row>
      <xdr:rowOff>167885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30732402" y="205067"/>
          <a:ext cx="1566910" cy="452067"/>
        </a:xfrm>
        <a:prstGeom prst="rect">
          <a:avLst/>
        </a:prstGeom>
      </xdr:spPr>
    </xdr:pic>
    <xdr:clientData/>
  </xdr:twoCellAnchor>
  <xdr:twoCellAnchor editAs="oneCell">
    <xdr:from>
      <xdr:col>28</xdr:col>
      <xdr:colOff>311364</xdr:colOff>
      <xdr:row>1</xdr:row>
      <xdr:rowOff>54428</xdr:rowOff>
    </xdr:from>
    <xdr:to>
      <xdr:col>30</xdr:col>
      <xdr:colOff>400308</xdr:colOff>
      <xdr:row>2</xdr:row>
      <xdr:rowOff>207306</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a:stretch>
          <a:fillRect/>
        </a:stretch>
      </xdr:blipFill>
      <xdr:spPr>
        <a:xfrm>
          <a:off x="29043246" y="211310"/>
          <a:ext cx="1280578" cy="477625"/>
        </a:xfrm>
        <a:prstGeom prst="rect">
          <a:avLst/>
        </a:prstGeom>
      </xdr:spPr>
    </xdr:pic>
    <xdr:clientData/>
  </xdr:twoCellAnchor>
  <xdr:oneCellAnchor>
    <xdr:from>
      <xdr:col>9</xdr:col>
      <xdr:colOff>1239313</xdr:colOff>
      <xdr:row>119</xdr:row>
      <xdr:rowOff>333828</xdr:rowOff>
    </xdr:from>
    <xdr:ext cx="10615031" cy="937629"/>
    <xdr:sp macro="" textlink="">
      <xdr:nvSpPr>
        <xdr:cNvPr id="10" name="Rectangle 9">
          <a:extLst>
            <a:ext uri="{FF2B5EF4-FFF2-40B4-BE49-F238E27FC236}">
              <a16:creationId xmlns:a16="http://schemas.microsoft.com/office/drawing/2014/main" id="{00000000-0008-0000-0600-00000A000000}"/>
            </a:ext>
          </a:extLst>
        </xdr:cNvPr>
        <xdr:cNvSpPr/>
      </xdr:nvSpPr>
      <xdr:spPr>
        <a:xfrm rot="19827695">
          <a:off x="10192813" y="96060078"/>
          <a:ext cx="10615031" cy="937629"/>
        </a:xfrm>
        <a:prstGeom prst="rect">
          <a:avLst/>
        </a:prstGeom>
        <a:noFill/>
        <a:effectLst>
          <a:glow rad="101600">
            <a:schemeClr val="accent2">
              <a:satMod val="175000"/>
              <a:alpha val="40000"/>
            </a:schemeClr>
          </a:glow>
        </a:effectLst>
      </xdr:spPr>
      <xdr:txBody>
        <a:bodyPr wrap="squar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CONFIDENTIAL PROPERTY</a:t>
          </a:r>
          <a:r>
            <a:rPr lang="en-US" sz="5400" b="0" cap="none" spc="0" baseline="0">
              <a:ln w="0"/>
              <a:solidFill>
                <a:schemeClr val="accent1"/>
              </a:solidFill>
              <a:effectLst>
                <a:outerShdw blurRad="38100" dist="25400" dir="5400000" algn="ctr" rotWithShape="0">
                  <a:srgbClr val="6E747A">
                    <a:alpha val="43000"/>
                  </a:srgbClr>
                </a:outerShdw>
              </a:effectLst>
            </a:rPr>
            <a:t> OF MWCI</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9</xdr:col>
      <xdr:colOff>1144063</xdr:colOff>
      <xdr:row>143</xdr:row>
      <xdr:rowOff>524328</xdr:rowOff>
    </xdr:from>
    <xdr:ext cx="10615031" cy="937629"/>
    <xdr:sp macro="" textlink="">
      <xdr:nvSpPr>
        <xdr:cNvPr id="11" name="Rectangle 10">
          <a:extLst>
            <a:ext uri="{FF2B5EF4-FFF2-40B4-BE49-F238E27FC236}">
              <a16:creationId xmlns:a16="http://schemas.microsoft.com/office/drawing/2014/main" id="{00000000-0008-0000-0600-00000B000000}"/>
            </a:ext>
          </a:extLst>
        </xdr:cNvPr>
        <xdr:cNvSpPr/>
      </xdr:nvSpPr>
      <xdr:spPr>
        <a:xfrm rot="19827695">
          <a:off x="10097563" y="116824578"/>
          <a:ext cx="10615031" cy="937629"/>
        </a:xfrm>
        <a:prstGeom prst="rect">
          <a:avLst/>
        </a:prstGeom>
        <a:noFill/>
        <a:effectLst>
          <a:glow rad="101600">
            <a:schemeClr val="accent2">
              <a:satMod val="175000"/>
              <a:alpha val="40000"/>
            </a:schemeClr>
          </a:glow>
        </a:effectLst>
      </xdr:spPr>
      <xdr:txBody>
        <a:bodyPr wrap="squar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CONFIDENTIAL PROPERTY</a:t>
          </a:r>
          <a:r>
            <a:rPr lang="en-US" sz="5400" b="0" cap="none" spc="0" baseline="0">
              <a:ln w="0"/>
              <a:solidFill>
                <a:schemeClr val="accent1"/>
              </a:solidFill>
              <a:effectLst>
                <a:outerShdw blurRad="38100" dist="25400" dir="5400000" algn="ctr" rotWithShape="0">
                  <a:srgbClr val="6E747A">
                    <a:alpha val="43000"/>
                  </a:srgbClr>
                </a:outerShdw>
              </a:effectLst>
            </a:rPr>
            <a:t> OF MWCI</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9</xdr:col>
      <xdr:colOff>763063</xdr:colOff>
      <xdr:row>167</xdr:row>
      <xdr:rowOff>810078</xdr:rowOff>
    </xdr:from>
    <xdr:ext cx="10615031" cy="937629"/>
    <xdr:sp macro="" textlink="">
      <xdr:nvSpPr>
        <xdr:cNvPr id="12" name="Rectangle 11">
          <a:extLst>
            <a:ext uri="{FF2B5EF4-FFF2-40B4-BE49-F238E27FC236}">
              <a16:creationId xmlns:a16="http://schemas.microsoft.com/office/drawing/2014/main" id="{00000000-0008-0000-0600-00000C000000}"/>
            </a:ext>
          </a:extLst>
        </xdr:cNvPr>
        <xdr:cNvSpPr/>
      </xdr:nvSpPr>
      <xdr:spPr>
        <a:xfrm rot="19827695">
          <a:off x="9716563" y="137684328"/>
          <a:ext cx="10615031" cy="937629"/>
        </a:xfrm>
        <a:prstGeom prst="rect">
          <a:avLst/>
        </a:prstGeom>
        <a:noFill/>
        <a:effectLst>
          <a:glow rad="101600">
            <a:schemeClr val="accent2">
              <a:satMod val="175000"/>
              <a:alpha val="40000"/>
            </a:schemeClr>
          </a:glow>
        </a:effectLst>
      </xdr:spPr>
      <xdr:txBody>
        <a:bodyPr wrap="squar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CONFIDENTIAL PROPERTY</a:t>
          </a:r>
          <a:r>
            <a:rPr lang="en-US" sz="5400" b="0" cap="none" spc="0" baseline="0">
              <a:ln w="0"/>
              <a:solidFill>
                <a:schemeClr val="accent1"/>
              </a:solidFill>
              <a:effectLst>
                <a:outerShdw blurRad="38100" dist="25400" dir="5400000" algn="ctr" rotWithShape="0">
                  <a:srgbClr val="6E747A">
                    <a:alpha val="43000"/>
                  </a:srgbClr>
                </a:outerShdw>
              </a:effectLst>
            </a:rPr>
            <a:t> OF MWCI</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9</xdr:col>
      <xdr:colOff>1239313</xdr:colOff>
      <xdr:row>192</xdr:row>
      <xdr:rowOff>48078</xdr:rowOff>
    </xdr:from>
    <xdr:ext cx="10615031" cy="937629"/>
    <xdr:sp macro="" textlink="">
      <xdr:nvSpPr>
        <xdr:cNvPr id="13" name="Rectangle 12">
          <a:extLst>
            <a:ext uri="{FF2B5EF4-FFF2-40B4-BE49-F238E27FC236}">
              <a16:creationId xmlns:a16="http://schemas.microsoft.com/office/drawing/2014/main" id="{00000000-0008-0000-0600-00000D000000}"/>
            </a:ext>
          </a:extLst>
        </xdr:cNvPr>
        <xdr:cNvSpPr/>
      </xdr:nvSpPr>
      <xdr:spPr>
        <a:xfrm rot="19827695">
          <a:off x="10192813" y="158353578"/>
          <a:ext cx="10615031" cy="937629"/>
        </a:xfrm>
        <a:prstGeom prst="rect">
          <a:avLst/>
        </a:prstGeom>
        <a:noFill/>
        <a:effectLst>
          <a:glow rad="101600">
            <a:schemeClr val="accent2">
              <a:satMod val="175000"/>
              <a:alpha val="40000"/>
            </a:schemeClr>
          </a:glow>
        </a:effectLst>
      </xdr:spPr>
      <xdr:txBody>
        <a:bodyPr wrap="squar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CONFIDENTIAL PROPERTY</a:t>
          </a:r>
          <a:r>
            <a:rPr lang="en-US" sz="5400" b="0" cap="none" spc="0" baseline="0">
              <a:ln w="0"/>
              <a:solidFill>
                <a:schemeClr val="accent1"/>
              </a:solidFill>
              <a:effectLst>
                <a:outerShdw blurRad="38100" dist="25400" dir="5400000" algn="ctr" rotWithShape="0">
                  <a:srgbClr val="6E747A">
                    <a:alpha val="43000"/>
                  </a:srgbClr>
                </a:outerShdw>
              </a:effectLst>
            </a:rPr>
            <a:t> OF MWCI</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9</xdr:col>
      <xdr:colOff>1525062</xdr:colOff>
      <xdr:row>208</xdr:row>
      <xdr:rowOff>524329</xdr:rowOff>
    </xdr:from>
    <xdr:ext cx="10615031" cy="937629"/>
    <xdr:sp macro="" textlink="">
      <xdr:nvSpPr>
        <xdr:cNvPr id="14" name="Rectangle 13">
          <a:extLst>
            <a:ext uri="{FF2B5EF4-FFF2-40B4-BE49-F238E27FC236}">
              <a16:creationId xmlns:a16="http://schemas.microsoft.com/office/drawing/2014/main" id="{00000000-0008-0000-0600-00000E000000}"/>
            </a:ext>
          </a:extLst>
        </xdr:cNvPr>
        <xdr:cNvSpPr/>
      </xdr:nvSpPr>
      <xdr:spPr>
        <a:xfrm rot="19827695">
          <a:off x="10478562" y="172545829"/>
          <a:ext cx="10615031" cy="937629"/>
        </a:xfrm>
        <a:prstGeom prst="rect">
          <a:avLst/>
        </a:prstGeom>
        <a:noFill/>
        <a:effectLst>
          <a:glow rad="101600">
            <a:schemeClr val="accent2">
              <a:satMod val="175000"/>
              <a:alpha val="40000"/>
            </a:schemeClr>
          </a:glow>
        </a:effectLst>
      </xdr:spPr>
      <xdr:txBody>
        <a:bodyPr wrap="squar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CONFIDENTIAL PROPERTY</a:t>
          </a:r>
          <a:r>
            <a:rPr lang="en-US" sz="5400" b="0" cap="none" spc="0" baseline="0">
              <a:ln w="0"/>
              <a:solidFill>
                <a:schemeClr val="accent1"/>
              </a:solidFill>
              <a:effectLst>
                <a:outerShdw blurRad="38100" dist="25400" dir="5400000" algn="ctr" rotWithShape="0">
                  <a:srgbClr val="6E747A">
                    <a:alpha val="43000"/>
                  </a:srgbClr>
                </a:outerShdw>
              </a:effectLst>
            </a:rPr>
            <a:t> OF MWCI</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11</xdr:col>
      <xdr:colOff>1166785</xdr:colOff>
      <xdr:row>1</xdr:row>
      <xdr:rowOff>91435</xdr:rowOff>
    </xdr:from>
    <xdr:to>
      <xdr:col>13</xdr:col>
      <xdr:colOff>512052</xdr:colOff>
      <xdr:row>3</xdr:row>
      <xdr:rowOff>146901</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1902821" y="281935"/>
          <a:ext cx="2121124" cy="3276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6350</xdr:colOff>
      <xdr:row>1</xdr:row>
      <xdr:rowOff>177800</xdr:rowOff>
    </xdr:from>
    <xdr:to>
      <xdr:col>20</xdr:col>
      <xdr:colOff>184150</xdr:colOff>
      <xdr:row>18</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xdr:colOff>
      <xdr:row>19</xdr:row>
      <xdr:rowOff>177800</xdr:rowOff>
    </xdr:from>
    <xdr:to>
      <xdr:col>20</xdr:col>
      <xdr:colOff>184150</xdr:colOff>
      <xdr:row>36</xdr:row>
      <xdr:rowOff>114300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0</xdr:colOff>
      <xdr:row>32</xdr:row>
      <xdr:rowOff>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21</xdr:col>
      <xdr:colOff>0</xdr:colOff>
      <xdr:row>32</xdr:row>
      <xdr:rowOff>0</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0</xdr:colOff>
      <xdr:row>32</xdr:row>
      <xdr:rowOff>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21</xdr:col>
      <xdr:colOff>0</xdr:colOff>
      <xdr:row>32</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C7430-010A-416B-99EC-932CC1F8EC5F}">
  <sheetPr codeName="Sheet4">
    <tabColor theme="0" tint="-0.499984740745262"/>
    <outlinePr summaryBelow="0" summaryRight="0"/>
  </sheetPr>
  <dimension ref="C2:BH193"/>
  <sheetViews>
    <sheetView showGridLines="0" topLeftCell="M10" zoomScale="115" zoomScaleNormal="115" workbookViewId="0">
      <selection activeCell="R8" sqref="R8"/>
    </sheetView>
  </sheetViews>
  <sheetFormatPr defaultColWidth="9.109375" defaultRowHeight="12" x14ac:dyDescent="0.25"/>
  <cols>
    <col min="1" max="2" width="10.88671875" style="10" customWidth="1"/>
    <col min="3" max="3" width="10.88671875" style="9" customWidth="1"/>
    <col min="4" max="5" width="10.88671875" style="10" customWidth="1"/>
    <col min="6" max="6" width="10.88671875" style="9" customWidth="1"/>
    <col min="7" max="7" width="9.109375" style="10"/>
    <col min="8" max="8" width="12.109375" style="9" customWidth="1"/>
    <col min="9" max="9" width="4.88671875" style="9" customWidth="1"/>
    <col min="10" max="10" width="12.109375" style="9" customWidth="1"/>
    <col min="11" max="11" width="5" style="9" customWidth="1"/>
    <col min="12" max="13" width="11.109375" style="10" customWidth="1"/>
    <col min="14" max="14" width="13.109375" style="10" customWidth="1"/>
    <col min="15" max="15" width="19.5546875" style="10" customWidth="1"/>
    <col min="16" max="17" width="10.109375" style="10" customWidth="1"/>
    <col min="18" max="25" width="9.109375" style="10"/>
    <col min="26" max="26" width="16.88671875" style="10" customWidth="1"/>
    <col min="27" max="27" width="85.5546875" style="10" customWidth="1"/>
    <col min="28" max="28" width="9.5546875" style="10" customWidth="1"/>
    <col min="29" max="33" width="9.5546875" style="30" customWidth="1"/>
    <col min="34" max="36" width="9.5546875" style="10" customWidth="1"/>
    <col min="37" max="37" width="5.109375" style="10" customWidth="1"/>
    <col min="38" max="38" width="9.5546875" style="10" customWidth="1"/>
    <col min="39" max="41" width="6.5546875" style="10" customWidth="1"/>
    <col min="42" max="47" width="7.109375" style="10" customWidth="1"/>
    <col min="48" max="53" width="39.5546875" style="10" customWidth="1"/>
    <col min="54" max="54" width="9.5546875" style="10" customWidth="1"/>
    <col min="55" max="60" width="37.5546875" style="10" customWidth="1"/>
    <col min="61" max="239" width="9.5546875" style="10" customWidth="1"/>
    <col min="240" max="16384" width="9.109375" style="10"/>
  </cols>
  <sheetData>
    <row r="2" spans="3:60" x14ac:dyDescent="0.25">
      <c r="R2" s="30" t="s">
        <v>0</v>
      </c>
      <c r="S2" s="30" t="s">
        <v>1</v>
      </c>
      <c r="T2" s="30" t="s">
        <v>2</v>
      </c>
      <c r="U2" s="30" t="s">
        <v>3</v>
      </c>
      <c r="V2" s="30" t="s">
        <v>4</v>
      </c>
    </row>
    <row r="3" spans="3:60" ht="29.25" customHeight="1" x14ac:dyDescent="0.25">
      <c r="P3" s="385" t="s">
        <v>5</v>
      </c>
      <c r="Q3" s="20" t="s">
        <v>6</v>
      </c>
      <c r="R3" s="67" t="str">
        <f>IF(AND($P3="Very Low",$Q3="Very High"),"X","")</f>
        <v/>
      </c>
      <c r="S3" s="68" t="str">
        <f>IF(AND($P3="Low",$Q3="Very High"),"X","")</f>
        <v/>
      </c>
      <c r="T3" s="68" t="str">
        <f>IF(AND($P3="Medium",$Q3="Very High"),"X","")</f>
        <v/>
      </c>
      <c r="U3" s="68" t="str">
        <f>IF(AND($P3="High",$Q3="Very High"),"X","")</f>
        <v/>
      </c>
      <c r="V3" s="68" t="str">
        <f>IF(AND($P3="Very High",$Q3="Very High"),"X","")</f>
        <v/>
      </c>
      <c r="AB3" s="30">
        <v>5</v>
      </c>
      <c r="AC3" s="65">
        <f t="shared" ref="AC3:AG7" si="0">AC$8*$AB3</f>
        <v>5</v>
      </c>
      <c r="AD3" s="63">
        <f t="shared" si="0"/>
        <v>10</v>
      </c>
      <c r="AE3" s="64">
        <f t="shared" si="0"/>
        <v>15</v>
      </c>
      <c r="AF3" s="64">
        <f t="shared" si="0"/>
        <v>20</v>
      </c>
      <c r="AG3" s="64">
        <f t="shared" si="0"/>
        <v>25</v>
      </c>
    </row>
    <row r="4" spans="3:60" ht="29.25" customHeight="1" x14ac:dyDescent="0.25">
      <c r="P4" s="385"/>
      <c r="Q4" s="20" t="s">
        <v>7</v>
      </c>
      <c r="R4" s="66" t="str">
        <f>IF(AND($P3="Very Low",$Q3="High"),"X","")</f>
        <v/>
      </c>
      <c r="S4" s="67" t="str">
        <f>IF(AND($P3="Low",$Q3="High"),"X","")</f>
        <v/>
      </c>
      <c r="T4" s="68" t="str">
        <f>IF(AND($P4="Medium",$Q4="Very High"),"X","")</f>
        <v/>
      </c>
      <c r="U4" s="68" t="str">
        <f>IF(AND($P3="High",$Q3="High"),"X","")</f>
        <v/>
      </c>
      <c r="V4" s="68" t="str">
        <f>IF(AND($P3="Very High",$Q3="High"),"X","")</f>
        <v/>
      </c>
      <c r="AB4" s="30">
        <v>4</v>
      </c>
      <c r="AC4" s="65">
        <f t="shared" si="0"/>
        <v>4</v>
      </c>
      <c r="AD4" s="63">
        <f t="shared" si="0"/>
        <v>8</v>
      </c>
      <c r="AE4" s="64">
        <f t="shared" si="0"/>
        <v>12</v>
      </c>
      <c r="AF4" s="64">
        <f t="shared" si="0"/>
        <v>16</v>
      </c>
      <c r="AG4" s="64">
        <f t="shared" si="0"/>
        <v>20</v>
      </c>
    </row>
    <row r="5" spans="3:60" ht="29.25" customHeight="1" x14ac:dyDescent="0.25">
      <c r="P5" s="385"/>
      <c r="Q5" s="20" t="s">
        <v>8</v>
      </c>
      <c r="R5" s="66" t="str">
        <f>IF(AND($P3="Very Low",$Q3="Medium"),"X","")</f>
        <v/>
      </c>
      <c r="S5" s="67" t="str">
        <f>IF(AND($P2="Low",$Q2="Low"),"X","")</f>
        <v/>
      </c>
      <c r="T5" s="67" t="str">
        <f>IF(AND($P3="Medium",$Q3="Medium"),"X","")</f>
        <v/>
      </c>
      <c r="U5" s="67" t="str">
        <f>IF(AND($P3="High",$Q3="Medium"),"X","")</f>
        <v/>
      </c>
      <c r="V5" s="68" t="str">
        <f>IF(AND($P3="Very High",$Q3="Medium"),"X","")</f>
        <v/>
      </c>
      <c r="AB5" s="30">
        <v>3</v>
      </c>
      <c r="AC5" s="65">
        <f t="shared" si="0"/>
        <v>3</v>
      </c>
      <c r="AD5" s="63">
        <f t="shared" si="0"/>
        <v>6</v>
      </c>
      <c r="AE5" s="63">
        <f t="shared" si="0"/>
        <v>9</v>
      </c>
      <c r="AF5" s="64">
        <f t="shared" si="0"/>
        <v>12</v>
      </c>
      <c r="AG5" s="64">
        <f t="shared" si="0"/>
        <v>15</v>
      </c>
    </row>
    <row r="6" spans="3:60" ht="29.25" customHeight="1" x14ac:dyDescent="0.25">
      <c r="P6" s="385"/>
      <c r="Q6" s="20" t="s">
        <v>9</v>
      </c>
      <c r="R6" s="66" t="str">
        <f>IF(AND($P3="Very Low",$Q3="Low"),"X","")</f>
        <v/>
      </c>
      <c r="S6" s="66" t="str">
        <f>IF(AND($P3="Low",$Q3="Low"),"X","")</f>
        <v/>
      </c>
      <c r="T6" s="66" t="str">
        <f>IF(AND($P2="Medium",$Q2="Very Low"),"X","")</f>
        <v/>
      </c>
      <c r="U6" s="66" t="str">
        <f>IF(AND($P3="High",$Q3="Low"),"X","")</f>
        <v/>
      </c>
      <c r="V6" s="67" t="str">
        <f>IF(AND($P3="Very High",$Q3="Low"),"X","")</f>
        <v/>
      </c>
      <c r="AB6" s="30">
        <v>2</v>
      </c>
      <c r="AC6" s="65">
        <f t="shared" si="0"/>
        <v>2</v>
      </c>
      <c r="AD6" s="65">
        <f t="shared" si="0"/>
        <v>4</v>
      </c>
      <c r="AE6" s="63">
        <f t="shared" si="0"/>
        <v>6</v>
      </c>
      <c r="AF6" s="63">
        <f t="shared" si="0"/>
        <v>8</v>
      </c>
      <c r="AG6" s="63">
        <f t="shared" si="0"/>
        <v>10</v>
      </c>
    </row>
    <row r="7" spans="3:60" ht="29.25" customHeight="1" x14ac:dyDescent="0.25">
      <c r="P7" s="385"/>
      <c r="Q7" s="20" t="s">
        <v>10</v>
      </c>
      <c r="R7" s="66" t="str">
        <f>IF(AND($P3="Very Low",$Q3="Very Low"),"X","")</f>
        <v/>
      </c>
      <c r="S7" s="66" t="str">
        <f>IF(AND($P3="Low",$Q3="Very Low"),"X","")</f>
        <v/>
      </c>
      <c r="T7" s="66" t="str">
        <f>IF(AND($P3="Medium",$Q3="Very Low"),"X","")</f>
        <v/>
      </c>
      <c r="U7" s="66" t="str">
        <f>IF(AND($P3="Medium",$Q3="Very Low"),"X","")</f>
        <v/>
      </c>
      <c r="V7" s="66" t="str">
        <f>IF(AND($P3="Very High",$Q3="Very Low"),"X","")</f>
        <v/>
      </c>
      <c r="AB7" s="30">
        <v>1</v>
      </c>
      <c r="AC7" s="65">
        <f>AC$8*$AB7</f>
        <v>1</v>
      </c>
      <c r="AD7" s="65">
        <f>AD$8*$AB7</f>
        <v>2</v>
      </c>
      <c r="AE7" s="65">
        <f>AE$8*$AB7</f>
        <v>3</v>
      </c>
      <c r="AF7" s="65">
        <f t="shared" si="0"/>
        <v>4</v>
      </c>
      <c r="AG7" s="65">
        <f t="shared" si="0"/>
        <v>5</v>
      </c>
    </row>
    <row r="8" spans="3:60" x14ac:dyDescent="0.25">
      <c r="P8" s="29"/>
      <c r="Q8" s="20"/>
      <c r="R8" s="20" t="s">
        <v>10</v>
      </c>
      <c r="S8" s="20" t="s">
        <v>9</v>
      </c>
      <c r="T8" s="20" t="s">
        <v>8</v>
      </c>
      <c r="U8" s="20" t="s">
        <v>7</v>
      </c>
      <c r="V8" s="20" t="s">
        <v>6</v>
      </c>
      <c r="AB8" s="30"/>
      <c r="AC8" s="30">
        <v>1</v>
      </c>
      <c r="AD8" s="30">
        <v>2</v>
      </c>
      <c r="AE8" s="30">
        <v>3</v>
      </c>
      <c r="AF8" s="30">
        <v>4</v>
      </c>
      <c r="AG8" s="30">
        <v>5</v>
      </c>
    </row>
    <row r="9" spans="3:60" s="31" customFormat="1" ht="18" customHeight="1" x14ac:dyDescent="0.3">
      <c r="C9" s="30"/>
      <c r="F9" s="30"/>
      <c r="H9" s="30"/>
      <c r="I9" s="30"/>
      <c r="J9" s="30"/>
      <c r="K9" s="30"/>
      <c r="P9" s="28"/>
      <c r="Q9" s="20"/>
      <c r="R9" s="386" t="s">
        <v>11</v>
      </c>
      <c r="S9" s="386"/>
      <c r="T9" s="386"/>
      <c r="U9" s="386"/>
      <c r="V9" s="386"/>
      <c r="AC9" s="30"/>
      <c r="AD9" s="30"/>
      <c r="AE9" s="30"/>
      <c r="AF9" s="30"/>
      <c r="AG9" s="30"/>
    </row>
    <row r="10" spans="3:60" ht="25.5" customHeight="1" x14ac:dyDescent="0.25">
      <c r="P10" s="28"/>
      <c r="Q10" s="28"/>
      <c r="R10" s="28"/>
      <c r="S10" s="28"/>
      <c r="T10" s="387"/>
      <c r="U10" s="387"/>
      <c r="V10" s="28"/>
      <c r="AV10" s="123" t="s">
        <v>12</v>
      </c>
      <c r="BC10" s="123" t="s">
        <v>13</v>
      </c>
    </row>
    <row r="11" spans="3:60" ht="15" customHeight="1" x14ac:dyDescent="0.25">
      <c r="P11" s="20"/>
      <c r="Q11" s="20"/>
      <c r="R11" s="20"/>
      <c r="S11" s="20"/>
      <c r="T11" s="20"/>
      <c r="U11" s="20"/>
      <c r="V11" s="20"/>
      <c r="AV11" s="194" t="s">
        <v>14</v>
      </c>
      <c r="AW11" s="194" t="s">
        <v>15</v>
      </c>
      <c r="AX11" s="194" t="s">
        <v>16</v>
      </c>
      <c r="AY11" s="194" t="s">
        <v>17</v>
      </c>
      <c r="AZ11" s="194" t="s">
        <v>18</v>
      </c>
      <c r="BA11" s="194" t="s">
        <v>19</v>
      </c>
      <c r="BC11" s="124" t="s">
        <v>20</v>
      </c>
      <c r="BD11" s="124" t="s">
        <v>21</v>
      </c>
      <c r="BE11" s="124" t="s">
        <v>22</v>
      </c>
      <c r="BF11" s="124" t="s">
        <v>23</v>
      </c>
      <c r="BG11" s="124" t="s">
        <v>24</v>
      </c>
      <c r="BH11" s="124" t="s">
        <v>25</v>
      </c>
    </row>
    <row r="12" spans="3:60" x14ac:dyDescent="0.25">
      <c r="AV12" s="195" t="s">
        <v>26</v>
      </c>
      <c r="AW12" s="195" t="s">
        <v>27</v>
      </c>
      <c r="AX12" s="195" t="s">
        <v>28</v>
      </c>
      <c r="AY12" s="195" t="s">
        <v>29</v>
      </c>
      <c r="AZ12" s="195" t="s">
        <v>30</v>
      </c>
      <c r="BA12" s="195" t="s">
        <v>31</v>
      </c>
      <c r="BC12" s="16" t="s">
        <v>32</v>
      </c>
      <c r="BD12" s="16" t="s">
        <v>33</v>
      </c>
      <c r="BE12" s="16" t="s">
        <v>34</v>
      </c>
      <c r="BF12" s="16" t="s">
        <v>35</v>
      </c>
      <c r="BG12" s="16" t="s">
        <v>36</v>
      </c>
      <c r="BH12" s="16" t="s">
        <v>37</v>
      </c>
    </row>
    <row r="13" spans="3:60" x14ac:dyDescent="0.25">
      <c r="AV13" s="195" t="s">
        <v>38</v>
      </c>
      <c r="AW13" s="195" t="s">
        <v>38</v>
      </c>
      <c r="AX13" s="195" t="s">
        <v>39</v>
      </c>
      <c r="AY13" s="195" t="s">
        <v>40</v>
      </c>
      <c r="AZ13" s="195" t="s">
        <v>41</v>
      </c>
      <c r="BA13" s="195" t="s">
        <v>42</v>
      </c>
      <c r="BC13" s="16" t="s">
        <v>43</v>
      </c>
      <c r="BD13" s="16" t="s">
        <v>44</v>
      </c>
      <c r="BE13" s="16" t="s">
        <v>45</v>
      </c>
      <c r="BF13" s="16" t="s">
        <v>46</v>
      </c>
      <c r="BG13" s="16" t="s">
        <v>47</v>
      </c>
      <c r="BH13" s="16"/>
    </row>
    <row r="14" spans="3:60" x14ac:dyDescent="0.25">
      <c r="AV14" s="195" t="s">
        <v>48</v>
      </c>
      <c r="AW14" s="195" t="s">
        <v>48</v>
      </c>
      <c r="AX14" s="195" t="s">
        <v>49</v>
      </c>
      <c r="AY14" s="195" t="s">
        <v>50</v>
      </c>
      <c r="AZ14" s="195" t="s">
        <v>51</v>
      </c>
      <c r="BA14" s="195" t="s">
        <v>52</v>
      </c>
      <c r="BC14" s="16" t="s">
        <v>53</v>
      </c>
      <c r="BD14" s="16" t="s">
        <v>54</v>
      </c>
      <c r="BE14" s="16" t="s">
        <v>55</v>
      </c>
      <c r="BF14" s="16" t="s">
        <v>56</v>
      </c>
      <c r="BG14" s="16" t="s">
        <v>57</v>
      </c>
      <c r="BH14" s="16"/>
    </row>
    <row r="15" spans="3:60" x14ac:dyDescent="0.25">
      <c r="H15" s="11" t="s">
        <v>58</v>
      </c>
      <c r="I15" s="12"/>
      <c r="J15" s="11" t="s">
        <v>59</v>
      </c>
      <c r="K15" s="12"/>
      <c r="L15" s="13" t="s">
        <v>60</v>
      </c>
      <c r="M15" s="13" t="s">
        <v>61</v>
      </c>
      <c r="O15" s="141" t="s">
        <v>62</v>
      </c>
      <c r="P15" s="16" t="s">
        <v>63</v>
      </c>
      <c r="Q15" s="16" t="s">
        <v>58</v>
      </c>
      <c r="R15" s="16" t="s">
        <v>60</v>
      </c>
      <c r="Z15" s="384" t="s">
        <v>64</v>
      </c>
      <c r="AA15" s="384"/>
      <c r="AV15" s="195" t="s">
        <v>65</v>
      </c>
      <c r="AW15" s="195" t="s">
        <v>66</v>
      </c>
      <c r="AX15" s="195" t="s">
        <v>67</v>
      </c>
      <c r="AY15" s="195" t="s">
        <v>68</v>
      </c>
      <c r="AZ15" s="195" t="s">
        <v>69</v>
      </c>
      <c r="BA15" s="195"/>
      <c r="BC15" s="16" t="s">
        <v>70</v>
      </c>
      <c r="BD15" s="16" t="s">
        <v>71</v>
      </c>
      <c r="BE15" s="16" t="s">
        <v>72</v>
      </c>
      <c r="BF15" s="16" t="s">
        <v>73</v>
      </c>
      <c r="BG15" s="16" t="s">
        <v>74</v>
      </c>
      <c r="BH15" s="16"/>
    </row>
    <row r="16" spans="3:60" x14ac:dyDescent="0.25">
      <c r="H16" s="14" t="s">
        <v>75</v>
      </c>
      <c r="I16" s="15">
        <v>1</v>
      </c>
      <c r="J16" s="14" t="s">
        <v>75</v>
      </c>
      <c r="K16" s="15">
        <v>1</v>
      </c>
      <c r="L16" s="14" t="s">
        <v>76</v>
      </c>
      <c r="M16" s="14" t="s">
        <v>77</v>
      </c>
      <c r="O16" s="16" t="str">
        <f>P16&amp;" " &amp;Q16</f>
        <v>Very Low Very Low</v>
      </c>
      <c r="P16" s="16" t="s">
        <v>75</v>
      </c>
      <c r="Q16" s="16" t="s">
        <v>75</v>
      </c>
      <c r="R16" s="17" t="s">
        <v>78</v>
      </c>
      <c r="S16" s="53"/>
      <c r="U16" s="16" t="s">
        <v>76</v>
      </c>
      <c r="V16" s="16" t="s">
        <v>75</v>
      </c>
      <c r="W16" s="18" t="s">
        <v>79</v>
      </c>
      <c r="Z16" s="16" t="s">
        <v>80</v>
      </c>
      <c r="AA16" s="16" t="s">
        <v>81</v>
      </c>
      <c r="AV16" s="195" t="s">
        <v>82</v>
      </c>
      <c r="AW16" s="195" t="s">
        <v>65</v>
      </c>
      <c r="AX16" s="195" t="s">
        <v>83</v>
      </c>
      <c r="AY16" s="195" t="s">
        <v>84</v>
      </c>
      <c r="AZ16" s="195" t="s">
        <v>85</v>
      </c>
      <c r="BA16" s="195"/>
      <c r="BC16" s="16" t="s">
        <v>86</v>
      </c>
      <c r="BD16" s="16"/>
      <c r="BE16" s="16" t="s">
        <v>87</v>
      </c>
      <c r="BF16" s="16" t="s">
        <v>88</v>
      </c>
      <c r="BG16" s="16" t="s">
        <v>89</v>
      </c>
      <c r="BH16" s="16"/>
    </row>
    <row r="17" spans="8:60" x14ac:dyDescent="0.25">
      <c r="H17" s="14" t="s">
        <v>78</v>
      </c>
      <c r="I17" s="15">
        <v>2</v>
      </c>
      <c r="J17" s="14" t="s">
        <v>78</v>
      </c>
      <c r="K17" s="15">
        <v>2</v>
      </c>
      <c r="L17" s="14" t="s">
        <v>79</v>
      </c>
      <c r="M17" s="14" t="s">
        <v>90</v>
      </c>
      <c r="O17" s="16" t="str">
        <f t="shared" ref="O17:O40" si="1">P17&amp;" " &amp;Q17</f>
        <v>Very Low Low</v>
      </c>
      <c r="P17" s="16" t="s">
        <v>75</v>
      </c>
      <c r="Q17" s="16" t="s">
        <v>78</v>
      </c>
      <c r="R17" s="17" t="s">
        <v>78</v>
      </c>
      <c r="S17" s="54"/>
      <c r="U17" s="16" t="s">
        <v>76</v>
      </c>
      <c r="V17" s="16" t="s">
        <v>78</v>
      </c>
      <c r="W17" s="19" t="s">
        <v>76</v>
      </c>
      <c r="Z17" s="16" t="s">
        <v>91</v>
      </c>
      <c r="AA17" s="16" t="s">
        <v>92</v>
      </c>
      <c r="AV17" s="195" t="s">
        <v>93</v>
      </c>
      <c r="AW17" s="195" t="s">
        <v>93</v>
      </c>
      <c r="AX17" s="195" t="s">
        <v>94</v>
      </c>
      <c r="AY17" s="195" t="s">
        <v>95</v>
      </c>
      <c r="AZ17" s="195" t="s">
        <v>96</v>
      </c>
      <c r="BA17" s="195"/>
      <c r="BC17" s="16" t="s">
        <v>97</v>
      </c>
      <c r="BD17" s="16"/>
      <c r="BE17" s="16" t="s">
        <v>98</v>
      </c>
      <c r="BF17" s="16" t="s">
        <v>99</v>
      </c>
      <c r="BG17" s="16" t="s">
        <v>100</v>
      </c>
      <c r="BH17" s="16"/>
    </row>
    <row r="18" spans="8:60" x14ac:dyDescent="0.25">
      <c r="H18" s="14" t="s">
        <v>79</v>
      </c>
      <c r="I18" s="15">
        <v>3</v>
      </c>
      <c r="J18" s="14" t="s">
        <v>79</v>
      </c>
      <c r="K18" s="15">
        <v>3</v>
      </c>
      <c r="L18" s="14" t="s">
        <v>78</v>
      </c>
      <c r="M18" s="14" t="s">
        <v>101</v>
      </c>
      <c r="O18" s="16" t="str">
        <f t="shared" si="1"/>
        <v>Very Low Medium</v>
      </c>
      <c r="P18" s="16" t="s">
        <v>75</v>
      </c>
      <c r="Q18" s="16" t="s">
        <v>79</v>
      </c>
      <c r="R18" s="17" t="s">
        <v>78</v>
      </c>
      <c r="S18" s="54"/>
      <c r="U18" s="16" t="s">
        <v>76</v>
      </c>
      <c r="V18" s="16" t="s">
        <v>79</v>
      </c>
      <c r="W18" s="19" t="s">
        <v>76</v>
      </c>
      <c r="Z18" s="16" t="s">
        <v>102</v>
      </c>
      <c r="AA18" s="16" t="s">
        <v>103</v>
      </c>
      <c r="AV18" s="195" t="s">
        <v>104</v>
      </c>
      <c r="AW18" s="195" t="s">
        <v>105</v>
      </c>
      <c r="AX18" s="195" t="s">
        <v>38</v>
      </c>
      <c r="AY18" s="195" t="s">
        <v>106</v>
      </c>
      <c r="AZ18" s="195" t="s">
        <v>107</v>
      </c>
      <c r="BA18" s="195"/>
      <c r="BC18" s="16" t="s">
        <v>108</v>
      </c>
      <c r="BD18" s="16"/>
      <c r="BE18" s="16" t="s">
        <v>109</v>
      </c>
      <c r="BF18" s="16"/>
      <c r="BG18" s="16" t="s">
        <v>110</v>
      </c>
      <c r="BH18" s="16"/>
    </row>
    <row r="19" spans="8:60" x14ac:dyDescent="0.25">
      <c r="H19" s="14" t="s">
        <v>76</v>
      </c>
      <c r="I19" s="15">
        <v>4</v>
      </c>
      <c r="J19" s="14" t="s">
        <v>76</v>
      </c>
      <c r="K19" s="15">
        <v>4</v>
      </c>
      <c r="L19" s="14"/>
      <c r="M19" s="14"/>
      <c r="O19" s="16" t="str">
        <f t="shared" si="1"/>
        <v>Very Low High</v>
      </c>
      <c r="P19" s="16" t="s">
        <v>75</v>
      </c>
      <c r="Q19" s="16" t="s">
        <v>76</v>
      </c>
      <c r="R19" s="17" t="s">
        <v>78</v>
      </c>
      <c r="S19" s="54"/>
      <c r="U19" s="16" t="s">
        <v>76</v>
      </c>
      <c r="V19" s="16" t="s">
        <v>76</v>
      </c>
      <c r="W19" s="19" t="s">
        <v>76</v>
      </c>
      <c r="Z19" s="16" t="s">
        <v>111</v>
      </c>
      <c r="AA19" s="16" t="s">
        <v>112</v>
      </c>
      <c r="AV19" s="195" t="s">
        <v>113</v>
      </c>
      <c r="AW19" s="195" t="s">
        <v>114</v>
      </c>
      <c r="AX19" s="195" t="s">
        <v>48</v>
      </c>
      <c r="AY19" s="195"/>
      <c r="AZ19" s="195" t="s">
        <v>115</v>
      </c>
      <c r="BA19" s="195"/>
      <c r="BC19" s="16" t="s">
        <v>116</v>
      </c>
      <c r="BD19" s="16"/>
      <c r="BE19" s="16" t="s">
        <v>117</v>
      </c>
      <c r="BF19" s="16"/>
      <c r="BG19" s="16" t="s">
        <v>118</v>
      </c>
      <c r="BH19" s="16"/>
    </row>
    <row r="20" spans="8:60" x14ac:dyDescent="0.25">
      <c r="H20" s="14" t="s">
        <v>119</v>
      </c>
      <c r="I20" s="15">
        <v>5</v>
      </c>
      <c r="J20" s="14" t="s">
        <v>119</v>
      </c>
      <c r="K20" s="15">
        <v>5</v>
      </c>
      <c r="L20" s="14"/>
      <c r="M20" s="14"/>
      <c r="O20" s="16" t="str">
        <f t="shared" si="1"/>
        <v>Very Low Very High</v>
      </c>
      <c r="P20" s="16" t="s">
        <v>75</v>
      </c>
      <c r="Q20" s="16" t="s">
        <v>119</v>
      </c>
      <c r="R20" s="17" t="s">
        <v>78</v>
      </c>
      <c r="S20" s="54"/>
      <c r="U20" s="16" t="s">
        <v>76</v>
      </c>
      <c r="V20" s="16" t="s">
        <v>119</v>
      </c>
      <c r="W20" s="19" t="s">
        <v>76</v>
      </c>
      <c r="Z20" s="16" t="s">
        <v>120</v>
      </c>
      <c r="AA20" s="16" t="s">
        <v>121</v>
      </c>
      <c r="AV20" s="195" t="s">
        <v>105</v>
      </c>
      <c r="AW20" s="195" t="s">
        <v>122</v>
      </c>
      <c r="AX20" s="195" t="s">
        <v>50</v>
      </c>
      <c r="AY20" s="195"/>
      <c r="AZ20" s="195" t="s">
        <v>123</v>
      </c>
      <c r="BA20" s="195"/>
      <c r="BC20" s="16" t="s">
        <v>124</v>
      </c>
      <c r="BD20" s="16"/>
      <c r="BE20" s="16" t="s">
        <v>125</v>
      </c>
      <c r="BF20" s="16"/>
      <c r="BG20" s="16"/>
      <c r="BH20" s="16"/>
    </row>
    <row r="21" spans="8:60" x14ac:dyDescent="0.25">
      <c r="O21" s="16" t="str">
        <f t="shared" si="1"/>
        <v>Low Very Low</v>
      </c>
      <c r="P21" s="16" t="s">
        <v>78</v>
      </c>
      <c r="Q21" s="16" t="s">
        <v>75</v>
      </c>
      <c r="R21" s="17" t="s">
        <v>78</v>
      </c>
      <c r="S21" s="54"/>
      <c r="U21" s="16" t="s">
        <v>78</v>
      </c>
      <c r="V21" s="16" t="s">
        <v>75</v>
      </c>
      <c r="W21" s="17" t="s">
        <v>78</v>
      </c>
      <c r="AV21" s="195" t="s">
        <v>126</v>
      </c>
      <c r="AW21" s="195" t="s">
        <v>127</v>
      </c>
      <c r="AX21" s="195" t="s">
        <v>65</v>
      </c>
      <c r="AY21" s="195"/>
      <c r="AZ21" s="195" t="s">
        <v>128</v>
      </c>
      <c r="BA21" s="195"/>
      <c r="BC21" s="10" t="s">
        <v>129</v>
      </c>
      <c r="BE21" s="10" t="s">
        <v>130</v>
      </c>
    </row>
    <row r="22" spans="8:60" x14ac:dyDescent="0.25">
      <c r="O22" s="16" t="str">
        <f t="shared" si="1"/>
        <v>Low Low</v>
      </c>
      <c r="P22" s="16" t="s">
        <v>78</v>
      </c>
      <c r="Q22" s="16" t="s">
        <v>78</v>
      </c>
      <c r="R22" s="17" t="s">
        <v>78</v>
      </c>
      <c r="S22" s="54"/>
      <c r="U22" s="16" t="s">
        <v>78</v>
      </c>
      <c r="V22" s="16" t="s">
        <v>78</v>
      </c>
      <c r="W22" s="17" t="s">
        <v>78</v>
      </c>
      <c r="AV22" s="195" t="s">
        <v>131</v>
      </c>
      <c r="AW22" s="195" t="s">
        <v>132</v>
      </c>
      <c r="AX22" s="195" t="s">
        <v>133</v>
      </c>
      <c r="AY22" s="195"/>
      <c r="AZ22" s="195" t="s">
        <v>134</v>
      </c>
      <c r="BA22" s="195"/>
      <c r="BC22" s="10" t="s">
        <v>26</v>
      </c>
    </row>
    <row r="23" spans="8:60" x14ac:dyDescent="0.25">
      <c r="O23" s="16" t="str">
        <f t="shared" si="1"/>
        <v>Low Medium</v>
      </c>
      <c r="P23" s="16" t="s">
        <v>78</v>
      </c>
      <c r="Q23" s="16" t="s">
        <v>79</v>
      </c>
      <c r="R23" s="17" t="s">
        <v>78</v>
      </c>
      <c r="S23" s="54"/>
      <c r="U23" s="16" t="s">
        <v>78</v>
      </c>
      <c r="V23" s="16" t="s">
        <v>79</v>
      </c>
      <c r="W23" s="17" t="s">
        <v>78</v>
      </c>
      <c r="Z23" s="33" t="s">
        <v>135</v>
      </c>
      <c r="AV23" s="195" t="s">
        <v>136</v>
      </c>
      <c r="AW23" s="195" t="s">
        <v>137</v>
      </c>
      <c r="AX23" s="195" t="s">
        <v>93</v>
      </c>
      <c r="AY23" s="195"/>
      <c r="AZ23" s="195" t="s">
        <v>138</v>
      </c>
      <c r="BA23" s="195"/>
      <c r="BC23" s="10" t="s">
        <v>139</v>
      </c>
    </row>
    <row r="24" spans="8:60" x14ac:dyDescent="0.25">
      <c r="O24" s="16" t="str">
        <f t="shared" si="1"/>
        <v>Low High</v>
      </c>
      <c r="P24" s="16" t="s">
        <v>78</v>
      </c>
      <c r="Q24" s="16" t="s">
        <v>76</v>
      </c>
      <c r="R24" s="17" t="s">
        <v>78</v>
      </c>
      <c r="S24" s="54"/>
      <c r="U24" s="16" t="s">
        <v>78</v>
      </c>
      <c r="V24" s="16" t="s">
        <v>76</v>
      </c>
      <c r="W24" s="18" t="s">
        <v>79</v>
      </c>
      <c r="Z24" s="16" t="s">
        <v>140</v>
      </c>
      <c r="AV24" s="195" t="s">
        <v>141</v>
      </c>
      <c r="AW24" s="195" t="s">
        <v>142</v>
      </c>
      <c r="AX24" s="195" t="s">
        <v>143</v>
      </c>
      <c r="AY24" s="195"/>
      <c r="AZ24" s="195" t="s">
        <v>144</v>
      </c>
      <c r="BA24" s="195"/>
    </row>
    <row r="25" spans="8:60" x14ac:dyDescent="0.25">
      <c r="O25" s="16" t="str">
        <f t="shared" si="1"/>
        <v>Low Very High</v>
      </c>
      <c r="P25" s="16" t="s">
        <v>78</v>
      </c>
      <c r="Q25" s="16" t="s">
        <v>119</v>
      </c>
      <c r="R25" s="18" t="s">
        <v>79</v>
      </c>
      <c r="S25" s="54"/>
      <c r="U25" s="16" t="s">
        <v>78</v>
      </c>
      <c r="V25" s="16" t="s">
        <v>119</v>
      </c>
      <c r="W25" s="18" t="s">
        <v>79</v>
      </c>
      <c r="Z25" s="16" t="s">
        <v>145</v>
      </c>
      <c r="AV25" s="195" t="s">
        <v>146</v>
      </c>
      <c r="AW25" s="195"/>
      <c r="AX25" s="195" t="s">
        <v>147</v>
      </c>
      <c r="AY25" s="195"/>
      <c r="AZ25" s="195" t="s">
        <v>148</v>
      </c>
      <c r="BA25" s="195"/>
    </row>
    <row r="26" spans="8:60" x14ac:dyDescent="0.25">
      <c r="O26" s="16" t="str">
        <f t="shared" si="1"/>
        <v>Medium Very Low</v>
      </c>
      <c r="P26" s="16" t="s">
        <v>79</v>
      </c>
      <c r="Q26" s="16" t="s">
        <v>75</v>
      </c>
      <c r="R26" s="17" t="s">
        <v>78</v>
      </c>
      <c r="S26" s="54"/>
      <c r="U26" s="16" t="s">
        <v>79</v>
      </c>
      <c r="V26" s="16" t="s">
        <v>75</v>
      </c>
      <c r="W26" s="17" t="s">
        <v>78</v>
      </c>
      <c r="AV26" s="195" t="s">
        <v>127</v>
      </c>
      <c r="AW26" s="195"/>
      <c r="AX26" s="195" t="s">
        <v>127</v>
      </c>
      <c r="AY26" s="195"/>
      <c r="AZ26" s="195" t="s">
        <v>149</v>
      </c>
      <c r="BA26" s="195"/>
    </row>
    <row r="27" spans="8:60" x14ac:dyDescent="0.25">
      <c r="O27" s="16" t="str">
        <f t="shared" si="1"/>
        <v>Medium Low</v>
      </c>
      <c r="P27" s="16" t="s">
        <v>79</v>
      </c>
      <c r="Q27" s="16" t="s">
        <v>78</v>
      </c>
      <c r="R27" s="18" t="s">
        <v>79</v>
      </c>
      <c r="S27" s="54"/>
      <c r="U27" s="16" t="s">
        <v>79</v>
      </c>
      <c r="V27" s="16" t="s">
        <v>78</v>
      </c>
      <c r="W27" s="18" t="s">
        <v>79</v>
      </c>
      <c r="Z27" s="36" t="s">
        <v>150</v>
      </c>
      <c r="AV27" s="195" t="s">
        <v>137</v>
      </c>
      <c r="AW27" s="195"/>
      <c r="AX27" s="195" t="s">
        <v>132</v>
      </c>
      <c r="AY27" s="195"/>
      <c r="AZ27" s="195" t="s">
        <v>151</v>
      </c>
      <c r="BA27" s="195"/>
    </row>
    <row r="28" spans="8:60" x14ac:dyDescent="0.25">
      <c r="O28" s="16" t="str">
        <f t="shared" si="1"/>
        <v>Medium Medium</v>
      </c>
      <c r="P28" s="16" t="s">
        <v>79</v>
      </c>
      <c r="Q28" s="16" t="s">
        <v>79</v>
      </c>
      <c r="R28" s="18" t="s">
        <v>79</v>
      </c>
      <c r="S28" s="54"/>
      <c r="U28" s="16" t="s">
        <v>79</v>
      </c>
      <c r="V28" s="16" t="s">
        <v>79</v>
      </c>
      <c r="W28" s="18" t="s">
        <v>79</v>
      </c>
      <c r="Z28" s="16" t="s">
        <v>152</v>
      </c>
      <c r="AV28" s="195" t="s">
        <v>153</v>
      </c>
      <c r="AW28" s="195"/>
      <c r="AX28" s="195" t="s">
        <v>154</v>
      </c>
      <c r="AY28" s="195"/>
      <c r="AZ28" s="195" t="s">
        <v>155</v>
      </c>
      <c r="BA28" s="195"/>
    </row>
    <row r="29" spans="8:60" x14ac:dyDescent="0.25">
      <c r="O29" s="16" t="str">
        <f t="shared" si="1"/>
        <v>Medium High</v>
      </c>
      <c r="P29" s="16" t="s">
        <v>79</v>
      </c>
      <c r="Q29" s="16" t="s">
        <v>76</v>
      </c>
      <c r="R29" s="18" t="s">
        <v>79</v>
      </c>
      <c r="S29" s="54"/>
      <c r="U29" s="16" t="s">
        <v>79</v>
      </c>
      <c r="V29" s="16" t="s">
        <v>76</v>
      </c>
      <c r="W29" s="19" t="s">
        <v>76</v>
      </c>
      <c r="Z29" s="16" t="s">
        <v>156</v>
      </c>
      <c r="AV29" s="195"/>
      <c r="AW29" s="195"/>
      <c r="AX29" s="195" t="s">
        <v>137</v>
      </c>
      <c r="AY29" s="195"/>
      <c r="AZ29" s="195" t="s">
        <v>157</v>
      </c>
      <c r="BA29" s="195"/>
    </row>
    <row r="30" spans="8:60" x14ac:dyDescent="0.25">
      <c r="O30" s="16" t="str">
        <f t="shared" si="1"/>
        <v>Medium Very High</v>
      </c>
      <c r="P30" s="16" t="s">
        <v>79</v>
      </c>
      <c r="Q30" s="16" t="s">
        <v>119</v>
      </c>
      <c r="R30" s="19" t="s">
        <v>76</v>
      </c>
      <c r="S30" s="54"/>
      <c r="U30" s="16" t="s">
        <v>79</v>
      </c>
      <c r="V30" s="16" t="s">
        <v>119</v>
      </c>
      <c r="W30" s="19" t="s">
        <v>76</v>
      </c>
      <c r="Z30" s="16"/>
      <c r="AV30" s="195"/>
      <c r="AW30" s="195"/>
      <c r="AX30" s="195" t="s">
        <v>158</v>
      </c>
      <c r="AY30" s="195"/>
      <c r="AZ30" s="195" t="s">
        <v>159</v>
      </c>
      <c r="BA30" s="195"/>
    </row>
    <row r="31" spans="8:60" x14ac:dyDescent="0.25">
      <c r="O31" s="16" t="str">
        <f t="shared" si="1"/>
        <v>High Very Low</v>
      </c>
      <c r="P31" s="16" t="s">
        <v>76</v>
      </c>
      <c r="Q31" s="16" t="s">
        <v>75</v>
      </c>
      <c r="R31" s="17" t="s">
        <v>78</v>
      </c>
      <c r="S31" s="54"/>
      <c r="Z31" s="16"/>
      <c r="AV31" s="195"/>
      <c r="AW31" s="195"/>
      <c r="AX31" s="195" t="s">
        <v>160</v>
      </c>
      <c r="AY31" s="195"/>
      <c r="AZ31" s="195" t="s">
        <v>161</v>
      </c>
      <c r="BA31" s="195"/>
      <c r="BC31" s="125" t="s">
        <v>162</v>
      </c>
    </row>
    <row r="32" spans="8:60" x14ac:dyDescent="0.25">
      <c r="O32" s="16" t="str">
        <f t="shared" si="1"/>
        <v>High Low</v>
      </c>
      <c r="P32" s="16" t="s">
        <v>76</v>
      </c>
      <c r="Q32" s="16" t="s">
        <v>78</v>
      </c>
      <c r="R32" s="18" t="s">
        <v>79</v>
      </c>
      <c r="S32" s="54"/>
      <c r="AV32" s="195"/>
      <c r="AW32" s="195"/>
      <c r="AX32" s="195"/>
      <c r="AY32" s="195"/>
      <c r="AZ32" s="195" t="s">
        <v>163</v>
      </c>
      <c r="BA32" s="195"/>
      <c r="BC32" s="126" t="s">
        <v>20</v>
      </c>
    </row>
    <row r="33" spans="15:55" x14ac:dyDescent="0.25">
      <c r="O33" s="16" t="str">
        <f t="shared" si="1"/>
        <v>High Medium</v>
      </c>
      <c r="P33" s="16" t="s">
        <v>76</v>
      </c>
      <c r="Q33" s="16" t="s">
        <v>79</v>
      </c>
      <c r="R33" s="19" t="s">
        <v>76</v>
      </c>
      <c r="S33" s="54"/>
      <c r="AV33" s="195"/>
      <c r="AW33" s="195"/>
      <c r="AX33" s="195"/>
      <c r="AY33" s="195"/>
      <c r="AZ33" s="195" t="s">
        <v>164</v>
      </c>
      <c r="BA33" s="195"/>
      <c r="BC33" s="126" t="s">
        <v>21</v>
      </c>
    </row>
    <row r="34" spans="15:55" x14ac:dyDescent="0.25">
      <c r="O34" s="16" t="str">
        <f t="shared" si="1"/>
        <v>High High</v>
      </c>
      <c r="P34" s="16" t="s">
        <v>76</v>
      </c>
      <c r="Q34" s="16" t="s">
        <v>76</v>
      </c>
      <c r="R34" s="19" t="s">
        <v>76</v>
      </c>
      <c r="S34" s="54"/>
      <c r="Z34" s="43" t="s">
        <v>165</v>
      </c>
      <c r="AV34" s="195"/>
      <c r="AW34" s="195"/>
      <c r="AX34" s="195"/>
      <c r="AY34" s="195"/>
      <c r="AZ34" s="195" t="s">
        <v>166</v>
      </c>
      <c r="BA34" s="195"/>
      <c r="BC34" s="126" t="s">
        <v>22</v>
      </c>
    </row>
    <row r="35" spans="15:55" x14ac:dyDescent="0.25">
      <c r="O35" s="16" t="str">
        <f t="shared" si="1"/>
        <v>High Very High</v>
      </c>
      <c r="P35" s="16" t="s">
        <v>76</v>
      </c>
      <c r="Q35" s="16" t="s">
        <v>119</v>
      </c>
      <c r="R35" s="19" t="s">
        <v>76</v>
      </c>
      <c r="S35" s="54"/>
      <c r="Z35" s="14" t="s">
        <v>167</v>
      </c>
      <c r="AV35" s="195"/>
      <c r="AW35" s="195"/>
      <c r="AX35" s="195"/>
      <c r="AY35" s="195"/>
      <c r="AZ35" s="195" t="s">
        <v>168</v>
      </c>
      <c r="BA35" s="195"/>
      <c r="BC35" s="126" t="s">
        <v>23</v>
      </c>
    </row>
    <row r="36" spans="15:55" x14ac:dyDescent="0.25">
      <c r="O36" s="16" t="str">
        <f t="shared" si="1"/>
        <v>Very High Very Low</v>
      </c>
      <c r="P36" s="16" t="s">
        <v>119</v>
      </c>
      <c r="Q36" s="16" t="s">
        <v>75</v>
      </c>
      <c r="R36" s="18" t="s">
        <v>79</v>
      </c>
      <c r="S36" s="54"/>
      <c r="Z36" s="14" t="s">
        <v>169</v>
      </c>
      <c r="AV36" s="195"/>
      <c r="AW36" s="195"/>
      <c r="AX36" s="195"/>
      <c r="AY36" s="195"/>
      <c r="AZ36" s="195" t="s">
        <v>170</v>
      </c>
      <c r="BA36" s="195"/>
      <c r="BC36" s="126" t="s">
        <v>24</v>
      </c>
    </row>
    <row r="37" spans="15:55" x14ac:dyDescent="0.25">
      <c r="O37" s="16" t="str">
        <f t="shared" si="1"/>
        <v>Very High Low</v>
      </c>
      <c r="P37" s="16" t="s">
        <v>119</v>
      </c>
      <c r="Q37" s="16" t="s">
        <v>78</v>
      </c>
      <c r="R37" s="19" t="s">
        <v>76</v>
      </c>
      <c r="S37" s="54"/>
      <c r="Z37" s="14"/>
      <c r="AV37" s="195"/>
      <c r="AW37" s="195"/>
      <c r="AX37" s="195"/>
      <c r="AY37" s="195"/>
      <c r="AZ37" s="195" t="s">
        <v>171</v>
      </c>
      <c r="BA37" s="195"/>
      <c r="BC37" s="126" t="s">
        <v>25</v>
      </c>
    </row>
    <row r="38" spans="15:55" x14ac:dyDescent="0.25">
      <c r="O38" s="16" t="str">
        <f t="shared" si="1"/>
        <v>Very High Medium</v>
      </c>
      <c r="P38" s="16" t="s">
        <v>119</v>
      </c>
      <c r="Q38" s="16" t="s">
        <v>79</v>
      </c>
      <c r="R38" s="19" t="s">
        <v>76</v>
      </c>
      <c r="S38" s="54"/>
      <c r="AV38" s="195"/>
      <c r="AW38" s="195"/>
      <c r="AX38" s="195"/>
      <c r="AY38" s="195"/>
      <c r="AZ38" s="195" t="s">
        <v>172</v>
      </c>
      <c r="BA38" s="195"/>
    </row>
    <row r="39" spans="15:55" x14ac:dyDescent="0.25">
      <c r="O39" s="16" t="str">
        <f t="shared" si="1"/>
        <v>Very High High</v>
      </c>
      <c r="P39" s="16" t="s">
        <v>119</v>
      </c>
      <c r="Q39" s="16" t="s">
        <v>76</v>
      </c>
      <c r="R39" s="19" t="s">
        <v>76</v>
      </c>
      <c r="S39" s="54"/>
      <c r="AV39" s="195"/>
      <c r="AW39" s="195"/>
      <c r="AX39" s="195"/>
      <c r="AY39" s="195"/>
      <c r="AZ39" s="195" t="s">
        <v>173</v>
      </c>
      <c r="BA39" s="195"/>
    </row>
    <row r="40" spans="15:55" x14ac:dyDescent="0.25">
      <c r="O40" s="16" t="str">
        <f t="shared" si="1"/>
        <v>Very High Very High</v>
      </c>
      <c r="P40" s="16" t="s">
        <v>119</v>
      </c>
      <c r="Q40" s="16" t="s">
        <v>119</v>
      </c>
      <c r="R40" s="19" t="s">
        <v>76</v>
      </c>
      <c r="S40" s="54"/>
      <c r="AV40" s="195"/>
      <c r="AW40" s="195"/>
      <c r="AX40" s="195"/>
      <c r="AY40" s="195"/>
      <c r="AZ40" s="195" t="s">
        <v>174</v>
      </c>
      <c r="BA40" s="195"/>
    </row>
    <row r="41" spans="15:55" x14ac:dyDescent="0.25">
      <c r="S41" s="54"/>
      <c r="AV41" s="195"/>
      <c r="AW41" s="195"/>
      <c r="AX41" s="195"/>
      <c r="AY41" s="195"/>
      <c r="AZ41" s="195" t="s">
        <v>175</v>
      </c>
      <c r="BA41" s="195"/>
      <c r="BC41" s="151" t="s">
        <v>176</v>
      </c>
    </row>
    <row r="42" spans="15:55" x14ac:dyDescent="0.25">
      <c r="AV42" s="195"/>
      <c r="AW42" s="195"/>
      <c r="AX42" s="195"/>
      <c r="AY42" s="195"/>
      <c r="AZ42" s="195" t="s">
        <v>177</v>
      </c>
      <c r="BA42" s="195"/>
      <c r="BC42" s="126" t="s">
        <v>14</v>
      </c>
    </row>
    <row r="43" spans="15:55" x14ac:dyDescent="0.25">
      <c r="AV43" s="195"/>
      <c r="AW43" s="195"/>
      <c r="AX43" s="195"/>
      <c r="AY43" s="195"/>
      <c r="AZ43" s="195" t="s">
        <v>178</v>
      </c>
      <c r="BA43" s="195"/>
      <c r="BC43" s="126" t="s">
        <v>15</v>
      </c>
    </row>
    <row r="44" spans="15:55" x14ac:dyDescent="0.25">
      <c r="AV44" s="195"/>
      <c r="AW44" s="195"/>
      <c r="AX44" s="195"/>
      <c r="AY44" s="195"/>
      <c r="AZ44" s="195" t="s">
        <v>179</v>
      </c>
      <c r="BA44" s="195"/>
      <c r="BC44" s="126" t="s">
        <v>16</v>
      </c>
    </row>
    <row r="45" spans="15:55" x14ac:dyDescent="0.25">
      <c r="O45" s="26" t="s">
        <v>180</v>
      </c>
      <c r="P45" s="388" t="s">
        <v>181</v>
      </c>
      <c r="Q45" s="388"/>
      <c r="R45" s="34" t="s">
        <v>182</v>
      </c>
      <c r="AV45" s="195"/>
      <c r="AW45" s="195"/>
      <c r="AX45" s="195"/>
      <c r="AY45" s="195"/>
      <c r="AZ45" s="195" t="s">
        <v>183</v>
      </c>
      <c r="BA45" s="195"/>
      <c r="BC45" s="126" t="s">
        <v>17</v>
      </c>
    </row>
    <row r="46" spans="15:55" x14ac:dyDescent="0.25">
      <c r="O46" s="16" t="s">
        <v>14</v>
      </c>
      <c r="P46" s="16" t="s">
        <v>184</v>
      </c>
      <c r="Q46" s="16"/>
      <c r="R46" s="35" t="s">
        <v>156</v>
      </c>
      <c r="AV46" s="195"/>
      <c r="AW46" s="195"/>
      <c r="AX46" s="195"/>
      <c r="AY46" s="195"/>
      <c r="AZ46" s="195" t="s">
        <v>185</v>
      </c>
      <c r="BA46" s="195"/>
      <c r="BC46" s="126" t="s">
        <v>18</v>
      </c>
    </row>
    <row r="47" spans="15:55" x14ac:dyDescent="0.25">
      <c r="O47" s="16" t="s">
        <v>15</v>
      </c>
      <c r="P47" s="16" t="s">
        <v>186</v>
      </c>
      <c r="Q47" s="16"/>
      <c r="R47" s="35" t="s">
        <v>152</v>
      </c>
      <c r="AV47" s="195"/>
      <c r="AW47" s="195"/>
      <c r="AX47" s="195"/>
      <c r="AY47" s="195"/>
      <c r="AZ47" s="195" t="s">
        <v>187</v>
      </c>
      <c r="BA47" s="195"/>
      <c r="BC47" s="126" t="s">
        <v>19</v>
      </c>
    </row>
    <row r="48" spans="15:55" x14ac:dyDescent="0.25">
      <c r="O48" s="16" t="s">
        <v>16</v>
      </c>
      <c r="P48" s="16" t="s">
        <v>188</v>
      </c>
      <c r="Q48" s="16"/>
      <c r="AV48" s="195"/>
      <c r="AW48" s="195"/>
      <c r="AX48" s="195"/>
      <c r="AY48" s="195"/>
      <c r="AZ48" s="195" t="s">
        <v>189</v>
      </c>
      <c r="BA48" s="195"/>
    </row>
    <row r="49" spans="15:53" x14ac:dyDescent="0.25">
      <c r="O49" s="16" t="s">
        <v>17</v>
      </c>
      <c r="P49" s="16" t="s">
        <v>190</v>
      </c>
      <c r="Q49" s="16"/>
      <c r="AV49" s="195"/>
      <c r="AW49" s="195"/>
      <c r="AX49" s="195"/>
      <c r="AY49" s="195"/>
      <c r="AZ49" s="195" t="s">
        <v>191</v>
      </c>
      <c r="BA49" s="195"/>
    </row>
    <row r="50" spans="15:53" x14ac:dyDescent="0.25">
      <c r="O50" s="16" t="s">
        <v>18</v>
      </c>
      <c r="P50" s="16" t="s">
        <v>192</v>
      </c>
      <c r="Q50" s="16"/>
      <c r="AV50" s="195"/>
      <c r="AW50" s="195"/>
      <c r="AX50" s="195"/>
      <c r="AY50" s="195"/>
      <c r="AZ50" s="195" t="s">
        <v>193</v>
      </c>
      <c r="BA50" s="195"/>
    </row>
    <row r="51" spans="15:53" x14ac:dyDescent="0.25">
      <c r="O51" s="16" t="s">
        <v>19</v>
      </c>
      <c r="P51" s="16" t="s">
        <v>194</v>
      </c>
      <c r="Q51" s="16"/>
      <c r="AV51" s="195"/>
      <c r="AW51" s="195"/>
      <c r="AX51" s="195"/>
      <c r="AY51" s="195"/>
      <c r="AZ51" s="195" t="s">
        <v>195</v>
      </c>
      <c r="BA51" s="195"/>
    </row>
    <row r="52" spans="15:53" x14ac:dyDescent="0.25">
      <c r="AV52" s="195"/>
      <c r="AW52" s="195"/>
      <c r="AX52" s="195"/>
      <c r="AY52" s="195"/>
      <c r="AZ52" s="195" t="s">
        <v>196</v>
      </c>
      <c r="BA52" s="195"/>
    </row>
    <row r="53" spans="15:53" x14ac:dyDescent="0.25">
      <c r="AV53" s="195"/>
      <c r="AW53" s="195"/>
      <c r="AX53" s="195"/>
      <c r="AY53" s="195"/>
      <c r="AZ53" s="195" t="s">
        <v>197</v>
      </c>
      <c r="BA53" s="195"/>
    </row>
    <row r="54" spans="15:53" x14ac:dyDescent="0.25">
      <c r="AV54" s="195"/>
      <c r="AW54" s="195"/>
      <c r="AX54" s="195"/>
      <c r="AY54" s="195"/>
      <c r="AZ54" s="195" t="s">
        <v>198</v>
      </c>
      <c r="BA54" s="195"/>
    </row>
    <row r="55" spans="15:53" x14ac:dyDescent="0.25">
      <c r="AV55" s="195"/>
      <c r="AW55" s="195"/>
      <c r="AX55" s="195"/>
      <c r="AY55" s="195"/>
      <c r="AZ55" s="195" t="s">
        <v>199</v>
      </c>
      <c r="BA55" s="195"/>
    </row>
    <row r="56" spans="15:53" x14ac:dyDescent="0.25">
      <c r="P56" s="10" t="s">
        <v>200</v>
      </c>
      <c r="AV56" s="195"/>
      <c r="AW56" s="195"/>
      <c r="AX56" s="195"/>
      <c r="AY56" s="195"/>
      <c r="AZ56" s="195" t="s">
        <v>201</v>
      </c>
      <c r="BA56" s="195"/>
    </row>
    <row r="57" spans="15:53" x14ac:dyDescent="0.25">
      <c r="Q57" s="10" t="s">
        <v>58</v>
      </c>
      <c r="AV57" s="195"/>
      <c r="AW57" s="195"/>
      <c r="AX57" s="195"/>
      <c r="AY57" s="195"/>
      <c r="AZ57" s="195" t="s">
        <v>202</v>
      </c>
      <c r="BA57" s="195"/>
    </row>
    <row r="58" spans="15:53" ht="12.6" thickBot="1" x14ac:dyDescent="0.3">
      <c r="P58" s="10" t="s">
        <v>203</v>
      </c>
      <c r="Q58" s="10" t="s">
        <v>204</v>
      </c>
      <c r="R58" s="10" t="s">
        <v>205</v>
      </c>
      <c r="S58" s="10" t="s">
        <v>206</v>
      </c>
      <c r="T58" s="10" t="s">
        <v>207</v>
      </c>
      <c r="U58" s="10" t="s">
        <v>208</v>
      </c>
      <c r="AC58" s="30" t="s">
        <v>75</v>
      </c>
      <c r="AD58" s="30" t="s">
        <v>78</v>
      </c>
      <c r="AE58" s="30" t="s">
        <v>79</v>
      </c>
      <c r="AF58" s="30" t="s">
        <v>76</v>
      </c>
      <c r="AG58" s="30" t="s">
        <v>119</v>
      </c>
      <c r="AV58" s="195"/>
      <c r="AW58" s="195"/>
      <c r="AX58" s="195"/>
      <c r="AY58" s="195"/>
      <c r="AZ58" s="195" t="s">
        <v>209</v>
      </c>
      <c r="BA58" s="195"/>
    </row>
    <row r="59" spans="15:53" ht="15" customHeight="1" thickBot="1" x14ac:dyDescent="0.3">
      <c r="O59" s="357" t="s">
        <v>63</v>
      </c>
      <c r="P59" s="179"/>
      <c r="Q59" s="179" t="s">
        <v>76</v>
      </c>
      <c r="R59" s="179" t="s">
        <v>78</v>
      </c>
      <c r="S59" s="179" t="s">
        <v>79</v>
      </c>
      <c r="T59" s="179" t="s">
        <v>119</v>
      </c>
      <c r="U59" s="179" t="s">
        <v>75</v>
      </c>
      <c r="AC59" s="30" t="s">
        <v>210</v>
      </c>
      <c r="AD59" s="30" t="s">
        <v>205</v>
      </c>
      <c r="AE59" s="30" t="s">
        <v>206</v>
      </c>
      <c r="AF59" s="30" t="s">
        <v>204</v>
      </c>
      <c r="AG59" s="30" t="s">
        <v>207</v>
      </c>
      <c r="AV59" s="195"/>
      <c r="AW59" s="195"/>
      <c r="AX59" s="195"/>
      <c r="AY59" s="195"/>
      <c r="AZ59" s="195" t="s">
        <v>211</v>
      </c>
      <c r="BA59" s="195"/>
    </row>
    <row r="60" spans="15:53" ht="12.6" thickBot="1" x14ac:dyDescent="0.3">
      <c r="O60" s="357"/>
      <c r="P60" s="179" t="s">
        <v>76</v>
      </c>
      <c r="Q60" s="180" t="s">
        <v>76</v>
      </c>
      <c r="R60" s="181" t="s">
        <v>79</v>
      </c>
      <c r="S60" s="180" t="s">
        <v>76</v>
      </c>
      <c r="T60" s="180" t="s">
        <v>76</v>
      </c>
      <c r="U60" s="182" t="s">
        <v>78</v>
      </c>
      <c r="AC60" s="53">
        <v>0.01</v>
      </c>
      <c r="AD60" s="53">
        <v>0.1</v>
      </c>
      <c r="AE60" s="53">
        <v>0.25</v>
      </c>
      <c r="AF60" s="53">
        <v>0.5</v>
      </c>
      <c r="AG60" s="53">
        <v>0.9</v>
      </c>
      <c r="AV60" s="195"/>
      <c r="AW60" s="195"/>
      <c r="AX60" s="195"/>
      <c r="AY60" s="195"/>
      <c r="AZ60" s="195" t="s">
        <v>212</v>
      </c>
      <c r="BA60" s="195"/>
    </row>
    <row r="61" spans="15:53" ht="12.6" thickBot="1" x14ac:dyDescent="0.3">
      <c r="O61" s="357"/>
      <c r="P61" s="179" t="s">
        <v>78</v>
      </c>
      <c r="Q61" s="182" t="s">
        <v>78</v>
      </c>
      <c r="R61" s="182" t="s">
        <v>78</v>
      </c>
      <c r="S61" s="182" t="s">
        <v>78</v>
      </c>
      <c r="T61" s="181" t="s">
        <v>79</v>
      </c>
      <c r="U61" s="182" t="s">
        <v>78</v>
      </c>
      <c r="AC61" s="53">
        <v>0.02</v>
      </c>
      <c r="AD61" s="53">
        <v>0.11</v>
      </c>
      <c r="AE61" s="53">
        <v>0.26</v>
      </c>
      <c r="AF61" s="53">
        <v>0.51</v>
      </c>
      <c r="AG61" s="53">
        <v>0.91</v>
      </c>
      <c r="AV61" s="195"/>
      <c r="AW61" s="195"/>
      <c r="AX61" s="195"/>
      <c r="AY61" s="195"/>
      <c r="AZ61" s="195" t="s">
        <v>213</v>
      </c>
      <c r="BA61" s="195"/>
    </row>
    <row r="62" spans="15:53" ht="12.6" thickBot="1" x14ac:dyDescent="0.3">
      <c r="O62" s="357"/>
      <c r="P62" s="179" t="s">
        <v>79</v>
      </c>
      <c r="Q62" s="181" t="s">
        <v>79</v>
      </c>
      <c r="R62" s="181" t="s">
        <v>79</v>
      </c>
      <c r="S62" s="181" t="s">
        <v>79</v>
      </c>
      <c r="T62" s="180" t="s">
        <v>76</v>
      </c>
      <c r="U62" s="182" t="s">
        <v>78</v>
      </c>
      <c r="AC62" s="53">
        <v>0.03</v>
      </c>
      <c r="AD62" s="53">
        <v>0.12</v>
      </c>
      <c r="AE62" s="53">
        <v>0.27</v>
      </c>
      <c r="AF62" s="53">
        <v>0.52</v>
      </c>
      <c r="AG62" s="53">
        <v>0.92</v>
      </c>
      <c r="AV62" s="195"/>
      <c r="AW62" s="195"/>
      <c r="AX62" s="195"/>
      <c r="AY62" s="195"/>
      <c r="AZ62" s="195" t="s">
        <v>214</v>
      </c>
      <c r="BA62" s="195"/>
    </row>
    <row r="63" spans="15:53" ht="12.6" thickBot="1" x14ac:dyDescent="0.3">
      <c r="O63" s="357"/>
      <c r="P63" s="179" t="s">
        <v>119</v>
      </c>
      <c r="Q63" s="180" t="s">
        <v>76</v>
      </c>
      <c r="R63" s="180" t="s">
        <v>76</v>
      </c>
      <c r="S63" s="180" t="s">
        <v>76</v>
      </c>
      <c r="T63" s="180" t="s">
        <v>76</v>
      </c>
      <c r="U63" s="181" t="s">
        <v>79</v>
      </c>
      <c r="AC63" s="53">
        <v>0.04</v>
      </c>
      <c r="AD63" s="53">
        <v>0.13</v>
      </c>
      <c r="AE63" s="53">
        <v>0.28000000000000003</v>
      </c>
      <c r="AF63" s="53">
        <v>0.53</v>
      </c>
      <c r="AG63" s="53">
        <v>0.93</v>
      </c>
      <c r="AV63" s="195"/>
      <c r="AW63" s="195"/>
      <c r="AX63" s="195"/>
      <c r="AY63" s="195"/>
      <c r="AZ63" s="195" t="s">
        <v>215</v>
      </c>
      <c r="BA63" s="195"/>
    </row>
    <row r="64" spans="15:53" ht="12.6" thickBot="1" x14ac:dyDescent="0.3">
      <c r="O64" s="357"/>
      <c r="P64" s="179" t="s">
        <v>75</v>
      </c>
      <c r="Q64" s="182" t="s">
        <v>78</v>
      </c>
      <c r="R64" s="182" t="s">
        <v>78</v>
      </c>
      <c r="S64" s="182" t="s">
        <v>78</v>
      </c>
      <c r="T64" s="182" t="s">
        <v>78</v>
      </c>
      <c r="U64" s="182" t="s">
        <v>78</v>
      </c>
      <c r="AC64" s="53">
        <v>0.05</v>
      </c>
      <c r="AD64" s="53">
        <v>0.14000000000000001</v>
      </c>
      <c r="AE64" s="53">
        <v>0.28999999999999998</v>
      </c>
      <c r="AF64" s="53">
        <v>0.54</v>
      </c>
      <c r="AG64" s="53">
        <v>0.94</v>
      </c>
      <c r="AV64" s="195"/>
      <c r="AW64" s="195"/>
      <c r="AX64" s="195"/>
      <c r="AY64" s="195"/>
      <c r="AZ64" s="195" t="s">
        <v>216</v>
      </c>
      <c r="BA64" s="195"/>
    </row>
    <row r="65" spans="15:53" x14ac:dyDescent="0.25">
      <c r="O65" s="357"/>
      <c r="AC65" s="53">
        <v>0.06</v>
      </c>
      <c r="AD65" s="53">
        <v>0.15</v>
      </c>
      <c r="AE65" s="53">
        <v>0.3</v>
      </c>
      <c r="AF65" s="53">
        <v>0.55000000000000004</v>
      </c>
      <c r="AG65" s="53">
        <v>0.95</v>
      </c>
      <c r="AV65" s="195"/>
      <c r="AW65" s="195"/>
      <c r="AX65" s="195"/>
      <c r="AY65" s="195"/>
      <c r="AZ65" s="195" t="s">
        <v>217</v>
      </c>
      <c r="BA65" s="195"/>
    </row>
    <row r="66" spans="15:53" x14ac:dyDescent="0.25">
      <c r="AC66" s="53">
        <v>7.0000000000000007E-2</v>
      </c>
      <c r="AD66" s="53">
        <v>0.16</v>
      </c>
      <c r="AE66" s="53">
        <v>0.31</v>
      </c>
      <c r="AF66" s="53">
        <v>0.56000000000000005</v>
      </c>
      <c r="AG66" s="53">
        <v>0.96</v>
      </c>
      <c r="AV66" s="195"/>
      <c r="AW66" s="195"/>
      <c r="AX66" s="195"/>
      <c r="AY66" s="195"/>
      <c r="AZ66" s="195" t="s">
        <v>89</v>
      </c>
      <c r="BA66" s="195"/>
    </row>
    <row r="67" spans="15:53" ht="15" customHeight="1" x14ac:dyDescent="0.25">
      <c r="P67" s="383" t="s">
        <v>218</v>
      </c>
      <c r="Q67" s="383"/>
      <c r="R67" s="383"/>
      <c r="AC67" s="53">
        <v>0.08</v>
      </c>
      <c r="AD67" s="53">
        <v>0.17</v>
      </c>
      <c r="AE67" s="53">
        <v>0.32</v>
      </c>
      <c r="AF67" s="53">
        <v>0.56999999999999995</v>
      </c>
      <c r="AG67" s="53">
        <v>0.97</v>
      </c>
      <c r="AV67" s="195"/>
      <c r="AW67" s="195"/>
      <c r="AX67" s="195"/>
      <c r="AY67" s="195"/>
      <c r="AZ67" s="195" t="s">
        <v>219</v>
      </c>
      <c r="BA67" s="195"/>
    </row>
    <row r="68" spans="15:53" x14ac:dyDescent="0.25">
      <c r="P68" s="18" t="s">
        <v>220</v>
      </c>
      <c r="Q68" s="18" t="s">
        <v>221</v>
      </c>
      <c r="R68" s="18" t="s">
        <v>222</v>
      </c>
      <c r="AC68" s="53">
        <v>0.09</v>
      </c>
      <c r="AD68" s="53">
        <v>0.18</v>
      </c>
      <c r="AE68" s="53">
        <v>0.33</v>
      </c>
      <c r="AF68" s="53">
        <v>0.57999999999999996</v>
      </c>
      <c r="AG68" s="53">
        <v>0.98</v>
      </c>
      <c r="AV68" s="195"/>
      <c r="AW68" s="195"/>
      <c r="AX68" s="195"/>
      <c r="AY68" s="195"/>
      <c r="AZ68" s="195" t="s">
        <v>100</v>
      </c>
      <c r="BA68" s="195"/>
    </row>
    <row r="69" spans="15:53" x14ac:dyDescent="0.25">
      <c r="P69" s="16" t="s">
        <v>221</v>
      </c>
      <c r="Q69" s="16" t="s">
        <v>223</v>
      </c>
      <c r="R69" s="16" t="s">
        <v>224</v>
      </c>
      <c r="AC69" s="53">
        <v>0.1</v>
      </c>
      <c r="AD69" s="53">
        <v>0.19</v>
      </c>
      <c r="AE69" s="53">
        <v>0.34</v>
      </c>
      <c r="AF69" s="53">
        <v>0.59</v>
      </c>
      <c r="AG69" s="53">
        <v>0.99</v>
      </c>
      <c r="AV69" s="195"/>
      <c r="AW69" s="195"/>
      <c r="AX69" s="195"/>
      <c r="AY69" s="195"/>
      <c r="AZ69" s="195" t="s">
        <v>225</v>
      </c>
      <c r="BA69" s="195"/>
    </row>
    <row r="70" spans="15:53" x14ac:dyDescent="0.25">
      <c r="P70" s="16" t="s">
        <v>222</v>
      </c>
      <c r="Q70" s="16" t="s">
        <v>226</v>
      </c>
      <c r="R70" s="16" t="s">
        <v>227</v>
      </c>
      <c r="AC70" s="53"/>
      <c r="AD70" s="53">
        <v>0.2</v>
      </c>
      <c r="AE70" s="53">
        <v>0.35</v>
      </c>
      <c r="AF70" s="53">
        <v>0.6</v>
      </c>
      <c r="AG70" s="53">
        <v>1</v>
      </c>
      <c r="AV70" s="195"/>
      <c r="AW70" s="195"/>
      <c r="AX70" s="195"/>
      <c r="AY70" s="195"/>
      <c r="AZ70" s="195" t="s">
        <v>228</v>
      </c>
      <c r="BA70" s="195"/>
    </row>
    <row r="71" spans="15:53" x14ac:dyDescent="0.25">
      <c r="P71" s="16"/>
      <c r="Q71" s="16" t="s">
        <v>229</v>
      </c>
      <c r="R71" s="16" t="s">
        <v>230</v>
      </c>
      <c r="AC71" s="53"/>
      <c r="AD71" s="53">
        <v>0.21</v>
      </c>
      <c r="AE71" s="53">
        <v>0.36</v>
      </c>
      <c r="AF71" s="53">
        <v>0.61</v>
      </c>
      <c r="AG71" s="53"/>
      <c r="AV71" s="195"/>
      <c r="AW71" s="195"/>
      <c r="AX71" s="195"/>
      <c r="AY71" s="195"/>
      <c r="AZ71" s="195" t="s">
        <v>231</v>
      </c>
      <c r="BA71" s="195"/>
    </row>
    <row r="72" spans="15:53" x14ac:dyDescent="0.25">
      <c r="P72" s="16"/>
      <c r="Q72" s="16" t="s">
        <v>232</v>
      </c>
      <c r="R72" s="16" t="s">
        <v>232</v>
      </c>
      <c r="AC72" s="53"/>
      <c r="AD72" s="53">
        <v>0.22</v>
      </c>
      <c r="AE72" s="53">
        <v>0.37</v>
      </c>
      <c r="AF72" s="53">
        <v>0.62</v>
      </c>
      <c r="AG72" s="53"/>
      <c r="AV72" s="195"/>
      <c r="AW72" s="195"/>
      <c r="AX72" s="195"/>
      <c r="AY72" s="195"/>
      <c r="AZ72" s="195" t="s">
        <v>233</v>
      </c>
      <c r="BA72" s="195"/>
    </row>
    <row r="73" spans="15:53" x14ac:dyDescent="0.25">
      <c r="P73" s="16"/>
      <c r="Q73" s="16"/>
      <c r="R73" s="16"/>
      <c r="AC73" s="53"/>
      <c r="AD73" s="53">
        <v>0.23</v>
      </c>
      <c r="AE73" s="53">
        <v>0.38</v>
      </c>
      <c r="AF73" s="53">
        <v>0.63</v>
      </c>
      <c r="AG73" s="53"/>
      <c r="AV73" s="195"/>
      <c r="AW73" s="195"/>
      <c r="AX73" s="195"/>
      <c r="AY73" s="195"/>
      <c r="AZ73" s="195" t="s">
        <v>234</v>
      </c>
      <c r="BA73" s="195"/>
    </row>
    <row r="74" spans="15:53" x14ac:dyDescent="0.25">
      <c r="AC74" s="53"/>
      <c r="AD74" s="53">
        <v>0.24</v>
      </c>
      <c r="AE74" s="53">
        <v>0.39</v>
      </c>
      <c r="AF74" s="53">
        <v>0.64</v>
      </c>
      <c r="AG74" s="53"/>
      <c r="AV74" s="195"/>
      <c r="AW74" s="195"/>
      <c r="AX74" s="195"/>
      <c r="AY74" s="195"/>
      <c r="AZ74" s="195" t="s">
        <v>235</v>
      </c>
      <c r="BA74" s="195"/>
    </row>
    <row r="75" spans="15:53" x14ac:dyDescent="0.25">
      <c r="AC75" s="53"/>
      <c r="AD75" s="53">
        <v>0.25</v>
      </c>
      <c r="AE75" s="53">
        <v>0.4</v>
      </c>
      <c r="AF75" s="53">
        <v>0.65</v>
      </c>
      <c r="AG75" s="53"/>
      <c r="AV75" s="195"/>
      <c r="AW75" s="195"/>
      <c r="AX75" s="195"/>
      <c r="AY75" s="195"/>
      <c r="AZ75" s="195" t="s">
        <v>236</v>
      </c>
      <c r="BA75" s="195"/>
    </row>
    <row r="76" spans="15:53" x14ac:dyDescent="0.25">
      <c r="AC76" s="53"/>
      <c r="AD76" s="53"/>
      <c r="AE76" s="53">
        <v>0.41</v>
      </c>
      <c r="AF76" s="53">
        <v>0.66</v>
      </c>
      <c r="AG76" s="53"/>
      <c r="AV76" s="195"/>
      <c r="AW76" s="195"/>
      <c r="AX76" s="195"/>
      <c r="AY76" s="195"/>
      <c r="AZ76" s="195" t="s">
        <v>237</v>
      </c>
      <c r="BA76" s="195"/>
    </row>
    <row r="77" spans="15:53" x14ac:dyDescent="0.25">
      <c r="AC77" s="53"/>
      <c r="AD77" s="53"/>
      <c r="AE77" s="53">
        <v>0.42</v>
      </c>
      <c r="AF77" s="53">
        <v>0.67</v>
      </c>
      <c r="AG77" s="53"/>
      <c r="AV77" s="195"/>
      <c r="AW77" s="195"/>
      <c r="AX77" s="195"/>
      <c r="AY77" s="195"/>
      <c r="AZ77" s="195" t="s">
        <v>238</v>
      </c>
      <c r="BA77" s="195"/>
    </row>
    <row r="78" spans="15:53" x14ac:dyDescent="0.25">
      <c r="P78" s="60" t="s">
        <v>239</v>
      </c>
      <c r="Q78" s="61"/>
      <c r="R78" s="62"/>
      <c r="T78" s="69" t="s">
        <v>240</v>
      </c>
      <c r="U78" s="69"/>
      <c r="AC78" s="53"/>
      <c r="AD78" s="53"/>
      <c r="AE78" s="53">
        <v>0.43</v>
      </c>
      <c r="AF78" s="53">
        <v>0.68</v>
      </c>
      <c r="AG78" s="53"/>
      <c r="AV78" s="195"/>
      <c r="AW78" s="195"/>
      <c r="AX78" s="195"/>
      <c r="AY78" s="195"/>
      <c r="AZ78" s="195" t="s">
        <v>241</v>
      </c>
      <c r="BA78" s="195"/>
    </row>
    <row r="79" spans="15:53" x14ac:dyDescent="0.25">
      <c r="P79" s="55" t="s">
        <v>242</v>
      </c>
      <c r="R79" s="56"/>
      <c r="T79" s="10" t="s">
        <v>243</v>
      </c>
      <c r="AC79" s="53"/>
      <c r="AD79" s="53"/>
      <c r="AE79" s="53">
        <v>0.44</v>
      </c>
      <c r="AF79" s="53">
        <v>0.69</v>
      </c>
      <c r="AG79" s="53"/>
      <c r="AV79" s="195"/>
      <c r="AW79" s="195"/>
      <c r="AX79" s="195"/>
      <c r="AY79" s="195"/>
      <c r="AZ79" s="195" t="s">
        <v>244</v>
      </c>
      <c r="BA79" s="195"/>
    </row>
    <row r="80" spans="15:53" x14ac:dyDescent="0.25">
      <c r="P80" s="55" t="s">
        <v>245</v>
      </c>
      <c r="R80" s="56"/>
      <c r="T80" s="10" t="s">
        <v>246</v>
      </c>
      <c r="AC80" s="53"/>
      <c r="AD80" s="53"/>
      <c r="AE80" s="53">
        <v>0.45</v>
      </c>
      <c r="AF80" s="53">
        <v>0.7</v>
      </c>
      <c r="AG80" s="53"/>
      <c r="AV80" s="195"/>
      <c r="AW80" s="195"/>
      <c r="AX80" s="195"/>
      <c r="AY80" s="195"/>
      <c r="AZ80" s="195" t="s">
        <v>247</v>
      </c>
      <c r="BA80" s="195"/>
    </row>
    <row r="81" spans="16:53" x14ac:dyDescent="0.25">
      <c r="P81" s="55" t="s">
        <v>248</v>
      </c>
      <c r="R81" s="56"/>
      <c r="T81" s="10" t="s">
        <v>249</v>
      </c>
      <c r="AC81" s="53"/>
      <c r="AD81" s="53"/>
      <c r="AE81" s="53">
        <v>0.46</v>
      </c>
      <c r="AF81" s="53">
        <v>0.71</v>
      </c>
      <c r="AG81" s="53"/>
      <c r="AV81" s="195"/>
      <c r="AW81" s="195"/>
      <c r="AX81" s="195"/>
      <c r="AY81" s="195"/>
      <c r="AZ81" s="195" t="s">
        <v>250</v>
      </c>
      <c r="BA81" s="195"/>
    </row>
    <row r="82" spans="16:53" x14ac:dyDescent="0.25">
      <c r="P82" s="57"/>
      <c r="Q82" s="58"/>
      <c r="R82" s="59"/>
      <c r="T82" s="10" t="s">
        <v>251</v>
      </c>
      <c r="AC82" s="53"/>
      <c r="AD82" s="53"/>
      <c r="AE82" s="53">
        <v>0.47</v>
      </c>
      <c r="AF82" s="53">
        <v>0.72</v>
      </c>
      <c r="AG82" s="53"/>
      <c r="AV82" s="195"/>
      <c r="AW82" s="195"/>
      <c r="AX82" s="195"/>
      <c r="AY82" s="195"/>
      <c r="AZ82" s="195" t="s">
        <v>252</v>
      </c>
      <c r="BA82" s="195"/>
    </row>
    <row r="83" spans="16:53" x14ac:dyDescent="0.25">
      <c r="AC83" s="53"/>
      <c r="AD83" s="53"/>
      <c r="AE83" s="53">
        <v>0.48</v>
      </c>
      <c r="AF83" s="53">
        <v>0.73</v>
      </c>
      <c r="AG83" s="53"/>
      <c r="AV83" s="195"/>
      <c r="AW83" s="195"/>
      <c r="AX83" s="195"/>
      <c r="AY83" s="195"/>
      <c r="AZ83" s="195" t="s">
        <v>253</v>
      </c>
      <c r="BA83" s="195"/>
    </row>
    <row r="84" spans="16:53" x14ac:dyDescent="0.25">
      <c r="AC84" s="53"/>
      <c r="AD84" s="53"/>
      <c r="AE84" s="53">
        <v>0.49</v>
      </c>
      <c r="AF84" s="53">
        <v>0.74</v>
      </c>
      <c r="AG84" s="53"/>
      <c r="AV84" s="195"/>
      <c r="AW84" s="195"/>
      <c r="AX84" s="195"/>
      <c r="AY84" s="195"/>
      <c r="AZ84" s="195" t="s">
        <v>254</v>
      </c>
      <c r="BA84" s="195"/>
    </row>
    <row r="85" spans="16:53" x14ac:dyDescent="0.25">
      <c r="AC85" s="53"/>
      <c r="AD85" s="53"/>
      <c r="AE85" s="53">
        <v>0.5</v>
      </c>
      <c r="AF85" s="53">
        <v>0.75</v>
      </c>
      <c r="AG85" s="53"/>
      <c r="AV85" s="195"/>
      <c r="AW85" s="195"/>
      <c r="AX85" s="195"/>
      <c r="AY85" s="195"/>
      <c r="AZ85" s="195" t="s">
        <v>255</v>
      </c>
      <c r="BA85" s="195"/>
    </row>
    <row r="86" spans="16:53" x14ac:dyDescent="0.25">
      <c r="AC86" s="53"/>
      <c r="AD86" s="53"/>
      <c r="AE86" s="53"/>
      <c r="AF86" s="53">
        <v>0.76</v>
      </c>
      <c r="AG86" s="53"/>
      <c r="AV86" s="195"/>
      <c r="AW86" s="195"/>
      <c r="AX86" s="195"/>
      <c r="AY86" s="195"/>
      <c r="AZ86" s="195" t="s">
        <v>256</v>
      </c>
      <c r="BA86" s="195"/>
    </row>
    <row r="87" spans="16:53" x14ac:dyDescent="0.25">
      <c r="P87" s="10" t="s">
        <v>257</v>
      </c>
      <c r="R87" s="10" t="s">
        <v>258</v>
      </c>
      <c r="AC87" s="53"/>
      <c r="AD87" s="53"/>
      <c r="AE87" s="53"/>
      <c r="AF87" s="53">
        <v>0.77</v>
      </c>
      <c r="AG87" s="53"/>
      <c r="AV87" s="195"/>
      <c r="AW87" s="195"/>
      <c r="AX87" s="195"/>
      <c r="AY87" s="195"/>
      <c r="AZ87" s="195" t="s">
        <v>259</v>
      </c>
      <c r="BA87" s="195"/>
    </row>
    <row r="88" spans="16:53" x14ac:dyDescent="0.25">
      <c r="P88" s="10" t="s">
        <v>260</v>
      </c>
      <c r="R88" s="10" t="s">
        <v>261</v>
      </c>
      <c r="AC88" s="53"/>
      <c r="AD88" s="53"/>
      <c r="AE88" s="53"/>
      <c r="AF88" s="53">
        <v>0.78</v>
      </c>
      <c r="AG88" s="53"/>
      <c r="AV88" s="195"/>
      <c r="AW88" s="195"/>
      <c r="AX88" s="195"/>
      <c r="AY88" s="195"/>
      <c r="AZ88" s="195" t="s">
        <v>262</v>
      </c>
      <c r="BA88" s="195"/>
    </row>
    <row r="89" spans="16:53" x14ac:dyDescent="0.25">
      <c r="P89" s="10" t="s">
        <v>263</v>
      </c>
      <c r="R89" s="10" t="s">
        <v>264</v>
      </c>
      <c r="AC89" s="53"/>
      <c r="AD89" s="53"/>
      <c r="AE89" s="53"/>
      <c r="AF89" s="53">
        <v>0.79</v>
      </c>
      <c r="AG89" s="53"/>
      <c r="AV89" s="195"/>
      <c r="AW89" s="195"/>
      <c r="AX89" s="195"/>
      <c r="AY89" s="195"/>
      <c r="AZ89" s="195" t="s">
        <v>265</v>
      </c>
      <c r="BA89" s="195"/>
    </row>
    <row r="90" spans="16:53" x14ac:dyDescent="0.25">
      <c r="P90" s="10" t="s">
        <v>266</v>
      </c>
      <c r="R90" s="10" t="s">
        <v>267</v>
      </c>
      <c r="AC90" s="53"/>
      <c r="AD90" s="53"/>
      <c r="AE90" s="53"/>
      <c r="AF90" s="53">
        <v>0.8</v>
      </c>
      <c r="AG90" s="53"/>
      <c r="AV90" s="195"/>
      <c r="AW90" s="195"/>
      <c r="AX90" s="195"/>
      <c r="AY90" s="195"/>
      <c r="AZ90" s="195" t="s">
        <v>268</v>
      </c>
      <c r="BA90" s="195"/>
    </row>
    <row r="91" spans="16:53" x14ac:dyDescent="0.25">
      <c r="P91" s="10" t="s">
        <v>269</v>
      </c>
      <c r="R91" s="10" t="s">
        <v>270</v>
      </c>
      <c r="AC91" s="53"/>
      <c r="AD91" s="53"/>
      <c r="AE91" s="53"/>
      <c r="AF91" s="53">
        <v>0.81</v>
      </c>
      <c r="AG91" s="53"/>
      <c r="AV91" s="195"/>
      <c r="AW91" s="195"/>
      <c r="AX91" s="195"/>
      <c r="AY91" s="195"/>
      <c r="AZ91" s="195" t="s">
        <v>271</v>
      </c>
      <c r="BA91" s="195"/>
    </row>
    <row r="92" spans="16:53" x14ac:dyDescent="0.25">
      <c r="P92" s="10" t="s">
        <v>272</v>
      </c>
      <c r="AC92" s="53"/>
      <c r="AD92" s="53"/>
      <c r="AE92" s="53"/>
      <c r="AF92" s="53">
        <v>0.82</v>
      </c>
      <c r="AG92" s="53"/>
      <c r="AV92" s="195"/>
      <c r="AW92" s="195"/>
      <c r="AX92" s="195"/>
      <c r="AY92" s="195"/>
      <c r="AZ92" s="195" t="s">
        <v>273</v>
      </c>
      <c r="BA92" s="195"/>
    </row>
    <row r="93" spans="16:53" x14ac:dyDescent="0.25">
      <c r="P93" s="10" t="s">
        <v>274</v>
      </c>
      <c r="AC93" s="53"/>
      <c r="AD93" s="53"/>
      <c r="AE93" s="53"/>
      <c r="AF93" s="53">
        <v>0.83</v>
      </c>
      <c r="AG93" s="53"/>
      <c r="AV93" s="195"/>
      <c r="AW93" s="195"/>
      <c r="AX93" s="195"/>
      <c r="AY93" s="195"/>
      <c r="AZ93" s="195" t="s">
        <v>275</v>
      </c>
      <c r="BA93" s="195"/>
    </row>
    <row r="94" spans="16:53" x14ac:dyDescent="0.25">
      <c r="P94" s="10" t="s">
        <v>276</v>
      </c>
      <c r="AC94" s="53"/>
      <c r="AD94" s="53"/>
      <c r="AE94" s="53"/>
      <c r="AF94" s="53">
        <v>0.84</v>
      </c>
      <c r="AG94" s="53"/>
      <c r="AV94" s="195"/>
      <c r="AW94" s="195"/>
      <c r="AX94" s="195"/>
      <c r="AY94" s="195"/>
      <c r="AZ94" s="195" t="s">
        <v>277</v>
      </c>
      <c r="BA94" s="195"/>
    </row>
    <row r="95" spans="16:53" x14ac:dyDescent="0.25">
      <c r="P95" s="10" t="s">
        <v>278</v>
      </c>
      <c r="AC95" s="53"/>
      <c r="AD95" s="53"/>
      <c r="AE95" s="53"/>
      <c r="AF95" s="53">
        <v>0.85</v>
      </c>
      <c r="AG95" s="53"/>
      <c r="AV95" s="195"/>
      <c r="AW95" s="195"/>
      <c r="AX95" s="195"/>
      <c r="AY95" s="195"/>
      <c r="AZ95" s="195" t="s">
        <v>279</v>
      </c>
      <c r="BA95" s="195"/>
    </row>
    <row r="96" spans="16:53" x14ac:dyDescent="0.25">
      <c r="AC96" s="53"/>
      <c r="AD96" s="53"/>
      <c r="AE96" s="53"/>
      <c r="AF96" s="53">
        <v>0.86</v>
      </c>
      <c r="AG96" s="53"/>
      <c r="AV96" s="195"/>
      <c r="AW96" s="195"/>
      <c r="AX96" s="195"/>
      <c r="AY96" s="195"/>
      <c r="AZ96" s="195" t="s">
        <v>280</v>
      </c>
      <c r="BA96" s="195"/>
    </row>
    <row r="97" spans="19:53" x14ac:dyDescent="0.25">
      <c r="AC97" s="53"/>
      <c r="AD97" s="53"/>
      <c r="AE97" s="53"/>
      <c r="AF97" s="53">
        <v>0.87</v>
      </c>
      <c r="AG97" s="53"/>
      <c r="AV97" s="195"/>
      <c r="AW97" s="195"/>
      <c r="AX97" s="195"/>
      <c r="AY97" s="195"/>
      <c r="AZ97" s="195" t="s">
        <v>281</v>
      </c>
      <c r="BA97" s="195"/>
    </row>
    <row r="98" spans="19:53" x14ac:dyDescent="0.25">
      <c r="AC98" s="53"/>
      <c r="AD98" s="53"/>
      <c r="AE98" s="53"/>
      <c r="AF98" s="53">
        <v>0.88</v>
      </c>
      <c r="AG98" s="53"/>
      <c r="AV98" s="195"/>
      <c r="AW98" s="195"/>
      <c r="AX98" s="195"/>
      <c r="AY98" s="195"/>
      <c r="AZ98" s="195" t="s">
        <v>282</v>
      </c>
      <c r="BA98" s="195"/>
    </row>
    <row r="99" spans="19:53" x14ac:dyDescent="0.25">
      <c r="AC99" s="53"/>
      <c r="AD99" s="53"/>
      <c r="AE99" s="53"/>
      <c r="AF99" s="53">
        <v>0.89</v>
      </c>
      <c r="AG99" s="53"/>
      <c r="AV99" s="195"/>
      <c r="AW99" s="195"/>
      <c r="AX99" s="195"/>
      <c r="AY99" s="195"/>
      <c r="AZ99" s="195" t="s">
        <v>283</v>
      </c>
      <c r="BA99" s="195"/>
    </row>
    <row r="100" spans="19:53" x14ac:dyDescent="0.25">
      <c r="S100" s="30"/>
      <c r="T100" s="30"/>
      <c r="U100" s="30"/>
      <c r="V100" s="30"/>
      <c r="W100" s="30"/>
      <c r="X100" s="30"/>
      <c r="AC100" s="53"/>
      <c r="AD100" s="53"/>
      <c r="AE100" s="53"/>
      <c r="AF100" s="53">
        <v>0.9</v>
      </c>
      <c r="AG100" s="53"/>
      <c r="AV100" s="195"/>
      <c r="AW100" s="195"/>
      <c r="AX100" s="195"/>
      <c r="AY100" s="195"/>
      <c r="AZ100" s="195" t="s">
        <v>284</v>
      </c>
      <c r="BA100" s="195"/>
    </row>
    <row r="101" spans="19:53" x14ac:dyDescent="0.25">
      <c r="AC101" s="53"/>
      <c r="AD101" s="53"/>
      <c r="AE101" s="53"/>
      <c r="AF101" s="53"/>
      <c r="AG101" s="53"/>
      <c r="AV101" s="195"/>
      <c r="AW101" s="195"/>
      <c r="AX101" s="195"/>
      <c r="AY101" s="195"/>
      <c r="AZ101" s="195" t="s">
        <v>285</v>
      </c>
      <c r="BA101" s="195"/>
    </row>
    <row r="102" spans="19:53" x14ac:dyDescent="0.25">
      <c r="AC102" s="53"/>
      <c r="AD102" s="53"/>
      <c r="AE102" s="53"/>
      <c r="AF102" s="53"/>
      <c r="AG102" s="53"/>
      <c r="AV102" s="195"/>
      <c r="AW102" s="195"/>
      <c r="AX102" s="195"/>
      <c r="AY102" s="195"/>
      <c r="AZ102" s="195" t="s">
        <v>286</v>
      </c>
      <c r="BA102" s="195"/>
    </row>
    <row r="103" spans="19:53" x14ac:dyDescent="0.25">
      <c r="AC103" s="53"/>
      <c r="AD103" s="53"/>
      <c r="AE103" s="53"/>
      <c r="AF103" s="53"/>
      <c r="AG103" s="53"/>
      <c r="AV103" s="195"/>
      <c r="AW103" s="195"/>
      <c r="AX103" s="195"/>
      <c r="AY103" s="195"/>
      <c r="AZ103" s="195" t="s">
        <v>287</v>
      </c>
      <c r="BA103" s="195"/>
    </row>
    <row r="104" spans="19:53" x14ac:dyDescent="0.25">
      <c r="AC104" s="53"/>
      <c r="AD104" s="53"/>
      <c r="AE104" s="53"/>
      <c r="AF104" s="53"/>
      <c r="AG104" s="53"/>
      <c r="AV104" s="195"/>
      <c r="AW104" s="195"/>
      <c r="AX104" s="195"/>
      <c r="AY104" s="195"/>
      <c r="AZ104" s="195" t="s">
        <v>288</v>
      </c>
      <c r="BA104" s="195"/>
    </row>
    <row r="105" spans="19:53" x14ac:dyDescent="0.25">
      <c r="AC105" s="53"/>
      <c r="AD105" s="53"/>
      <c r="AE105" s="53"/>
      <c r="AF105" s="53"/>
      <c r="AG105" s="53"/>
      <c r="AV105" s="195"/>
      <c r="AW105" s="195"/>
      <c r="AX105" s="195"/>
      <c r="AY105" s="195"/>
      <c r="AZ105" s="195" t="s">
        <v>289</v>
      </c>
      <c r="BA105" s="195"/>
    </row>
    <row r="106" spans="19:53" x14ac:dyDescent="0.25">
      <c r="AC106" s="53"/>
      <c r="AD106" s="53"/>
      <c r="AE106" s="53"/>
      <c r="AF106" s="53"/>
      <c r="AG106" s="53"/>
      <c r="AV106" s="195"/>
      <c r="AW106" s="195"/>
      <c r="AX106" s="195"/>
      <c r="AY106" s="195"/>
      <c r="AZ106" s="195" t="s">
        <v>290</v>
      </c>
      <c r="BA106" s="195"/>
    </row>
    <row r="107" spans="19:53" x14ac:dyDescent="0.25">
      <c r="AC107" s="53"/>
      <c r="AD107" s="53"/>
      <c r="AE107" s="53"/>
      <c r="AF107" s="53"/>
      <c r="AG107" s="53"/>
      <c r="AV107" s="195"/>
      <c r="AW107" s="195"/>
      <c r="AX107" s="195"/>
      <c r="AY107" s="195"/>
      <c r="AZ107" s="195" t="s">
        <v>291</v>
      </c>
      <c r="BA107" s="195"/>
    </row>
    <row r="108" spans="19:53" x14ac:dyDescent="0.25">
      <c r="AC108" s="53"/>
      <c r="AD108" s="53"/>
      <c r="AE108" s="53"/>
      <c r="AF108" s="53"/>
      <c r="AG108" s="53"/>
      <c r="AV108" s="195"/>
      <c r="AW108" s="195"/>
      <c r="AX108" s="195"/>
      <c r="AY108" s="195"/>
      <c r="AZ108" s="195" t="s">
        <v>292</v>
      </c>
      <c r="BA108" s="195"/>
    </row>
    <row r="109" spans="19:53" x14ac:dyDescent="0.25">
      <c r="AC109" s="53"/>
      <c r="AD109" s="53"/>
      <c r="AE109" s="53"/>
      <c r="AF109" s="53"/>
      <c r="AG109" s="53"/>
      <c r="AV109" s="195"/>
      <c r="AW109" s="195"/>
      <c r="AX109" s="195"/>
      <c r="AY109" s="195"/>
      <c r="AZ109" s="195" t="s">
        <v>293</v>
      </c>
      <c r="BA109" s="195"/>
    </row>
    <row r="110" spans="19:53" x14ac:dyDescent="0.25">
      <c r="AC110" s="53"/>
      <c r="AD110" s="53"/>
      <c r="AE110" s="53"/>
      <c r="AF110" s="53"/>
      <c r="AG110" s="53"/>
      <c r="AV110" s="195"/>
      <c r="AW110" s="195"/>
      <c r="AX110" s="195"/>
      <c r="AY110" s="195"/>
      <c r="AZ110" s="195" t="s">
        <v>294</v>
      </c>
      <c r="BA110" s="195"/>
    </row>
    <row r="111" spans="19:53" x14ac:dyDescent="0.25">
      <c r="AC111" s="53"/>
      <c r="AD111" s="53"/>
      <c r="AE111" s="53"/>
      <c r="AF111" s="53"/>
      <c r="AG111" s="53"/>
      <c r="AV111" s="195"/>
      <c r="AW111" s="195"/>
      <c r="AX111" s="195"/>
      <c r="AY111" s="195"/>
      <c r="AZ111" s="195" t="s">
        <v>295</v>
      </c>
      <c r="BA111" s="195"/>
    </row>
    <row r="112" spans="19:53" x14ac:dyDescent="0.25">
      <c r="AC112" s="53"/>
      <c r="AD112" s="53"/>
      <c r="AE112" s="53"/>
      <c r="AF112" s="53"/>
      <c r="AG112" s="53"/>
      <c r="AV112" s="195"/>
      <c r="AW112" s="195"/>
      <c r="AX112" s="195"/>
      <c r="AY112" s="195"/>
      <c r="AZ112" s="195" t="s">
        <v>296</v>
      </c>
      <c r="BA112" s="195"/>
    </row>
    <row r="113" spans="29:53" x14ac:dyDescent="0.25">
      <c r="AC113" s="53"/>
      <c r="AD113" s="53"/>
      <c r="AE113" s="53"/>
      <c r="AF113" s="53"/>
      <c r="AG113" s="53"/>
      <c r="AV113" s="195"/>
      <c r="AW113" s="195"/>
      <c r="AX113" s="195"/>
      <c r="AY113" s="195"/>
      <c r="AZ113" s="195" t="s">
        <v>297</v>
      </c>
      <c r="BA113" s="195"/>
    </row>
    <row r="114" spans="29:53" x14ac:dyDescent="0.25">
      <c r="AC114" s="53"/>
      <c r="AD114" s="53"/>
      <c r="AE114" s="53"/>
      <c r="AF114" s="53"/>
      <c r="AG114" s="53"/>
      <c r="AV114" s="195"/>
      <c r="AW114" s="195"/>
      <c r="AX114" s="195"/>
      <c r="AY114" s="195"/>
      <c r="AZ114" s="195"/>
      <c r="BA114" s="195"/>
    </row>
    <row r="115" spans="29:53" x14ac:dyDescent="0.25">
      <c r="AC115" s="53"/>
      <c r="AD115" s="53"/>
      <c r="AE115" s="53"/>
      <c r="AF115" s="53"/>
      <c r="AG115" s="53"/>
    </row>
    <row r="116" spans="29:53" x14ac:dyDescent="0.25">
      <c r="AC116" s="53"/>
      <c r="AD116" s="53"/>
      <c r="AE116" s="53"/>
      <c r="AF116" s="53"/>
      <c r="AG116" s="53"/>
    </row>
    <row r="117" spans="29:53" x14ac:dyDescent="0.25">
      <c r="AC117" s="53"/>
      <c r="AD117" s="53"/>
      <c r="AE117" s="53"/>
      <c r="AF117" s="53"/>
      <c r="AG117" s="53"/>
    </row>
    <row r="118" spans="29:53" x14ac:dyDescent="0.25">
      <c r="AC118" s="53"/>
      <c r="AD118" s="53"/>
      <c r="AE118" s="53"/>
      <c r="AF118" s="53"/>
      <c r="AG118" s="53"/>
    </row>
    <row r="119" spans="29:53" x14ac:dyDescent="0.25">
      <c r="AC119" s="53"/>
      <c r="AD119" s="53"/>
      <c r="AE119" s="53"/>
      <c r="AF119" s="53"/>
      <c r="AG119" s="53"/>
    </row>
    <row r="120" spans="29:53" x14ac:dyDescent="0.25">
      <c r="AC120" s="53"/>
      <c r="AD120" s="53"/>
      <c r="AE120" s="53"/>
      <c r="AF120" s="53"/>
      <c r="AG120" s="53"/>
    </row>
    <row r="121" spans="29:53" x14ac:dyDescent="0.25">
      <c r="AC121" s="53"/>
      <c r="AD121" s="53"/>
      <c r="AE121" s="53"/>
      <c r="AF121" s="53"/>
      <c r="AG121" s="53"/>
    </row>
    <row r="122" spans="29:53" x14ac:dyDescent="0.25">
      <c r="AC122" s="53"/>
      <c r="AD122" s="53"/>
      <c r="AE122" s="53"/>
      <c r="AF122" s="53"/>
      <c r="AG122" s="53"/>
    </row>
    <row r="123" spans="29:53" x14ac:dyDescent="0.25">
      <c r="AC123" s="53"/>
      <c r="AD123" s="53"/>
      <c r="AE123" s="53"/>
      <c r="AF123" s="53"/>
      <c r="AG123" s="53"/>
    </row>
    <row r="124" spans="29:53" x14ac:dyDescent="0.25">
      <c r="AC124" s="53"/>
      <c r="AD124" s="53"/>
      <c r="AE124" s="53"/>
      <c r="AF124" s="53"/>
      <c r="AG124" s="53"/>
    </row>
    <row r="125" spans="29:53" x14ac:dyDescent="0.25">
      <c r="AC125" s="53"/>
      <c r="AD125" s="53"/>
      <c r="AE125" s="53"/>
      <c r="AF125" s="53"/>
      <c r="AG125" s="53"/>
    </row>
    <row r="126" spans="29:53" x14ac:dyDescent="0.25">
      <c r="AC126" s="53"/>
      <c r="AD126" s="53"/>
      <c r="AE126" s="53"/>
      <c r="AF126" s="53"/>
      <c r="AG126" s="53"/>
    </row>
    <row r="127" spans="29:53" x14ac:dyDescent="0.25">
      <c r="AC127" s="53"/>
      <c r="AD127" s="53"/>
      <c r="AE127" s="53"/>
      <c r="AF127" s="53"/>
      <c r="AG127" s="53"/>
    </row>
    <row r="128" spans="29:53" x14ac:dyDescent="0.25">
      <c r="AC128" s="53"/>
      <c r="AD128" s="53"/>
      <c r="AE128" s="53"/>
      <c r="AF128" s="53"/>
      <c r="AG128" s="53"/>
    </row>
    <row r="129" spans="29:51" x14ac:dyDescent="0.25">
      <c r="AC129" s="53"/>
      <c r="AD129" s="53"/>
      <c r="AE129" s="53"/>
      <c r="AF129" s="53"/>
      <c r="AG129" s="53"/>
    </row>
    <row r="130" spans="29:51" x14ac:dyDescent="0.25">
      <c r="AC130" s="53"/>
      <c r="AD130" s="53"/>
      <c r="AE130" s="53"/>
      <c r="AF130" s="53"/>
      <c r="AG130" s="53"/>
    </row>
    <row r="131" spans="29:51" x14ac:dyDescent="0.25">
      <c r="AC131" s="53"/>
      <c r="AD131" s="53"/>
      <c r="AE131" s="53"/>
      <c r="AF131" s="53"/>
      <c r="AG131" s="53"/>
    </row>
    <row r="132" spans="29:51" x14ac:dyDescent="0.25">
      <c r="AC132" s="53"/>
      <c r="AD132" s="53"/>
      <c r="AE132" s="53"/>
      <c r="AF132" s="53"/>
      <c r="AG132" s="53"/>
    </row>
    <row r="133" spans="29:51" ht="14.4" x14ac:dyDescent="0.3">
      <c r="AC133" s="53"/>
      <c r="AD133" s="53"/>
      <c r="AE133" s="53"/>
      <c r="AF133" s="53"/>
      <c r="AG133" s="53"/>
      <c r="AJ133"/>
      <c r="AK133"/>
      <c r="AL133"/>
      <c r="AM133"/>
      <c r="AN133"/>
      <c r="AO133" t="s">
        <v>298</v>
      </c>
      <c r="AP133"/>
      <c r="AQ133"/>
      <c r="AR133"/>
      <c r="AS133"/>
      <c r="AT133"/>
      <c r="AU133"/>
      <c r="AV133"/>
      <c r="AW133"/>
      <c r="AX133"/>
      <c r="AY133"/>
    </row>
    <row r="134" spans="29:51" ht="14.4" x14ac:dyDescent="0.3">
      <c r="AC134" s="53"/>
      <c r="AD134" s="53"/>
      <c r="AE134" s="53"/>
      <c r="AF134" s="53"/>
      <c r="AG134" s="53"/>
      <c r="AJ134"/>
      <c r="AK134"/>
      <c r="AL134"/>
      <c r="AM134"/>
      <c r="AN134"/>
      <c r="AO134"/>
      <c r="AP134"/>
      <c r="AQ134"/>
      <c r="AR134"/>
      <c r="AS134"/>
      <c r="AT134"/>
      <c r="AU134"/>
      <c r="AV134"/>
      <c r="AW134"/>
      <c r="AX134"/>
      <c r="AY134"/>
    </row>
    <row r="135" spans="29:51" ht="14.4" x14ac:dyDescent="0.3">
      <c r="AC135" s="53"/>
      <c r="AD135" s="53"/>
      <c r="AE135" s="53"/>
      <c r="AF135" s="53"/>
      <c r="AG135" s="53"/>
      <c r="AJ135"/>
      <c r="AK135"/>
      <c r="AL135"/>
      <c r="AM135"/>
      <c r="AN135"/>
      <c r="AO135"/>
      <c r="AP135"/>
      <c r="AQ135"/>
      <c r="AR135"/>
      <c r="AS135"/>
      <c r="AT135"/>
      <c r="AU135"/>
      <c r="AV135"/>
      <c r="AW135"/>
      <c r="AX135"/>
      <c r="AY135"/>
    </row>
    <row r="136" spans="29:51" ht="14.4" x14ac:dyDescent="0.3">
      <c r="AC136" s="53"/>
      <c r="AD136" s="53"/>
      <c r="AE136" s="53"/>
      <c r="AF136" s="53"/>
      <c r="AG136" s="53"/>
      <c r="AJ136"/>
      <c r="AK136"/>
      <c r="AL136"/>
      <c r="AM136"/>
      <c r="AN136"/>
      <c r="AO136"/>
      <c r="AP136"/>
      <c r="AQ136"/>
      <c r="AR136"/>
      <c r="AS136"/>
      <c r="AT136"/>
      <c r="AU136"/>
      <c r="AV136"/>
      <c r="AW136"/>
      <c r="AX136"/>
      <c r="AY136"/>
    </row>
    <row r="137" spans="29:51" ht="30" customHeight="1" x14ac:dyDescent="0.3">
      <c r="AC137" s="53"/>
      <c r="AD137" s="53"/>
      <c r="AE137" s="53"/>
      <c r="AF137" s="53"/>
      <c r="AG137" s="53"/>
      <c r="AJ137"/>
      <c r="AK137" s="377" t="s">
        <v>299</v>
      </c>
      <c r="AL137" s="372" t="s">
        <v>300</v>
      </c>
      <c r="AM137" s="38"/>
      <c r="AN137" s="37"/>
      <c r="AO137" s="373"/>
      <c r="AP137" s="374"/>
      <c r="AQ137" s="360"/>
      <c r="AR137" s="361"/>
      <c r="AS137" s="364"/>
      <c r="AT137" s="365"/>
      <c r="AU137" s="364"/>
      <c r="AV137" s="365"/>
      <c r="AW137" s="364"/>
      <c r="AX137" s="365"/>
      <c r="AY137"/>
    </row>
    <row r="138" spans="29:51" ht="30" customHeight="1" x14ac:dyDescent="0.3">
      <c r="AC138" s="53"/>
      <c r="AD138" s="53"/>
      <c r="AE138" s="53"/>
      <c r="AF138" s="53"/>
      <c r="AG138" s="53"/>
      <c r="AJ138"/>
      <c r="AK138" s="377"/>
      <c r="AL138" s="372"/>
      <c r="AM138" s="39"/>
      <c r="AN138" s="37"/>
      <c r="AO138" s="375"/>
      <c r="AP138" s="376"/>
      <c r="AQ138" s="368"/>
      <c r="AR138" s="369"/>
      <c r="AS138" s="370"/>
      <c r="AT138" s="371"/>
      <c r="AU138" s="370"/>
      <c r="AV138" s="371"/>
      <c r="AW138" s="370"/>
      <c r="AX138" s="371"/>
      <c r="AY138"/>
    </row>
    <row r="139" spans="29:51" ht="30" customHeight="1" x14ac:dyDescent="0.3">
      <c r="AC139" s="53"/>
      <c r="AD139" s="53"/>
      <c r="AE139" s="53"/>
      <c r="AF139" s="53"/>
      <c r="AG139" s="53"/>
      <c r="AJ139"/>
      <c r="AK139" s="377"/>
      <c r="AL139" s="372" t="s">
        <v>301</v>
      </c>
      <c r="AM139" s="38"/>
      <c r="AN139" s="37"/>
      <c r="AO139" s="373"/>
      <c r="AP139" s="374"/>
      <c r="AQ139" s="360"/>
      <c r="AR139" s="361"/>
      <c r="AS139" s="364"/>
      <c r="AT139" s="365"/>
      <c r="AU139" s="364"/>
      <c r="AV139" s="365"/>
      <c r="AW139" s="364"/>
      <c r="AX139" s="365"/>
      <c r="AY139"/>
    </row>
    <row r="140" spans="29:51" ht="30" customHeight="1" x14ac:dyDescent="0.3">
      <c r="AC140" s="53"/>
      <c r="AD140" s="53"/>
      <c r="AE140" s="53"/>
      <c r="AF140" s="53"/>
      <c r="AG140" s="53"/>
      <c r="AJ140"/>
      <c r="AK140" s="377"/>
      <c r="AL140" s="372"/>
      <c r="AM140" s="39"/>
      <c r="AN140" s="37"/>
      <c r="AO140" s="375"/>
      <c r="AP140" s="376"/>
      <c r="AQ140" s="368"/>
      <c r="AR140" s="369"/>
      <c r="AS140" s="370"/>
      <c r="AT140" s="371"/>
      <c r="AU140" s="370"/>
      <c r="AV140" s="371"/>
      <c r="AW140" s="370"/>
      <c r="AX140" s="371"/>
      <c r="AY140"/>
    </row>
    <row r="141" spans="29:51" ht="30" customHeight="1" x14ac:dyDescent="0.3">
      <c r="AC141" s="53"/>
      <c r="AD141" s="53"/>
      <c r="AE141" s="53"/>
      <c r="AF141" s="53"/>
      <c r="AG141" s="53"/>
      <c r="AJ141"/>
      <c r="AK141" s="377"/>
      <c r="AL141" s="372" t="s">
        <v>302</v>
      </c>
      <c r="AM141" s="38"/>
      <c r="AN141" s="37"/>
      <c r="AO141" s="373"/>
      <c r="AP141" s="374"/>
      <c r="AQ141" s="378"/>
      <c r="AR141" s="374"/>
      <c r="AS141" s="360"/>
      <c r="AT141" s="361"/>
      <c r="AU141" s="364"/>
      <c r="AV141" s="365"/>
      <c r="AW141" s="364"/>
      <c r="AX141" s="365"/>
      <c r="AY141"/>
    </row>
    <row r="142" spans="29:51" ht="30" customHeight="1" x14ac:dyDescent="0.3">
      <c r="AC142" s="53"/>
      <c r="AD142" s="53"/>
      <c r="AE142" s="53"/>
      <c r="AF142" s="53"/>
      <c r="AG142" s="53"/>
      <c r="AJ142"/>
      <c r="AK142" s="377"/>
      <c r="AL142" s="372"/>
      <c r="AM142" s="39"/>
      <c r="AN142" s="37"/>
      <c r="AO142" s="375"/>
      <c r="AP142" s="376"/>
      <c r="AQ142" s="379"/>
      <c r="AR142" s="376"/>
      <c r="AS142" s="368"/>
      <c r="AT142" s="369"/>
      <c r="AU142" s="370"/>
      <c r="AV142" s="371"/>
      <c r="AW142" s="370"/>
      <c r="AX142" s="371"/>
      <c r="AY142"/>
    </row>
    <row r="143" spans="29:51" ht="30" customHeight="1" x14ac:dyDescent="0.3">
      <c r="AC143" s="53"/>
      <c r="AD143" s="53"/>
      <c r="AE143" s="53"/>
      <c r="AF143" s="53"/>
      <c r="AG143" s="53"/>
      <c r="AJ143"/>
      <c r="AK143" s="377"/>
      <c r="AL143" s="372" t="s">
        <v>303</v>
      </c>
      <c r="AM143" s="38"/>
      <c r="AN143" s="37"/>
      <c r="AO143" s="373"/>
      <c r="AP143" s="374"/>
      <c r="AQ143" s="378"/>
      <c r="AR143" s="374"/>
      <c r="AS143" s="360"/>
      <c r="AT143" s="361"/>
      <c r="AU143" s="364"/>
      <c r="AV143" s="365"/>
      <c r="AW143" s="364"/>
      <c r="AX143" s="365"/>
      <c r="AY143"/>
    </row>
    <row r="144" spans="29:51" ht="30" customHeight="1" x14ac:dyDescent="0.3">
      <c r="AC144" s="53"/>
      <c r="AD144" s="53"/>
      <c r="AE144" s="53"/>
      <c r="AF144" s="53"/>
      <c r="AG144" s="53"/>
      <c r="AJ144"/>
      <c r="AK144" s="377"/>
      <c r="AL144" s="372"/>
      <c r="AM144" s="39"/>
      <c r="AN144" s="37"/>
      <c r="AO144" s="375"/>
      <c r="AP144" s="376"/>
      <c r="AQ144" s="379"/>
      <c r="AR144" s="376"/>
      <c r="AS144" s="368"/>
      <c r="AT144" s="369"/>
      <c r="AU144" s="370"/>
      <c r="AV144" s="371"/>
      <c r="AW144" s="370"/>
      <c r="AX144" s="371"/>
      <c r="AY144"/>
    </row>
    <row r="145" spans="29:51" ht="30" customHeight="1" x14ac:dyDescent="0.3">
      <c r="AC145" s="53"/>
      <c r="AD145" s="53"/>
      <c r="AE145" s="53"/>
      <c r="AF145" s="53"/>
      <c r="AG145" s="53"/>
      <c r="AJ145"/>
      <c r="AK145" s="377"/>
      <c r="AL145" s="372" t="s">
        <v>304</v>
      </c>
      <c r="AM145" s="38"/>
      <c r="AN145" s="37"/>
      <c r="AO145" s="373"/>
      <c r="AP145" s="374"/>
      <c r="AQ145" s="378"/>
      <c r="AR145" s="374"/>
      <c r="AS145" s="378"/>
      <c r="AT145" s="374"/>
      <c r="AU145" s="360"/>
      <c r="AV145" s="361"/>
      <c r="AW145" s="364"/>
      <c r="AX145" s="365"/>
      <c r="AY145"/>
    </row>
    <row r="146" spans="29:51" ht="30" customHeight="1" x14ac:dyDescent="0.3">
      <c r="AC146" s="53"/>
      <c r="AD146" s="53"/>
      <c r="AE146" s="53"/>
      <c r="AF146" s="53"/>
      <c r="AG146" s="53"/>
      <c r="AJ146"/>
      <c r="AK146" s="377"/>
      <c r="AL146" s="372"/>
      <c r="AM146" s="39"/>
      <c r="AN146" s="37"/>
      <c r="AO146" s="380"/>
      <c r="AP146" s="381"/>
      <c r="AQ146" s="382"/>
      <c r="AR146" s="381"/>
      <c r="AS146" s="382"/>
      <c r="AT146" s="381"/>
      <c r="AU146" s="362"/>
      <c r="AV146" s="363"/>
      <c r="AW146" s="366"/>
      <c r="AX146" s="367"/>
      <c r="AY146"/>
    </row>
    <row r="147" spans="29:51" ht="14.4" x14ac:dyDescent="0.3">
      <c r="AC147" s="53"/>
      <c r="AD147" s="53"/>
      <c r="AE147" s="53"/>
      <c r="AF147" s="53"/>
      <c r="AG147" s="53"/>
      <c r="AJ147"/>
      <c r="AK147"/>
      <c r="AL147"/>
      <c r="AM147"/>
      <c r="AN147"/>
      <c r="AO147" s="40"/>
      <c r="AP147" s="40"/>
      <c r="AQ147" s="40"/>
      <c r="AR147" s="40"/>
      <c r="AS147" s="40"/>
      <c r="AT147" s="40"/>
      <c r="AU147" s="40"/>
      <c r="AV147" s="40"/>
      <c r="AW147" s="40"/>
      <c r="AX147" s="40"/>
      <c r="AY147"/>
    </row>
    <row r="148" spans="29:51" ht="14.4" x14ac:dyDescent="0.3">
      <c r="AC148" s="53"/>
      <c r="AD148" s="53"/>
      <c r="AE148" s="53"/>
      <c r="AF148" s="53"/>
      <c r="AG148" s="53"/>
      <c r="AJ148"/>
      <c r="AK148"/>
      <c r="AL148"/>
      <c r="AM148"/>
      <c r="AN148"/>
      <c r="AO148" s="41"/>
      <c r="AP148" s="42"/>
      <c r="AQ148" s="41"/>
      <c r="AR148" s="42"/>
      <c r="AS148" s="41"/>
      <c r="AT148" s="42"/>
      <c r="AU148" s="41"/>
      <c r="AV148" s="42"/>
      <c r="AW148" s="41"/>
      <c r="AX148" s="42"/>
      <c r="AY148"/>
    </row>
    <row r="149" spans="29:51" ht="14.4" x14ac:dyDescent="0.3">
      <c r="AC149" s="53"/>
      <c r="AD149" s="53"/>
      <c r="AE149" s="53"/>
      <c r="AF149" s="53"/>
      <c r="AG149" s="53"/>
      <c r="AJ149"/>
      <c r="AK149"/>
      <c r="AL149"/>
      <c r="AM149"/>
      <c r="AN149"/>
      <c r="AO149"/>
      <c r="AP149"/>
      <c r="AQ149"/>
      <c r="AR149"/>
      <c r="AS149"/>
      <c r="AT149"/>
      <c r="AU149"/>
      <c r="AV149"/>
      <c r="AW149"/>
      <c r="AX149"/>
      <c r="AY149"/>
    </row>
    <row r="150" spans="29:51" ht="14.4" x14ac:dyDescent="0.3">
      <c r="AC150" s="53"/>
      <c r="AD150" s="53"/>
      <c r="AE150" s="53"/>
      <c r="AF150" s="53"/>
      <c r="AG150" s="53"/>
      <c r="AJ150"/>
      <c r="AK150"/>
      <c r="AL150"/>
      <c r="AM150"/>
      <c r="AN150"/>
      <c r="AO150" s="359" t="s">
        <v>75</v>
      </c>
      <c r="AP150" s="359"/>
      <c r="AQ150" s="359" t="s">
        <v>78</v>
      </c>
      <c r="AR150" s="359"/>
      <c r="AS150" s="359" t="s">
        <v>305</v>
      </c>
      <c r="AT150" s="359"/>
      <c r="AU150" s="359" t="s">
        <v>76</v>
      </c>
      <c r="AV150" s="359"/>
      <c r="AW150" s="359" t="s">
        <v>119</v>
      </c>
      <c r="AX150" s="359"/>
      <c r="AY150"/>
    </row>
    <row r="151" spans="29:51" ht="14.4" x14ac:dyDescent="0.3">
      <c r="AC151" s="53"/>
      <c r="AD151" s="53"/>
      <c r="AE151" s="53"/>
      <c r="AF151" s="53"/>
      <c r="AG151" s="53"/>
      <c r="AJ151"/>
      <c r="AK151"/>
      <c r="AL151"/>
      <c r="AM151"/>
      <c r="AN151"/>
      <c r="AO151" s="359" t="s">
        <v>306</v>
      </c>
      <c r="AP151" s="359"/>
      <c r="AQ151" s="359" t="s">
        <v>307</v>
      </c>
      <c r="AR151" s="359"/>
      <c r="AS151" s="359" t="s">
        <v>308</v>
      </c>
      <c r="AT151" s="359"/>
      <c r="AU151" s="359" t="s">
        <v>309</v>
      </c>
      <c r="AV151" s="359"/>
      <c r="AW151" s="359" t="s">
        <v>310</v>
      </c>
      <c r="AX151" s="359"/>
      <c r="AY151"/>
    </row>
    <row r="152" spans="29:51" ht="14.4" x14ac:dyDescent="0.3">
      <c r="AC152" s="53"/>
      <c r="AD152" s="53"/>
      <c r="AE152" s="53"/>
      <c r="AF152" s="53"/>
      <c r="AG152" s="53"/>
      <c r="AJ152"/>
      <c r="AK152"/>
      <c r="AL152"/>
      <c r="AM152"/>
      <c r="AN152"/>
      <c r="AO152"/>
      <c r="AP152"/>
      <c r="AQ152"/>
      <c r="AR152"/>
      <c r="AS152"/>
      <c r="AT152"/>
      <c r="AU152"/>
      <c r="AV152"/>
      <c r="AW152"/>
      <c r="AX152"/>
      <c r="AY152"/>
    </row>
    <row r="153" spans="29:51" ht="14.4" x14ac:dyDescent="0.3">
      <c r="AC153" s="53"/>
      <c r="AD153" s="53"/>
      <c r="AE153" s="53"/>
      <c r="AF153" s="53"/>
      <c r="AG153" s="53"/>
      <c r="AJ153"/>
      <c r="AK153"/>
      <c r="AL153"/>
      <c r="AM153"/>
      <c r="AN153"/>
      <c r="AO153" s="358" t="s">
        <v>311</v>
      </c>
      <c r="AP153" s="358"/>
      <c r="AQ153" s="358"/>
      <c r="AR153" s="358"/>
      <c r="AS153" s="358"/>
      <c r="AT153" s="358"/>
      <c r="AU153" s="358"/>
      <c r="AV153" s="358"/>
      <c r="AW153" s="358"/>
      <c r="AX153" s="358"/>
      <c r="AY153"/>
    </row>
    <row r="154" spans="29:51" ht="14.4" x14ac:dyDescent="0.3">
      <c r="AC154" s="53"/>
      <c r="AD154" s="53"/>
      <c r="AE154" s="53"/>
      <c r="AF154" s="53"/>
      <c r="AG154" s="53"/>
      <c r="AJ154"/>
      <c r="AK154"/>
      <c r="AL154"/>
      <c r="AM154"/>
      <c r="AN154"/>
      <c r="AO154"/>
      <c r="AP154"/>
      <c r="AQ154"/>
      <c r="AR154"/>
      <c r="AS154"/>
      <c r="AT154"/>
      <c r="AU154"/>
      <c r="AV154"/>
      <c r="AW154"/>
      <c r="AX154"/>
      <c r="AY154"/>
    </row>
    <row r="155" spans="29:51" ht="14.4" x14ac:dyDescent="0.3">
      <c r="AC155" s="53"/>
      <c r="AD155" s="53"/>
      <c r="AE155" s="53"/>
      <c r="AF155" s="53"/>
      <c r="AG155" s="53"/>
      <c r="AJ155"/>
      <c r="AK155"/>
      <c r="AL155" s="32" t="s">
        <v>312</v>
      </c>
      <c r="AM155"/>
      <c r="AN155"/>
      <c r="AO155" s="356" t="s">
        <v>313</v>
      </c>
      <c r="AP155" s="356"/>
      <c r="AQ155" s="356" t="s">
        <v>314</v>
      </c>
      <c r="AR155" s="356"/>
      <c r="AS155" s="356" t="s">
        <v>315</v>
      </c>
      <c r="AT155" s="356"/>
      <c r="AU155" s="356" t="s">
        <v>316</v>
      </c>
      <c r="AV155" s="356"/>
      <c r="AW155" s="356" t="s">
        <v>317</v>
      </c>
      <c r="AX155" s="356"/>
      <c r="AY155"/>
    </row>
    <row r="156" spans="29:51" x14ac:dyDescent="0.25">
      <c r="AC156" s="53"/>
      <c r="AD156" s="53"/>
      <c r="AE156" s="53"/>
      <c r="AF156" s="53"/>
      <c r="AG156" s="53"/>
    </row>
    <row r="157" spans="29:51" x14ac:dyDescent="0.25">
      <c r="AC157" s="53"/>
      <c r="AD157" s="53"/>
      <c r="AE157" s="53"/>
      <c r="AF157" s="53"/>
      <c r="AG157" s="53"/>
    </row>
    <row r="158" spans="29:51" x14ac:dyDescent="0.25">
      <c r="AC158" s="53"/>
      <c r="AD158" s="53"/>
      <c r="AE158" s="53"/>
      <c r="AF158" s="53"/>
      <c r="AG158" s="53"/>
    </row>
    <row r="159" spans="29:51" x14ac:dyDescent="0.25">
      <c r="AC159" s="53"/>
      <c r="AD159" s="53"/>
      <c r="AE159" s="53"/>
      <c r="AF159" s="53"/>
      <c r="AG159" s="53"/>
    </row>
    <row r="160" spans="29:51" x14ac:dyDescent="0.25">
      <c r="AC160" s="53"/>
      <c r="AD160" s="53"/>
      <c r="AE160" s="53"/>
      <c r="AF160" s="53"/>
      <c r="AG160" s="53"/>
    </row>
    <row r="161" spans="29:33" x14ac:dyDescent="0.25">
      <c r="AC161" s="53"/>
      <c r="AD161" s="53"/>
      <c r="AE161" s="53"/>
      <c r="AF161" s="53"/>
      <c r="AG161" s="53"/>
    </row>
    <row r="162" spans="29:33" x14ac:dyDescent="0.25">
      <c r="AC162" s="53"/>
      <c r="AD162" s="53"/>
      <c r="AE162" s="53"/>
      <c r="AF162" s="53"/>
      <c r="AG162" s="53"/>
    </row>
    <row r="163" spans="29:33" x14ac:dyDescent="0.25">
      <c r="AC163" s="53"/>
      <c r="AD163" s="53"/>
      <c r="AE163" s="53"/>
      <c r="AF163" s="53"/>
      <c r="AG163" s="53"/>
    </row>
    <row r="164" spans="29:33" x14ac:dyDescent="0.25">
      <c r="AC164" s="53"/>
      <c r="AD164" s="53"/>
      <c r="AE164" s="53"/>
      <c r="AF164" s="53"/>
      <c r="AG164" s="53"/>
    </row>
    <row r="165" spans="29:33" x14ac:dyDescent="0.25">
      <c r="AC165" s="53"/>
      <c r="AD165" s="53"/>
      <c r="AE165" s="53"/>
      <c r="AF165" s="53"/>
      <c r="AG165" s="53"/>
    </row>
    <row r="166" spans="29:33" x14ac:dyDescent="0.25">
      <c r="AC166" s="53"/>
      <c r="AD166" s="53"/>
      <c r="AE166" s="53"/>
      <c r="AF166" s="53"/>
      <c r="AG166" s="53"/>
    </row>
    <row r="167" spans="29:33" x14ac:dyDescent="0.25">
      <c r="AC167" s="53"/>
      <c r="AD167" s="53"/>
      <c r="AE167" s="53"/>
      <c r="AF167" s="53"/>
      <c r="AG167" s="53"/>
    </row>
    <row r="168" spans="29:33" x14ac:dyDescent="0.25">
      <c r="AC168" s="53"/>
      <c r="AD168" s="53"/>
      <c r="AE168" s="53"/>
      <c r="AF168" s="53"/>
      <c r="AG168" s="53"/>
    </row>
    <row r="169" spans="29:33" x14ac:dyDescent="0.25">
      <c r="AC169" s="53"/>
      <c r="AD169" s="53"/>
      <c r="AE169" s="53"/>
      <c r="AF169" s="53"/>
      <c r="AG169" s="53"/>
    </row>
    <row r="170" spans="29:33" x14ac:dyDescent="0.25">
      <c r="AC170" s="53"/>
      <c r="AD170" s="53"/>
      <c r="AE170" s="53"/>
      <c r="AF170" s="53"/>
      <c r="AG170" s="53"/>
    </row>
    <row r="171" spans="29:33" x14ac:dyDescent="0.25">
      <c r="AC171" s="53"/>
      <c r="AD171" s="53"/>
      <c r="AE171" s="53"/>
      <c r="AF171" s="53"/>
      <c r="AG171" s="53"/>
    </row>
    <row r="172" spans="29:33" x14ac:dyDescent="0.25">
      <c r="AC172" s="53"/>
      <c r="AD172" s="53"/>
      <c r="AE172" s="53"/>
      <c r="AF172" s="53"/>
      <c r="AG172" s="53"/>
    </row>
    <row r="173" spans="29:33" x14ac:dyDescent="0.25">
      <c r="AC173" s="53"/>
      <c r="AD173" s="53"/>
      <c r="AE173" s="53"/>
      <c r="AF173" s="53"/>
      <c r="AG173" s="53"/>
    </row>
    <row r="174" spans="29:33" x14ac:dyDescent="0.25">
      <c r="AC174" s="53"/>
      <c r="AD174" s="53"/>
      <c r="AE174" s="53"/>
      <c r="AF174" s="53"/>
      <c r="AG174" s="53"/>
    </row>
    <row r="175" spans="29:33" x14ac:dyDescent="0.25">
      <c r="AC175" s="53"/>
      <c r="AD175" s="53"/>
      <c r="AE175" s="53"/>
      <c r="AF175" s="53"/>
      <c r="AG175" s="53"/>
    </row>
    <row r="176" spans="29:33" x14ac:dyDescent="0.25">
      <c r="AC176" s="53"/>
      <c r="AD176" s="53"/>
      <c r="AE176" s="53"/>
      <c r="AF176" s="53"/>
      <c r="AG176" s="53"/>
    </row>
    <row r="177" spans="29:33" x14ac:dyDescent="0.25">
      <c r="AC177" s="53"/>
      <c r="AD177" s="53"/>
      <c r="AE177" s="53"/>
      <c r="AF177" s="53"/>
      <c r="AG177" s="53"/>
    </row>
    <row r="178" spans="29:33" x14ac:dyDescent="0.25">
      <c r="AC178" s="53"/>
      <c r="AD178" s="53"/>
      <c r="AE178" s="53"/>
      <c r="AF178" s="53"/>
      <c r="AG178" s="53"/>
    </row>
    <row r="179" spans="29:33" x14ac:dyDescent="0.25">
      <c r="AC179" s="53"/>
      <c r="AD179" s="53"/>
      <c r="AE179" s="53"/>
      <c r="AF179" s="53"/>
      <c r="AG179" s="53"/>
    </row>
    <row r="180" spans="29:33" x14ac:dyDescent="0.25">
      <c r="AC180" s="53"/>
      <c r="AD180" s="53"/>
      <c r="AE180" s="53"/>
      <c r="AF180" s="53"/>
      <c r="AG180" s="53"/>
    </row>
    <row r="181" spans="29:33" x14ac:dyDescent="0.25">
      <c r="AC181" s="53"/>
      <c r="AD181" s="53"/>
      <c r="AE181" s="53"/>
      <c r="AF181" s="53"/>
      <c r="AG181" s="53"/>
    </row>
    <row r="182" spans="29:33" x14ac:dyDescent="0.25">
      <c r="AC182" s="53"/>
      <c r="AD182" s="53"/>
      <c r="AE182" s="53"/>
      <c r="AF182" s="53"/>
      <c r="AG182" s="53"/>
    </row>
    <row r="183" spans="29:33" x14ac:dyDescent="0.25">
      <c r="AC183" s="53"/>
      <c r="AD183" s="53"/>
      <c r="AE183" s="53"/>
      <c r="AF183" s="53"/>
      <c r="AG183" s="53"/>
    </row>
    <row r="184" spans="29:33" x14ac:dyDescent="0.25">
      <c r="AC184" s="53"/>
      <c r="AD184" s="53"/>
      <c r="AE184" s="53"/>
      <c r="AF184" s="53"/>
      <c r="AG184" s="53"/>
    </row>
    <row r="185" spans="29:33" x14ac:dyDescent="0.25">
      <c r="AC185" s="53"/>
      <c r="AD185" s="53"/>
      <c r="AE185" s="53"/>
      <c r="AF185" s="53"/>
      <c r="AG185" s="53"/>
    </row>
    <row r="186" spans="29:33" x14ac:dyDescent="0.25">
      <c r="AC186" s="53"/>
      <c r="AD186" s="53"/>
      <c r="AE186" s="53"/>
      <c r="AF186" s="53"/>
      <c r="AG186" s="53"/>
    </row>
    <row r="187" spans="29:33" x14ac:dyDescent="0.25">
      <c r="AC187" s="53"/>
      <c r="AD187" s="53"/>
      <c r="AE187" s="53"/>
      <c r="AF187" s="53"/>
      <c r="AG187" s="53"/>
    </row>
    <row r="188" spans="29:33" x14ac:dyDescent="0.25">
      <c r="AC188" s="53"/>
      <c r="AD188" s="53"/>
      <c r="AE188" s="53"/>
      <c r="AF188" s="53"/>
      <c r="AG188" s="53"/>
    </row>
    <row r="189" spans="29:33" x14ac:dyDescent="0.25">
      <c r="AC189" s="53"/>
      <c r="AD189" s="53"/>
      <c r="AE189" s="53"/>
      <c r="AF189" s="53"/>
      <c r="AG189" s="53"/>
    </row>
    <row r="190" spans="29:33" x14ac:dyDescent="0.25">
      <c r="AC190" s="53"/>
      <c r="AD190" s="53"/>
      <c r="AE190" s="53"/>
      <c r="AF190" s="53"/>
      <c r="AG190" s="53"/>
    </row>
    <row r="191" spans="29:33" x14ac:dyDescent="0.25">
      <c r="AC191" s="53"/>
      <c r="AD191" s="53"/>
      <c r="AE191" s="53"/>
      <c r="AF191" s="53"/>
      <c r="AG191" s="53"/>
    </row>
    <row r="192" spans="29:33" x14ac:dyDescent="0.25">
      <c r="AC192" s="53"/>
      <c r="AD192" s="53"/>
      <c r="AE192" s="53"/>
      <c r="AF192" s="53"/>
      <c r="AG192" s="53"/>
    </row>
    <row r="193" spans="29:33" x14ac:dyDescent="0.25">
      <c r="AC193" s="53"/>
      <c r="AD193" s="53"/>
      <c r="AE193" s="53"/>
      <c r="AF193" s="53"/>
      <c r="AG193" s="53"/>
    </row>
  </sheetData>
  <sortState xmlns:xlrd2="http://schemas.microsoft.com/office/spreadsheetml/2017/richdata2" columnSort="1" ref="Q59:U64">
    <sortCondition ref="Q59:U59"/>
  </sortState>
  <mergeCells count="54">
    <mergeCell ref="P67:R67"/>
    <mergeCell ref="Z15:AA15"/>
    <mergeCell ref="P3:P7"/>
    <mergeCell ref="R9:V9"/>
    <mergeCell ref="T10:U10"/>
    <mergeCell ref="P45:Q45"/>
    <mergeCell ref="AK137:AK146"/>
    <mergeCell ref="AL137:AL138"/>
    <mergeCell ref="AO137:AP138"/>
    <mergeCell ref="AQ137:AR138"/>
    <mergeCell ref="AS137:AT138"/>
    <mergeCell ref="AL141:AL142"/>
    <mergeCell ref="AO141:AP142"/>
    <mergeCell ref="AQ141:AR142"/>
    <mergeCell ref="AS141:AT142"/>
    <mergeCell ref="AL145:AL146"/>
    <mergeCell ref="AO145:AP146"/>
    <mergeCell ref="AQ145:AR146"/>
    <mergeCell ref="AS145:AT146"/>
    <mergeCell ref="AL143:AL144"/>
    <mergeCell ref="AO143:AP144"/>
    <mergeCell ref="AQ143:AR144"/>
    <mergeCell ref="AW143:AX144"/>
    <mergeCell ref="AL139:AL140"/>
    <mergeCell ref="AO139:AP140"/>
    <mergeCell ref="AQ139:AR140"/>
    <mergeCell ref="AS139:AT140"/>
    <mergeCell ref="AU139:AV140"/>
    <mergeCell ref="AU137:AV138"/>
    <mergeCell ref="AW137:AX138"/>
    <mergeCell ref="AW139:AX140"/>
    <mergeCell ref="AU141:AV142"/>
    <mergeCell ref="AW141:AX142"/>
    <mergeCell ref="O59:O65"/>
    <mergeCell ref="AO153:AX153"/>
    <mergeCell ref="AO151:AP151"/>
    <mergeCell ref="AQ151:AR151"/>
    <mergeCell ref="AS151:AT151"/>
    <mergeCell ref="AU151:AV151"/>
    <mergeCell ref="AW151:AX151"/>
    <mergeCell ref="AU145:AV146"/>
    <mergeCell ref="AW145:AX146"/>
    <mergeCell ref="AO150:AP150"/>
    <mergeCell ref="AQ150:AR150"/>
    <mergeCell ref="AS143:AT144"/>
    <mergeCell ref="AU143:AV144"/>
    <mergeCell ref="AS150:AT150"/>
    <mergeCell ref="AU150:AV150"/>
    <mergeCell ref="AW150:AX150"/>
    <mergeCell ref="AO155:AP155"/>
    <mergeCell ref="AQ155:AR155"/>
    <mergeCell ref="AS155:AT155"/>
    <mergeCell ref="AU155:AV155"/>
    <mergeCell ref="AW155:AX155"/>
  </mergeCells>
  <phoneticPr fontId="14" type="noConversion"/>
  <conditionalFormatting sqref="R3:V7">
    <cfRule type="cellIs" dxfId="738" priority="16" operator="equal">
      <formula>"X"</formula>
    </cfRule>
  </conditionalFormatting>
  <conditionalFormatting sqref="T6:U10">
    <cfRule type="cellIs" dxfId="737" priority="1" operator="equal">
      <formula>"Low"</formula>
    </cfRule>
    <cfRule type="cellIs" dxfId="736" priority="2" operator="equal">
      <formula>"Medium"</formula>
    </cfRule>
    <cfRule type="cellIs" dxfId="735" priority="3" operator="equal">
      <formula>"High"</formula>
    </cfRule>
  </conditionalFormatting>
  <conditionalFormatting sqref="V7">
    <cfRule type="cellIs" dxfId="734" priority="4" operator="equal">
      <formula>"Low"</formula>
    </cfRule>
    <cfRule type="cellIs" dxfId="733" priority="5" operator="equal">
      <formula>"Medium"</formula>
    </cfRule>
    <cfRule type="cellIs" dxfId="732" priority="6" operator="equal">
      <formula>"High"</formula>
    </cfRule>
  </conditionalFormatting>
  <dataValidations disablePrompts="1" count="1">
    <dataValidation type="list" allowBlank="1" showInputMessage="1" showErrorMessage="1" sqref="T10:U10" xr:uid="{390540FF-3348-4D36-8363-3B239CE4263B}">
      <formula1>RiskIndex</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CC2CB-F195-4F9D-A2CD-9238CD939D63}">
  <sheetPr codeName="Sheet8"/>
  <dimension ref="B2:L37"/>
  <sheetViews>
    <sheetView workbookViewId="0">
      <selection activeCell="J39" sqref="J39"/>
    </sheetView>
  </sheetViews>
  <sheetFormatPr defaultRowHeight="14.4" x14ac:dyDescent="0.3"/>
  <cols>
    <col min="2" max="2" width="18.109375" bestFit="1" customWidth="1"/>
    <col min="3" max="3" width="19" bestFit="1" customWidth="1"/>
    <col min="6" max="6" width="13.33203125" style="276" bestFit="1" customWidth="1"/>
    <col min="8" max="8" width="13.33203125" style="276" bestFit="1" customWidth="1"/>
    <col min="11" max="11" width="13.33203125" style="276" bestFit="1" customWidth="1"/>
  </cols>
  <sheetData>
    <row r="2" spans="2:12" x14ac:dyDescent="0.3">
      <c r="B2" t="s">
        <v>1930</v>
      </c>
      <c r="E2" t="s">
        <v>1931</v>
      </c>
      <c r="H2" s="276" t="s">
        <v>1932</v>
      </c>
      <c r="K2" s="276" t="s">
        <v>1933</v>
      </c>
    </row>
    <row r="4" spans="2:12" x14ac:dyDescent="0.3">
      <c r="B4" s="278" t="s">
        <v>1934</v>
      </c>
      <c r="C4" s="279" t="e">
        <f ca="1">_xll.SimulationMean( 'Risk-Based Cost Estimate'!$G$8 )</f>
        <v>#NAME?</v>
      </c>
      <c r="E4" t="s">
        <v>1935</v>
      </c>
      <c r="F4" s="276" t="s">
        <v>1788</v>
      </c>
      <c r="H4" s="276" t="s">
        <v>1936</v>
      </c>
      <c r="I4" t="s">
        <v>1937</v>
      </c>
      <c r="K4" s="276" t="s">
        <v>1788</v>
      </c>
      <c r="L4" t="s">
        <v>58</v>
      </c>
    </row>
    <row r="5" spans="2:12" x14ac:dyDescent="0.3">
      <c r="B5" t="s">
        <v>1938</v>
      </c>
      <c r="C5" t="e">
        <f ca="1">_xll.SimulationTrials()</f>
        <v>#NAME?</v>
      </c>
      <c r="E5" s="281">
        <v>0</v>
      </c>
      <c r="F5" s="276" t="e">
        <f ca="1">SimulationPercentile( 'Risk-Based Cost Estimate'!$G$8, E5 )</f>
        <v>#NAME?</v>
      </c>
      <c r="H5" s="276" t="e">
        <f ca="1">SimulationHistogramBinLabel( 'Risk-Based Cost Estimate'!$G$8, 21, 1, TRUE )</f>
        <v>#NAME?</v>
      </c>
      <c r="I5" s="282" t="e">
        <f ca="1">SimulationHistogramBin( 'Risk-Based Cost Estimate'!$G$8, 21, 1, TRUE )</f>
        <v>#NAME?</v>
      </c>
      <c r="K5" s="276" t="e">
        <f ca="1">_xll.SimulationHistogramBinLabel( 'Risk-Based Cost Estimate'!$G$8, 21, 1, TRUE )</f>
        <v>#NAME?</v>
      </c>
      <c r="L5" s="283" t="e">
        <f ca="1">_xll.SimulationHistogramBin( 'Risk-Based Cost Estimate'!$G$8, 21, 1, TRUE ) / _xll.SimulationTrials()</f>
        <v>#NAME?</v>
      </c>
    </row>
    <row r="6" spans="2:12" x14ac:dyDescent="0.3">
      <c r="B6" t="s">
        <v>1939</v>
      </c>
      <c r="C6" s="277" t="e">
        <f ca="1">_xll.SimulationStandardError( 'Risk-Based Cost Estimate'!$G$8 )</f>
        <v>#NAME?</v>
      </c>
      <c r="E6" s="281">
        <v>0.05</v>
      </c>
      <c r="F6" s="276" t="e">
        <f ca="1">_xll.SimulationPercentile( 'Risk-Based Cost Estimate'!$G$8, E6 )</f>
        <v>#NAME?</v>
      </c>
      <c r="H6" s="276" t="e">
        <f ca="1">_xll.SimulationHistogramBinLabel( 'Risk-Based Cost Estimate'!$G$8, 21, 2, TRUE )</f>
        <v>#NAME?</v>
      </c>
      <c r="I6" s="282" t="e">
        <f ca="1">_xll.SimulationHistogramBin( 'Risk-Based Cost Estimate'!$G$8, 21, 2, TRUE )</f>
        <v>#NAME?</v>
      </c>
      <c r="K6" s="276" t="e">
        <f ca="1">_xll.SimulationHistogramBinLabel( 'Risk-Based Cost Estimate'!$G$8, 21, 2, TRUE )</f>
        <v>#NAME?</v>
      </c>
      <c r="L6" s="283" t="e">
        <f ca="1">_xll.SimulationHistogramBin( 'Risk-Based Cost Estimate'!$G$8, 21, 2, TRUE ) / _xll.SimulationTrials()</f>
        <v>#NAME?</v>
      </c>
    </row>
    <row r="7" spans="2:12" x14ac:dyDescent="0.3">
      <c r="E7" s="281">
        <v>0.1</v>
      </c>
      <c r="F7" s="276" t="e">
        <f ca="1">_xll.SimulationPercentile( 'Risk-Based Cost Estimate'!$G$8, E7 )</f>
        <v>#NAME?</v>
      </c>
      <c r="H7" s="276" t="e">
        <f ca="1">_xll.SimulationHistogramBinLabel( 'Risk-Based Cost Estimate'!$G$8, 21, 3, TRUE )</f>
        <v>#NAME?</v>
      </c>
      <c r="I7" s="282" t="e">
        <f ca="1">_xll.SimulationHistogramBin( 'Risk-Based Cost Estimate'!$G$8, 21, 3, TRUE )</f>
        <v>#NAME?</v>
      </c>
      <c r="K7" s="276" t="e">
        <f ca="1">_xll.SimulationHistogramBinLabel( 'Risk-Based Cost Estimate'!$G$8, 21, 3, TRUE )</f>
        <v>#NAME?</v>
      </c>
      <c r="L7" s="283" t="e">
        <f ca="1">_xll.SimulationHistogramBin( 'Risk-Based Cost Estimate'!$G$8, 21, 3, TRUE ) / _xll.SimulationTrials()</f>
        <v>#NAME?</v>
      </c>
    </row>
    <row r="8" spans="2:12" x14ac:dyDescent="0.3">
      <c r="B8" t="s">
        <v>1940</v>
      </c>
      <c r="C8" s="277" t="e">
        <f ca="1">_xll.SimulationMin( 'Risk-Based Cost Estimate'!$G$8 )</f>
        <v>#NAME?</v>
      </c>
      <c r="E8" s="281">
        <v>0.15</v>
      </c>
      <c r="F8" s="276" t="e">
        <f ca="1">_xll.SimulationPercentile( 'Risk-Based Cost Estimate'!$G$8, E8 )</f>
        <v>#NAME?</v>
      </c>
      <c r="H8" s="276" t="e">
        <f ca="1">_xll.SimulationHistogramBinLabel( 'Risk-Based Cost Estimate'!$G$8, 21, 4, TRUE )</f>
        <v>#NAME?</v>
      </c>
      <c r="I8" s="282" t="e">
        <f ca="1">_xll.SimulationHistogramBin( 'Risk-Based Cost Estimate'!$G$8, 21, 4, TRUE )</f>
        <v>#NAME?</v>
      </c>
      <c r="K8" s="276" t="e">
        <f ca="1">_xll.SimulationHistogramBinLabel( 'Risk-Based Cost Estimate'!$G$8, 21, 4, TRUE )</f>
        <v>#NAME?</v>
      </c>
      <c r="L8" s="283" t="e">
        <f ca="1">_xll.SimulationHistogramBin( 'Risk-Based Cost Estimate'!$G$8, 21, 4, TRUE ) / _xll.SimulationTrials()</f>
        <v>#NAME?</v>
      </c>
    </row>
    <row r="9" spans="2:12" x14ac:dyDescent="0.3">
      <c r="B9" t="s">
        <v>1941</v>
      </c>
      <c r="C9" s="277" t="e">
        <f ca="1">_xll.SimulationMax( 'Risk-Based Cost Estimate'!$G$8 )</f>
        <v>#NAME?</v>
      </c>
      <c r="E9" s="281">
        <v>0.2</v>
      </c>
      <c r="F9" s="276" t="e">
        <f ca="1">_xll.SimulationPercentile( 'Risk-Based Cost Estimate'!$G$8, E9 )</f>
        <v>#NAME?</v>
      </c>
      <c r="H9" s="276" t="e">
        <f ca="1">_xll.SimulationHistogramBinLabel( 'Risk-Based Cost Estimate'!$G$8, 21, 5, TRUE )</f>
        <v>#NAME?</v>
      </c>
      <c r="I9" s="282" t="e">
        <f ca="1">_xll.SimulationHistogramBin( 'Risk-Based Cost Estimate'!$G$8, 21, 5, TRUE )</f>
        <v>#NAME?</v>
      </c>
      <c r="K9" s="276" t="e">
        <f ca="1">_xll.SimulationHistogramBinLabel( 'Risk-Based Cost Estimate'!$G$8, 21, 5, TRUE )</f>
        <v>#NAME?</v>
      </c>
      <c r="L9" s="283" t="e">
        <f ca="1">_xll.SimulationHistogramBin( 'Risk-Based Cost Estimate'!$G$8, 21, 5, TRUE ) / _xll.SimulationTrials()</f>
        <v>#NAME?</v>
      </c>
    </row>
    <row r="10" spans="2:12" x14ac:dyDescent="0.3">
      <c r="B10" t="s">
        <v>1942</v>
      </c>
      <c r="C10" s="277" t="e">
        <f ca="1">_xll.SimulationMedian( 'Risk-Based Cost Estimate'!$G$8 )</f>
        <v>#NAME?</v>
      </c>
      <c r="E10" s="281">
        <v>0.25</v>
      </c>
      <c r="F10" s="276" t="e">
        <f ca="1">_xll.SimulationPercentile( 'Risk-Based Cost Estimate'!$G$8, E10 )</f>
        <v>#NAME?</v>
      </c>
      <c r="H10" s="276" t="e">
        <f ca="1">_xll.SimulationHistogramBinLabel( 'Risk-Based Cost Estimate'!$G$8, 21, 6, TRUE )</f>
        <v>#NAME?</v>
      </c>
      <c r="I10" s="282" t="e">
        <f ca="1">_xll.SimulationHistogramBin( 'Risk-Based Cost Estimate'!$G$8, 21, 6, TRUE )</f>
        <v>#NAME?</v>
      </c>
      <c r="K10" s="276" t="e">
        <f ca="1">_xll.SimulationHistogramBinLabel( 'Risk-Based Cost Estimate'!$G$8, 21, 6, TRUE )</f>
        <v>#NAME?</v>
      </c>
      <c r="L10" s="283" t="e">
        <f ca="1">_xll.SimulationHistogramBin( 'Risk-Based Cost Estimate'!$G$8, 21, 6, TRUE ) / _xll.SimulationTrials()</f>
        <v>#NAME?</v>
      </c>
    </row>
    <row r="11" spans="2:12" x14ac:dyDescent="0.3">
      <c r="B11" t="s">
        <v>1943</v>
      </c>
      <c r="C11" s="277" t="e">
        <f ca="1">_xll.SimulationMax( 'Risk-Based Cost Estimate'!$G$8 ) - _xll.SimulationMin( 'Risk-Based Cost Estimate'!$G$8 )</f>
        <v>#NAME?</v>
      </c>
      <c r="E11" s="281">
        <v>0.3</v>
      </c>
      <c r="F11" s="276" t="e">
        <f ca="1">_xll.SimulationPercentile( 'Risk-Based Cost Estimate'!$G$8, E11 )</f>
        <v>#NAME?</v>
      </c>
      <c r="H11" s="276" t="e">
        <f ca="1">_xll.SimulationHistogramBinLabel( 'Risk-Based Cost Estimate'!$G$8, 21, 7, TRUE )</f>
        <v>#NAME?</v>
      </c>
      <c r="I11" s="282" t="e">
        <f ca="1">_xll.SimulationHistogramBin( 'Risk-Based Cost Estimate'!$G$8, 21, 7, TRUE )</f>
        <v>#NAME?</v>
      </c>
      <c r="K11" s="276" t="e">
        <f ca="1">_xll.SimulationHistogramBinLabel( 'Risk-Based Cost Estimate'!$G$8, 21, 7, TRUE )</f>
        <v>#NAME?</v>
      </c>
      <c r="L11" s="283" t="e">
        <f ca="1">_xll.SimulationHistogramBin( 'Risk-Based Cost Estimate'!$G$8, 21, 7, TRUE ) / _xll.SimulationTrials()</f>
        <v>#NAME?</v>
      </c>
    </row>
    <row r="12" spans="2:12" x14ac:dyDescent="0.3">
      <c r="E12" s="281">
        <v>0.35</v>
      </c>
      <c r="F12" s="276" t="e">
        <f ca="1">_xll.SimulationPercentile( 'Risk-Based Cost Estimate'!$G$8, E12 )</f>
        <v>#NAME?</v>
      </c>
      <c r="H12" s="276" t="e">
        <f ca="1">_xll.SimulationHistogramBinLabel( 'Risk-Based Cost Estimate'!$G$8, 21, 8, TRUE )</f>
        <v>#NAME?</v>
      </c>
      <c r="I12" s="282" t="e">
        <f ca="1">_xll.SimulationHistogramBin( 'Risk-Based Cost Estimate'!$G$8, 21, 8, TRUE )</f>
        <v>#NAME?</v>
      </c>
      <c r="K12" s="276" t="e">
        <f ca="1">_xll.SimulationHistogramBinLabel( 'Risk-Based Cost Estimate'!$G$8, 21, 8, TRUE )</f>
        <v>#NAME?</v>
      </c>
      <c r="L12" s="283" t="e">
        <f ca="1">_xll.SimulationHistogramBin( 'Risk-Based Cost Estimate'!$G$8, 21, 8, TRUE ) / _xll.SimulationTrials()</f>
        <v>#NAME?</v>
      </c>
    </row>
    <row r="13" spans="2:12" x14ac:dyDescent="0.3">
      <c r="B13" s="278" t="s">
        <v>1944</v>
      </c>
      <c r="C13" s="279" t="e">
        <f ca="1">_xll.SimulationStandardDeviation( 'Risk-Based Cost Estimate'!$G$8 )</f>
        <v>#NAME?</v>
      </c>
      <c r="E13" s="281">
        <v>0.4</v>
      </c>
      <c r="F13" s="276" t="e">
        <f ca="1">_xll.SimulationPercentile( 'Risk-Based Cost Estimate'!$G$8, E13 )</f>
        <v>#NAME?</v>
      </c>
      <c r="H13" s="276" t="e">
        <f ca="1">_xll.SimulationHistogramBinLabel( 'Risk-Based Cost Estimate'!$G$8, 21, 9, TRUE )</f>
        <v>#NAME?</v>
      </c>
      <c r="I13" s="282" t="e">
        <f ca="1">_xll.SimulationHistogramBin( 'Risk-Based Cost Estimate'!$G$8, 21, 9, TRUE )</f>
        <v>#NAME?</v>
      </c>
      <c r="K13" s="276" t="e">
        <f ca="1">_xll.SimulationHistogramBinLabel( 'Risk-Based Cost Estimate'!$G$8, 21, 9, TRUE )</f>
        <v>#NAME?</v>
      </c>
      <c r="L13" s="283" t="e">
        <f ca="1">_xll.SimulationHistogramBin( 'Risk-Based Cost Estimate'!$G$8, 21, 9, TRUE ) / _xll.SimulationTrials()</f>
        <v>#NAME?</v>
      </c>
    </row>
    <row r="14" spans="2:12" x14ac:dyDescent="0.3">
      <c r="B14" t="s">
        <v>1945</v>
      </c>
      <c r="C14" s="277" t="e">
        <f ca="1">_xll.SimulationVariance( 'Risk-Based Cost Estimate'!$G$8 )</f>
        <v>#NAME?</v>
      </c>
      <c r="E14" s="281">
        <v>0.45</v>
      </c>
      <c r="F14" s="276" t="e">
        <f ca="1">_xll.SimulationPercentile( 'Risk-Based Cost Estimate'!$G$8, E14 )</f>
        <v>#NAME?</v>
      </c>
      <c r="H14" s="276" t="e">
        <f ca="1">_xll.SimulationHistogramBinLabel( 'Risk-Based Cost Estimate'!$G$8, 21, 10, TRUE )</f>
        <v>#NAME?</v>
      </c>
      <c r="I14" s="282" t="e">
        <f ca="1">_xll.SimulationHistogramBin( 'Risk-Based Cost Estimate'!$G$8, 21, 10, TRUE )</f>
        <v>#NAME?</v>
      </c>
      <c r="K14" s="276" t="e">
        <f ca="1">_xll.SimulationHistogramBinLabel( 'Risk-Based Cost Estimate'!$G$8, 21, 10, TRUE )</f>
        <v>#NAME?</v>
      </c>
      <c r="L14" s="283" t="e">
        <f ca="1">_xll.SimulationHistogramBin( 'Risk-Based Cost Estimate'!$G$8, 21, 10, TRUE ) / _xll.SimulationTrials()</f>
        <v>#NAME?</v>
      </c>
    </row>
    <row r="15" spans="2:12" x14ac:dyDescent="0.3">
      <c r="E15" s="281">
        <v>0.5</v>
      </c>
      <c r="F15" s="276" t="e">
        <f ca="1">_xll.SimulationPercentile( 'Risk-Based Cost Estimate'!$G$8, E15 )</f>
        <v>#NAME?</v>
      </c>
      <c r="H15" s="276" t="e">
        <f ca="1">_xll.SimulationHistogramBinLabel( 'Risk-Based Cost Estimate'!$G$8, 21, 11, TRUE )</f>
        <v>#NAME?</v>
      </c>
      <c r="I15" s="282" t="e">
        <f ca="1">_xll.SimulationHistogramBin( 'Risk-Based Cost Estimate'!$G$8, 21, 11, TRUE )</f>
        <v>#NAME?</v>
      </c>
      <c r="K15" s="276" t="e">
        <f ca="1">_xll.SimulationHistogramBinLabel( 'Risk-Based Cost Estimate'!$G$8, 21, 11, TRUE )</f>
        <v>#NAME?</v>
      </c>
      <c r="L15" s="283" t="e">
        <f ca="1">_xll.SimulationHistogramBin( 'Risk-Based Cost Estimate'!$G$8, 21, 11, TRUE ) / _xll.SimulationTrials()</f>
        <v>#NAME?</v>
      </c>
    </row>
    <row r="16" spans="2:12" x14ac:dyDescent="0.3">
      <c r="B16" t="s">
        <v>1946</v>
      </c>
      <c r="C16" s="280" t="e">
        <f ca="1">_xll.SimulationSkewness( 'Risk-Based Cost Estimate'!$G$8 )</f>
        <v>#NAME?</v>
      </c>
      <c r="E16" s="281">
        <v>0.55000000000000004</v>
      </c>
      <c r="F16" s="276" t="e">
        <f ca="1">_xll.SimulationPercentile( 'Risk-Based Cost Estimate'!$G$8, E16 )</f>
        <v>#NAME?</v>
      </c>
      <c r="H16" s="276" t="e">
        <f ca="1">_xll.SimulationHistogramBinLabel( 'Risk-Based Cost Estimate'!$G$8, 21, 12, TRUE )</f>
        <v>#NAME?</v>
      </c>
      <c r="I16" s="282" t="e">
        <f ca="1">_xll.SimulationHistogramBin( 'Risk-Based Cost Estimate'!$G$8, 21, 12, TRUE )</f>
        <v>#NAME?</v>
      </c>
      <c r="K16" s="276" t="e">
        <f ca="1">_xll.SimulationHistogramBinLabel( 'Risk-Based Cost Estimate'!$G$8, 21, 12, TRUE )</f>
        <v>#NAME?</v>
      </c>
      <c r="L16" s="283" t="e">
        <f ca="1">_xll.SimulationHistogramBin( 'Risk-Based Cost Estimate'!$G$8, 21, 12, TRUE ) / _xll.SimulationTrials()</f>
        <v>#NAME?</v>
      </c>
    </row>
    <row r="17" spans="2:12" x14ac:dyDescent="0.3">
      <c r="B17" t="s">
        <v>1947</v>
      </c>
      <c r="C17" s="280" t="e">
        <f ca="1">_xll.SimulationKurtosis( 'Risk-Based Cost Estimate'!$G$8 )</f>
        <v>#NAME?</v>
      </c>
      <c r="E17" s="281">
        <v>0.6</v>
      </c>
      <c r="F17" s="276" t="e">
        <f ca="1">_xll.SimulationPercentile( 'Risk-Based Cost Estimate'!$G$8, E17 )</f>
        <v>#NAME?</v>
      </c>
      <c r="H17" s="276" t="e">
        <f ca="1">_xll.SimulationHistogramBinLabel( 'Risk-Based Cost Estimate'!$G$8, 21, 13, TRUE )</f>
        <v>#NAME?</v>
      </c>
      <c r="I17" s="282" t="e">
        <f ca="1">_xll.SimulationHistogramBin( 'Risk-Based Cost Estimate'!$G$8, 21, 13, TRUE )</f>
        <v>#NAME?</v>
      </c>
      <c r="K17" s="276" t="e">
        <f ca="1">_xll.SimulationHistogramBinLabel( 'Risk-Based Cost Estimate'!$G$8, 21, 13, TRUE )</f>
        <v>#NAME?</v>
      </c>
      <c r="L17" s="283" t="e">
        <f ca="1">_xll.SimulationHistogramBin( 'Risk-Based Cost Estimate'!$G$8, 21, 13, TRUE ) / _xll.SimulationTrials()</f>
        <v>#NAME?</v>
      </c>
    </row>
    <row r="18" spans="2:12" x14ac:dyDescent="0.3">
      <c r="E18" s="281">
        <v>0.65</v>
      </c>
      <c r="F18" s="276" t="e">
        <f ca="1">_xll.SimulationPercentile( 'Risk-Based Cost Estimate'!$G$8, E18 )</f>
        <v>#NAME?</v>
      </c>
      <c r="H18" s="276" t="e">
        <f ca="1">_xll.SimulationHistogramBinLabel( 'Risk-Based Cost Estimate'!$G$8, 21, 14, TRUE )</f>
        <v>#NAME?</v>
      </c>
      <c r="I18" s="282" t="e">
        <f ca="1">_xll.SimulationHistogramBin( 'Risk-Based Cost Estimate'!$G$8, 21, 14, TRUE )</f>
        <v>#NAME?</v>
      </c>
      <c r="K18" s="276" t="e">
        <f ca="1">_xll.SimulationHistogramBinLabel( 'Risk-Based Cost Estimate'!$G$8, 21, 14, TRUE )</f>
        <v>#NAME?</v>
      </c>
      <c r="L18" s="283" t="e">
        <f ca="1">_xll.SimulationHistogramBin( 'Risk-Based Cost Estimate'!$G$8, 21, 14, TRUE ) / _xll.SimulationTrials()</f>
        <v>#NAME?</v>
      </c>
    </row>
    <row r="19" spans="2:12" x14ac:dyDescent="0.3">
      <c r="E19" s="281">
        <v>0.7</v>
      </c>
      <c r="F19" s="276" t="e">
        <f ca="1">_xll.SimulationPercentile( 'Risk-Based Cost Estimate'!$G$8, E19 )</f>
        <v>#NAME?</v>
      </c>
      <c r="H19" s="276" t="e">
        <f ca="1">_xll.SimulationHistogramBinLabel( 'Risk-Based Cost Estimate'!$G$8, 21, 15, TRUE )</f>
        <v>#NAME?</v>
      </c>
      <c r="I19" s="282" t="e">
        <f ca="1">_xll.SimulationHistogramBin( 'Risk-Based Cost Estimate'!$G$8, 21, 15, TRUE )</f>
        <v>#NAME?</v>
      </c>
      <c r="K19" s="276" t="e">
        <f ca="1">_xll.SimulationHistogramBinLabel( 'Risk-Based Cost Estimate'!$G$8, 21, 15, TRUE )</f>
        <v>#NAME?</v>
      </c>
      <c r="L19" s="283" t="e">
        <f ca="1">_xll.SimulationHistogramBin( 'Risk-Based Cost Estimate'!$G$8, 21, 15, TRUE ) / _xll.SimulationTrials()</f>
        <v>#NAME?</v>
      </c>
    </row>
    <row r="20" spans="2:12" x14ac:dyDescent="0.3">
      <c r="E20" s="281">
        <v>0.75</v>
      </c>
      <c r="F20" s="276" t="e">
        <f ca="1">_xll.SimulationPercentile( 'Risk-Based Cost Estimate'!$G$8, E20 )</f>
        <v>#NAME?</v>
      </c>
      <c r="H20" s="276" t="e">
        <f ca="1">_xll.SimulationHistogramBinLabel( 'Risk-Based Cost Estimate'!$G$8, 21, 16, TRUE )</f>
        <v>#NAME?</v>
      </c>
      <c r="I20" s="282" t="e">
        <f ca="1">_xll.SimulationHistogramBin( 'Risk-Based Cost Estimate'!$G$8, 21, 16, TRUE )</f>
        <v>#NAME?</v>
      </c>
      <c r="K20" s="276" t="e">
        <f ca="1">_xll.SimulationHistogramBinLabel( 'Risk-Based Cost Estimate'!$G$8, 21, 16, TRUE )</f>
        <v>#NAME?</v>
      </c>
      <c r="L20" s="283" t="e">
        <f ca="1">_xll.SimulationHistogramBin( 'Risk-Based Cost Estimate'!$G$8, 21, 16, TRUE ) / _xll.SimulationTrials()</f>
        <v>#NAME?</v>
      </c>
    </row>
    <row r="21" spans="2:12" x14ac:dyDescent="0.3">
      <c r="E21" s="281">
        <v>0.8</v>
      </c>
      <c r="F21" s="276" t="e">
        <f ca="1">_xll.SimulationPercentile( 'Risk-Based Cost Estimate'!$G$8, E21 )</f>
        <v>#NAME?</v>
      </c>
      <c r="H21" s="276" t="e">
        <f ca="1">_xll.SimulationHistogramBinLabel( 'Risk-Based Cost Estimate'!$G$8, 21, 17, TRUE )</f>
        <v>#NAME?</v>
      </c>
      <c r="I21" s="282" t="e">
        <f ca="1">_xll.SimulationHistogramBin( 'Risk-Based Cost Estimate'!$G$8, 21, 17, TRUE )</f>
        <v>#NAME?</v>
      </c>
      <c r="K21" s="276" t="e">
        <f ca="1">_xll.SimulationHistogramBinLabel( 'Risk-Based Cost Estimate'!$G$8, 21, 17, TRUE )</f>
        <v>#NAME?</v>
      </c>
      <c r="L21" s="283" t="e">
        <f ca="1">_xll.SimulationHistogramBin( 'Risk-Based Cost Estimate'!$G$8, 21, 17, TRUE ) / _xll.SimulationTrials()</f>
        <v>#NAME?</v>
      </c>
    </row>
    <row r="22" spans="2:12" x14ac:dyDescent="0.3">
      <c r="E22" s="281">
        <v>0.85</v>
      </c>
      <c r="F22" s="276" t="e">
        <f ca="1">_xll.SimulationPercentile( 'Risk-Based Cost Estimate'!$G$8, E22 )</f>
        <v>#NAME?</v>
      </c>
      <c r="H22" s="276" t="e">
        <f ca="1">_xll.SimulationHistogramBinLabel( 'Risk-Based Cost Estimate'!$G$8, 21, 18, TRUE )</f>
        <v>#NAME?</v>
      </c>
      <c r="I22" s="282" t="e">
        <f ca="1">_xll.SimulationHistogramBin( 'Risk-Based Cost Estimate'!$G$8, 21, 18, TRUE )</f>
        <v>#NAME?</v>
      </c>
      <c r="K22" s="276" t="e">
        <f ca="1">_xll.SimulationHistogramBinLabel( 'Risk-Based Cost Estimate'!$G$8, 21, 18, TRUE )</f>
        <v>#NAME?</v>
      </c>
      <c r="L22" s="283" t="e">
        <f ca="1">_xll.SimulationHistogramBin( 'Risk-Based Cost Estimate'!$G$8, 21, 18, TRUE ) / _xll.SimulationTrials()</f>
        <v>#NAME?</v>
      </c>
    </row>
    <row r="23" spans="2:12" x14ac:dyDescent="0.3">
      <c r="E23" s="281">
        <v>0.9</v>
      </c>
      <c r="F23" s="276" t="e">
        <f ca="1">_xll.SimulationPercentile( 'Risk-Based Cost Estimate'!$G$8, E23 )</f>
        <v>#NAME?</v>
      </c>
      <c r="H23" s="276" t="e">
        <f ca="1">_xll.SimulationHistogramBinLabel( 'Risk-Based Cost Estimate'!$G$8, 21, 19, TRUE )</f>
        <v>#NAME?</v>
      </c>
      <c r="I23" s="282" t="e">
        <f ca="1">_xll.SimulationHistogramBin( 'Risk-Based Cost Estimate'!$G$8, 21, 19, TRUE )</f>
        <v>#NAME?</v>
      </c>
      <c r="K23" s="276" t="e">
        <f ca="1">_xll.SimulationHistogramBinLabel( 'Risk-Based Cost Estimate'!$G$8, 21, 19, TRUE )</f>
        <v>#NAME?</v>
      </c>
      <c r="L23" s="283" t="e">
        <f ca="1">_xll.SimulationHistogramBin( 'Risk-Based Cost Estimate'!$G$8, 21, 19, TRUE ) / _xll.SimulationTrials()</f>
        <v>#NAME?</v>
      </c>
    </row>
    <row r="24" spans="2:12" x14ac:dyDescent="0.3">
      <c r="E24" s="281">
        <v>0.95</v>
      </c>
      <c r="F24" s="276" t="e">
        <f ca="1">_xll.SimulationPercentile( 'Risk-Based Cost Estimate'!$G$8, E24 )</f>
        <v>#NAME?</v>
      </c>
      <c r="H24" s="276" t="e">
        <f ca="1">_xll.SimulationHistogramBinLabel( 'Risk-Based Cost Estimate'!$G$8, 21, 20, TRUE )</f>
        <v>#NAME?</v>
      </c>
      <c r="I24" s="282" t="e">
        <f ca="1">_xll.SimulationHistogramBin( 'Risk-Based Cost Estimate'!$G$8, 21, 20, TRUE )</f>
        <v>#NAME?</v>
      </c>
      <c r="K24" s="276" t="e">
        <f ca="1">_xll.SimulationHistogramBinLabel( 'Risk-Based Cost Estimate'!$G$8, 21, 20, TRUE )</f>
        <v>#NAME?</v>
      </c>
      <c r="L24" s="283" t="e">
        <f ca="1">_xll.SimulationHistogramBin( 'Risk-Based Cost Estimate'!$G$8, 21, 20, TRUE ) / _xll.SimulationTrials()</f>
        <v>#NAME?</v>
      </c>
    </row>
    <row r="25" spans="2:12" x14ac:dyDescent="0.3">
      <c r="E25" s="281">
        <v>1</v>
      </c>
      <c r="F25" s="276" t="e">
        <f ca="1">_xll.SimulationPercentile( 'Risk-Based Cost Estimate'!$G$8, E25 )</f>
        <v>#NAME?</v>
      </c>
      <c r="H25" s="276" t="e">
        <f ca="1">_xll.SimulationHistogramBinLabel( 'Risk-Based Cost Estimate'!$G$8, 21, 21, TRUE )</f>
        <v>#NAME?</v>
      </c>
      <c r="I25" s="282" t="e">
        <f ca="1">_xll.SimulationHistogramBin( 'Risk-Based Cost Estimate'!$G$8, 21, 21, TRUE )</f>
        <v>#NAME?</v>
      </c>
      <c r="K25" s="276" t="e">
        <f ca="1">_xll.SimulationHistogramBinLabel( 'Risk-Based Cost Estimate'!$G$8, 21, 21, TRUE )</f>
        <v>#NAME?</v>
      </c>
      <c r="L25" s="283" t="e">
        <f ca="1">_xll.SimulationHistogramBin( 'Risk-Based Cost Estimate'!$G$8, 21, 21, TRUE ) / _xll.SimulationTrials()</f>
        <v>#NAME?</v>
      </c>
    </row>
    <row r="37" spans="6:6" x14ac:dyDescent="0.3">
      <c r="F37" s="276">
        <v>2</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716D1-B5F2-465F-921E-CB3B9635EABF}">
  <sheetPr codeName="Sheet10"/>
  <dimension ref="C2:R103"/>
  <sheetViews>
    <sheetView topLeftCell="A38" zoomScale="85" zoomScaleNormal="85" workbookViewId="0">
      <selection activeCell="G73" sqref="G73"/>
    </sheetView>
  </sheetViews>
  <sheetFormatPr defaultColWidth="9.109375" defaultRowHeight="14.4" x14ac:dyDescent="0.3"/>
  <cols>
    <col min="1" max="2" width="9.109375" style="216"/>
    <col min="3" max="3" width="10.88671875" style="216" customWidth="1"/>
    <col min="4" max="4" width="13.88671875" style="216" customWidth="1"/>
    <col min="5" max="5" width="15.88671875" style="230" customWidth="1"/>
    <col min="6" max="6" width="20.109375" style="230" customWidth="1"/>
    <col min="7" max="7" width="60.33203125" style="230" customWidth="1"/>
    <col min="8" max="8" width="42.109375" style="230" customWidth="1"/>
    <col min="9" max="9" width="4.44140625" customWidth="1"/>
    <col min="10" max="10" width="14" style="231" customWidth="1"/>
    <col min="11" max="11" width="14" style="231" bestFit="1" customWidth="1"/>
    <col min="12" max="13" width="14" style="231" customWidth="1"/>
    <col min="14" max="14" width="5.44140625" style="231" customWidth="1"/>
    <col min="15" max="15" width="9.33203125" style="235" customWidth="1"/>
    <col min="16" max="18" width="9.33203125" style="217" customWidth="1"/>
    <col min="19" max="16384" width="9.109375" style="216"/>
  </cols>
  <sheetData>
    <row r="2" spans="3:18" x14ac:dyDescent="0.3">
      <c r="J2" s="541" t="s">
        <v>1948</v>
      </c>
      <c r="K2" s="541"/>
      <c r="L2" s="541"/>
      <c r="M2" s="541"/>
      <c r="O2" s="541" t="s">
        <v>1949</v>
      </c>
      <c r="P2" s="541"/>
      <c r="Q2" s="541"/>
      <c r="R2" s="541"/>
    </row>
    <row r="3" spans="3:18" x14ac:dyDescent="0.3">
      <c r="J3" s="235" t="s">
        <v>78</v>
      </c>
      <c r="K3" s="235" t="s">
        <v>1950</v>
      </c>
      <c r="L3" s="235" t="s">
        <v>76</v>
      </c>
      <c r="M3" s="235" t="s">
        <v>1951</v>
      </c>
      <c r="O3" s="235" t="s">
        <v>78</v>
      </c>
      <c r="P3" s="217" t="s">
        <v>1950</v>
      </c>
      <c r="Q3" s="217" t="s">
        <v>76</v>
      </c>
      <c r="R3" s="217" t="s">
        <v>1951</v>
      </c>
    </row>
    <row r="4" spans="3:18" ht="40.799999999999997" x14ac:dyDescent="0.3">
      <c r="C4" s="216" t="s">
        <v>647</v>
      </c>
      <c r="D4" s="216" t="s">
        <v>345</v>
      </c>
      <c r="E4" s="230" t="s">
        <v>727</v>
      </c>
      <c r="F4" s="230" t="s">
        <v>1080</v>
      </c>
      <c r="G4" s="230" t="s">
        <v>1952</v>
      </c>
      <c r="H4" s="230" t="s">
        <v>1953</v>
      </c>
      <c r="I4" s="216"/>
      <c r="J4" s="231">
        <f>K4*0.85</f>
        <v>4012000</v>
      </c>
      <c r="K4" s="231">
        <v>4720000</v>
      </c>
      <c r="L4" s="231">
        <f>K4*1.25</f>
        <v>5900000</v>
      </c>
      <c r="M4" s="231">
        <f>_xll.RtaBETAPERT(J4,K4,L4)</f>
        <v>5197427.340093419</v>
      </c>
      <c r="O4" s="235">
        <f>P4*0.7</f>
        <v>14</v>
      </c>
      <c r="P4" s="217">
        <v>20</v>
      </c>
      <c r="Q4" s="217">
        <f>P4*1.35</f>
        <v>27</v>
      </c>
      <c r="R4" s="236">
        <f>_xll.RtaBETAPERT(O4,P4,Q4)</f>
        <v>25.544999967457613</v>
      </c>
    </row>
    <row r="5" spans="3:18" ht="40.799999999999997" x14ac:dyDescent="0.3">
      <c r="C5" s="216" t="s">
        <v>647</v>
      </c>
      <c r="D5" s="216" t="s">
        <v>343</v>
      </c>
      <c r="E5" s="230" t="s">
        <v>451</v>
      </c>
      <c r="F5" s="230" t="s">
        <v>1353</v>
      </c>
      <c r="G5" s="230" t="s">
        <v>1954</v>
      </c>
      <c r="H5" s="230" t="s">
        <v>1955</v>
      </c>
      <c r="I5" s="216"/>
      <c r="J5" s="231">
        <f t="shared" ref="J5:J53" si="0">K5*0.7</f>
        <v>0</v>
      </c>
      <c r="K5" s="231">
        <v>0</v>
      </c>
      <c r="L5" s="231">
        <f t="shared" ref="L5:L53" si="1">K5*1.25</f>
        <v>0</v>
      </c>
      <c r="O5" s="235">
        <f t="shared" ref="O5:O53" si="2">P5*0.7</f>
        <v>0</v>
      </c>
      <c r="P5" s="217">
        <v>0</v>
      </c>
      <c r="Q5" s="217">
        <f t="shared" ref="Q5:Q53" si="3">P5*1.35</f>
        <v>0</v>
      </c>
      <c r="R5" s="236"/>
    </row>
    <row r="6" spans="3:18" ht="30.6" x14ac:dyDescent="0.3">
      <c r="C6" s="216" t="s">
        <v>646</v>
      </c>
      <c r="D6" s="216" t="s">
        <v>416</v>
      </c>
      <c r="E6" s="230" t="s">
        <v>668</v>
      </c>
      <c r="F6" s="230" t="s">
        <v>1494</v>
      </c>
      <c r="G6" s="230" t="s">
        <v>1956</v>
      </c>
      <c r="H6" s="230" t="s">
        <v>1957</v>
      </c>
      <c r="I6" s="216"/>
      <c r="J6" s="231">
        <f t="shared" si="0"/>
        <v>3528000</v>
      </c>
      <c r="K6" s="231">
        <v>5040000</v>
      </c>
      <c r="L6" s="231">
        <f t="shared" si="1"/>
        <v>6300000</v>
      </c>
      <c r="M6" s="231">
        <f>_xll.RtaBETAPERT(J6,K6,L6)</f>
        <v>5492902.0771184135</v>
      </c>
      <c r="O6" s="235">
        <f t="shared" si="2"/>
        <v>21</v>
      </c>
      <c r="P6" s="217">
        <v>30</v>
      </c>
      <c r="Q6" s="217">
        <f t="shared" si="3"/>
        <v>40.5</v>
      </c>
      <c r="R6" s="236">
        <f>_xll.RtaBETAPERT(O6,P6,Q6)</f>
        <v>27.531235970153357</v>
      </c>
    </row>
    <row r="7" spans="3:18" ht="40.799999999999997" x14ac:dyDescent="0.3">
      <c r="C7" s="216" t="s">
        <v>647</v>
      </c>
      <c r="D7" s="216" t="s">
        <v>416</v>
      </c>
      <c r="E7" s="230" t="s">
        <v>704</v>
      </c>
      <c r="F7" s="230" t="s">
        <v>1168</v>
      </c>
      <c r="G7" s="230" t="s">
        <v>1958</v>
      </c>
      <c r="H7" s="230" t="s">
        <v>1959</v>
      </c>
      <c r="I7" s="216"/>
      <c r="J7" s="231">
        <f t="shared" si="0"/>
        <v>42000000</v>
      </c>
      <c r="K7" s="231">
        <v>60000000</v>
      </c>
      <c r="L7" s="231">
        <f t="shared" si="1"/>
        <v>75000000</v>
      </c>
      <c r="M7" s="231">
        <f>_xll.RtaBETAPERT(J7,K7,L7)</f>
        <v>61015678.150019214</v>
      </c>
      <c r="O7" s="235">
        <f t="shared" si="2"/>
        <v>21</v>
      </c>
      <c r="P7" s="217">
        <v>30</v>
      </c>
      <c r="Q7" s="217">
        <f t="shared" si="3"/>
        <v>40.5</v>
      </c>
      <c r="R7" s="236">
        <f>_xll.RtaBETAPERT(O7,P7,Q7)</f>
        <v>28.579736139465606</v>
      </c>
    </row>
    <row r="8" spans="3:18" ht="30.6" x14ac:dyDescent="0.3">
      <c r="C8" s="216" t="s">
        <v>647</v>
      </c>
      <c r="D8" s="216" t="s">
        <v>416</v>
      </c>
      <c r="E8" s="230" t="s">
        <v>704</v>
      </c>
      <c r="F8" s="230" t="s">
        <v>1327</v>
      </c>
      <c r="G8" s="230" t="s">
        <v>1960</v>
      </c>
      <c r="H8" s="230" t="s">
        <v>1961</v>
      </c>
      <c r="I8" s="216"/>
      <c r="J8" s="231">
        <f t="shared" si="0"/>
        <v>350000000</v>
      </c>
      <c r="K8" s="231">
        <v>500000000</v>
      </c>
      <c r="L8" s="231">
        <f>K8*1.4</f>
        <v>700000000</v>
      </c>
      <c r="M8" s="231">
        <f>_xll.RtaBETAPERT(J8,K8,L8)</f>
        <v>464537637.49099642</v>
      </c>
      <c r="O8" s="235">
        <f t="shared" si="2"/>
        <v>70</v>
      </c>
      <c r="P8" s="217">
        <v>100</v>
      </c>
      <c r="Q8" s="217">
        <f t="shared" si="3"/>
        <v>135</v>
      </c>
      <c r="R8" s="236">
        <f>_xll.RtaBETAPERT(O8,P8,Q8)</f>
        <v>101.73708679169698</v>
      </c>
    </row>
    <row r="9" spans="3:18" ht="20.399999999999999" x14ac:dyDescent="0.3">
      <c r="C9" s="216" t="s">
        <v>647</v>
      </c>
      <c r="D9" s="216" t="s">
        <v>343</v>
      </c>
      <c r="E9" s="230" t="s">
        <v>745</v>
      </c>
      <c r="F9" s="230" t="s">
        <v>1011</v>
      </c>
      <c r="G9" s="230" t="s">
        <v>1962</v>
      </c>
      <c r="H9" s="230" t="s">
        <v>1963</v>
      </c>
      <c r="I9" s="216"/>
      <c r="J9" s="231">
        <f t="shared" si="0"/>
        <v>5947200</v>
      </c>
      <c r="K9" s="231">
        <v>8496000</v>
      </c>
      <c r="L9" s="231">
        <f t="shared" si="1"/>
        <v>10620000</v>
      </c>
      <c r="M9" s="231">
        <f>_xll.RtaBETAPERT(J9,K9,L9)</f>
        <v>9565411.9703686293</v>
      </c>
      <c r="O9" s="235">
        <f t="shared" si="2"/>
        <v>25.2</v>
      </c>
      <c r="P9" s="217">
        <v>36</v>
      </c>
      <c r="Q9" s="217">
        <f t="shared" si="3"/>
        <v>48.6</v>
      </c>
      <c r="R9" s="236">
        <f>_xll.RtaBETAPERT(O9,P9,Q9)</f>
        <v>35.005457296225806</v>
      </c>
    </row>
    <row r="10" spans="3:18" ht="30.6" x14ac:dyDescent="0.3">
      <c r="C10" s="216" t="s">
        <v>646</v>
      </c>
      <c r="D10" s="216" t="s">
        <v>347</v>
      </c>
      <c r="E10" s="230" t="s">
        <v>700</v>
      </c>
      <c r="F10" s="230" t="s">
        <v>1407</v>
      </c>
      <c r="G10" s="230" t="s">
        <v>1964</v>
      </c>
      <c r="H10" s="230" t="s">
        <v>1965</v>
      </c>
      <c r="I10" s="216"/>
      <c r="J10" s="231">
        <f t="shared" si="0"/>
        <v>0</v>
      </c>
      <c r="K10" s="231">
        <v>0</v>
      </c>
      <c r="L10" s="231">
        <f t="shared" si="1"/>
        <v>0</v>
      </c>
      <c r="O10" s="235">
        <f t="shared" si="2"/>
        <v>9.7999999999999989</v>
      </c>
      <c r="P10" s="217">
        <v>14</v>
      </c>
      <c r="Q10" s="217">
        <f t="shared" si="3"/>
        <v>18.900000000000002</v>
      </c>
      <c r="R10" s="236">
        <f>_xll.RtaBETAPERT(O10,P10,Q10)</f>
        <v>15.92410642888094</v>
      </c>
    </row>
    <row r="11" spans="3:18" ht="30.6" x14ac:dyDescent="0.3">
      <c r="C11" s="216" t="s">
        <v>647</v>
      </c>
      <c r="D11" s="216" t="s">
        <v>417</v>
      </c>
      <c r="E11" s="230" t="s">
        <v>622</v>
      </c>
      <c r="F11" s="230" t="s">
        <v>1343</v>
      </c>
      <c r="G11" s="230" t="s">
        <v>1966</v>
      </c>
      <c r="H11" s="230" t="s">
        <v>1967</v>
      </c>
      <c r="I11" s="216"/>
      <c r="J11" s="231">
        <f>K11*0.75</f>
        <v>267498603.86909428</v>
      </c>
      <c r="K11" s="231">
        <v>356664805.15879238</v>
      </c>
      <c r="L11" s="231">
        <f>K11*1.4</f>
        <v>499330727.22230929</v>
      </c>
      <c r="M11" s="231">
        <f>_xll.RtaBETAPERT(J11,K11,L11)</f>
        <v>347041247.35757625</v>
      </c>
      <c r="O11" s="235">
        <f t="shared" si="2"/>
        <v>0</v>
      </c>
      <c r="Q11" s="217">
        <f t="shared" si="3"/>
        <v>0</v>
      </c>
      <c r="R11" s="236"/>
    </row>
    <row r="12" spans="3:18" ht="30.6" x14ac:dyDescent="0.3">
      <c r="C12" s="216" t="s">
        <v>647</v>
      </c>
      <c r="D12" s="216" t="s">
        <v>420</v>
      </c>
      <c r="E12" s="230" t="s">
        <v>737</v>
      </c>
      <c r="F12" s="230" t="s">
        <v>1547</v>
      </c>
      <c r="G12" s="230" t="s">
        <v>1968</v>
      </c>
      <c r="H12" s="230" t="s">
        <v>1969</v>
      </c>
      <c r="I12" s="216"/>
      <c r="J12" s="231">
        <f t="shared" si="0"/>
        <v>7000000</v>
      </c>
      <c r="K12" s="231">
        <v>10000000</v>
      </c>
      <c r="L12" s="231">
        <f t="shared" si="1"/>
        <v>12500000</v>
      </c>
      <c r="M12" s="231">
        <f>_xll.RtaBETAPERT(J12,K12,L12)</f>
        <v>12180141.383853873</v>
      </c>
      <c r="O12" s="235">
        <f t="shared" si="2"/>
        <v>21</v>
      </c>
      <c r="P12" s="217">
        <v>30</v>
      </c>
      <c r="Q12" s="217">
        <f t="shared" si="3"/>
        <v>40.5</v>
      </c>
      <c r="R12" s="236">
        <f>_xll.RtaBETAPERT(O12,P12,Q12)</f>
        <v>37.662040599776901</v>
      </c>
    </row>
    <row r="13" spans="3:18" ht="30.6" x14ac:dyDescent="0.3">
      <c r="C13" s="216" t="s">
        <v>647</v>
      </c>
      <c r="D13" s="216" t="s">
        <v>417</v>
      </c>
      <c r="E13" s="230" t="s">
        <v>447</v>
      </c>
      <c r="F13" s="230" t="s">
        <v>1273</v>
      </c>
      <c r="G13" s="230" t="s">
        <v>1970</v>
      </c>
      <c r="H13" s="230" t="s">
        <v>1971</v>
      </c>
      <c r="I13" s="216"/>
      <c r="J13" s="231">
        <f>K13*0.75</f>
        <v>534997207.73818856</v>
      </c>
      <c r="K13" s="231">
        <v>713329610.31758475</v>
      </c>
      <c r="L13" s="231">
        <f>K13*1.5</f>
        <v>1069994415.4763771</v>
      </c>
      <c r="M13" s="231">
        <f>_xll.RtaBETAPERT(J13,K13,L13)</f>
        <v>792280910.77199721</v>
      </c>
      <c r="O13" s="235">
        <f t="shared" si="2"/>
        <v>0</v>
      </c>
      <c r="Q13" s="217">
        <f t="shared" si="3"/>
        <v>0</v>
      </c>
      <c r="R13" s="236"/>
    </row>
    <row r="14" spans="3:18" ht="30.6" x14ac:dyDescent="0.3">
      <c r="C14" s="216" t="s">
        <v>647</v>
      </c>
      <c r="D14" s="216" t="s">
        <v>418</v>
      </c>
      <c r="E14" s="230" t="s">
        <v>685</v>
      </c>
      <c r="F14" s="230" t="s">
        <v>978</v>
      </c>
      <c r="G14" s="230" t="s">
        <v>1972</v>
      </c>
      <c r="H14" s="230" t="s">
        <v>1973</v>
      </c>
      <c r="I14" s="216"/>
      <c r="J14" s="231">
        <f t="shared" si="0"/>
        <v>416108939.35192442</v>
      </c>
      <c r="K14" s="231">
        <v>594441341.93132067</v>
      </c>
      <c r="L14" s="231">
        <f>K14*1.35</f>
        <v>802495811.607283</v>
      </c>
      <c r="M14" s="231">
        <f>_xll.RtaBETAPERT(J14,K14,L14)</f>
        <v>557319124.96561646</v>
      </c>
      <c r="O14" s="235">
        <f t="shared" si="2"/>
        <v>0</v>
      </c>
      <c r="Q14" s="217">
        <f t="shared" si="3"/>
        <v>0</v>
      </c>
      <c r="R14" s="236"/>
    </row>
    <row r="15" spans="3:18" ht="30.6" x14ac:dyDescent="0.3">
      <c r="C15" s="216" t="s">
        <v>647</v>
      </c>
      <c r="D15" s="216" t="s">
        <v>345</v>
      </c>
      <c r="E15" s="230" t="s">
        <v>683</v>
      </c>
      <c r="F15" s="230" t="s">
        <v>1429</v>
      </c>
      <c r="G15" s="230" t="s">
        <v>1974</v>
      </c>
      <c r="H15" s="230" t="s">
        <v>1975</v>
      </c>
      <c r="I15" s="216"/>
      <c r="J15" s="231">
        <f t="shared" si="0"/>
        <v>1470000</v>
      </c>
      <c r="K15" s="231">
        <v>2100000</v>
      </c>
      <c r="L15" s="231">
        <f t="shared" si="1"/>
        <v>2625000</v>
      </c>
      <c r="M15" s="231">
        <f>_xll.RtaBETAPERT(J15,K15,L15)</f>
        <v>1931071.7124854322</v>
      </c>
      <c r="O15" s="235">
        <f t="shared" si="2"/>
        <v>9.7999999999999989</v>
      </c>
      <c r="P15" s="217">
        <v>14</v>
      </c>
      <c r="Q15" s="217">
        <f t="shared" si="3"/>
        <v>18.900000000000002</v>
      </c>
      <c r="R15" s="236">
        <f>_xll.RtaBETAPERT(O15,P15,Q15)</f>
        <v>13.988764718734302</v>
      </c>
    </row>
    <row r="16" spans="3:18" ht="20.399999999999999" x14ac:dyDescent="0.3">
      <c r="C16" s="216" t="s">
        <v>647</v>
      </c>
      <c r="D16" s="216" t="s">
        <v>343</v>
      </c>
      <c r="E16" s="230" t="s">
        <v>451</v>
      </c>
      <c r="F16" s="230" t="s">
        <v>1115</v>
      </c>
      <c r="G16" s="230" t="s">
        <v>1976</v>
      </c>
      <c r="H16" s="230" t="s">
        <v>1977</v>
      </c>
      <c r="I16" s="216"/>
      <c r="J16" s="231">
        <f t="shared" si="0"/>
        <v>16169999.999999998</v>
      </c>
      <c r="K16" s="231">
        <v>23100000</v>
      </c>
      <c r="L16" s="231">
        <f t="shared" si="1"/>
        <v>28875000</v>
      </c>
      <c r="M16" s="231">
        <f>_xll.RtaBETAPERT(J16,K16,L16)</f>
        <v>25956295.798265077</v>
      </c>
      <c r="O16" s="235">
        <f t="shared" si="2"/>
        <v>53.9</v>
      </c>
      <c r="P16" s="217">
        <v>77</v>
      </c>
      <c r="Q16" s="217">
        <f t="shared" si="3"/>
        <v>103.95</v>
      </c>
      <c r="R16" s="236">
        <f>_xll.RtaBETAPERT(O16,P16,Q16)</f>
        <v>81.860912385392623</v>
      </c>
    </row>
    <row r="17" spans="3:18" ht="30.6" x14ac:dyDescent="0.3">
      <c r="C17" s="216" t="s">
        <v>647</v>
      </c>
      <c r="D17" s="216" t="s">
        <v>343</v>
      </c>
      <c r="E17" s="230" t="s">
        <v>451</v>
      </c>
      <c r="F17" s="230" t="s">
        <v>1353</v>
      </c>
      <c r="G17" s="230" t="s">
        <v>1978</v>
      </c>
      <c r="H17" s="230" t="s">
        <v>1979</v>
      </c>
      <c r="I17" s="216"/>
      <c r="J17" s="231">
        <f t="shared" si="0"/>
        <v>0</v>
      </c>
      <c r="K17" s="231">
        <v>0</v>
      </c>
      <c r="L17" s="231">
        <f t="shared" si="1"/>
        <v>0</v>
      </c>
      <c r="O17" s="235">
        <f t="shared" si="2"/>
        <v>0</v>
      </c>
      <c r="Q17" s="217">
        <f t="shared" si="3"/>
        <v>0</v>
      </c>
      <c r="R17" s="236"/>
    </row>
    <row r="18" spans="3:18" ht="61.2" x14ac:dyDescent="0.3">
      <c r="C18" s="216" t="s">
        <v>647</v>
      </c>
      <c r="D18" s="216" t="s">
        <v>343</v>
      </c>
      <c r="E18" s="230" t="s">
        <v>451</v>
      </c>
      <c r="F18" s="230" t="s">
        <v>1292</v>
      </c>
      <c r="G18" s="230" t="s">
        <v>1980</v>
      </c>
      <c r="H18" s="230" t="s">
        <v>1981</v>
      </c>
      <c r="I18" s="216"/>
      <c r="J18" s="231">
        <f t="shared" si="0"/>
        <v>0</v>
      </c>
      <c r="K18" s="231">
        <v>0</v>
      </c>
      <c r="L18" s="231">
        <f t="shared" si="1"/>
        <v>0</v>
      </c>
      <c r="O18" s="235">
        <f t="shared" si="2"/>
        <v>0</v>
      </c>
      <c r="Q18" s="217">
        <f t="shared" si="3"/>
        <v>0</v>
      </c>
      <c r="R18" s="236"/>
    </row>
    <row r="19" spans="3:18" ht="20.399999999999999" x14ac:dyDescent="0.3">
      <c r="C19" s="216" t="s">
        <v>647</v>
      </c>
      <c r="D19" s="216" t="s">
        <v>343</v>
      </c>
      <c r="E19" s="230" t="s">
        <v>721</v>
      </c>
      <c r="F19" s="230" t="s">
        <v>1579</v>
      </c>
      <c r="G19" s="230" t="s">
        <v>1982</v>
      </c>
      <c r="H19" s="230" t="s">
        <v>1981</v>
      </c>
      <c r="I19" s="216"/>
      <c r="J19" s="231">
        <f t="shared" si="0"/>
        <v>0</v>
      </c>
      <c r="K19" s="231">
        <v>0</v>
      </c>
      <c r="L19" s="231">
        <f t="shared" si="1"/>
        <v>0</v>
      </c>
      <c r="O19" s="235">
        <f t="shared" si="2"/>
        <v>0</v>
      </c>
      <c r="Q19" s="217">
        <f t="shared" si="3"/>
        <v>0</v>
      </c>
      <c r="R19" s="236"/>
    </row>
    <row r="20" spans="3:18" ht="20.399999999999999" x14ac:dyDescent="0.3">
      <c r="C20" s="216" t="s">
        <v>646</v>
      </c>
      <c r="D20" s="216" t="s">
        <v>342</v>
      </c>
      <c r="E20" s="230" t="s">
        <v>701</v>
      </c>
      <c r="F20" s="230" t="s">
        <v>1632</v>
      </c>
      <c r="G20" s="230" t="s">
        <v>1983</v>
      </c>
      <c r="H20" s="230" t="s">
        <v>1984</v>
      </c>
      <c r="I20" s="216"/>
      <c r="J20" s="231">
        <f>K20*0.65</f>
        <v>1159160616.7660754</v>
      </c>
      <c r="K20" s="231">
        <v>1783324025.793962</v>
      </c>
      <c r="L20" s="231">
        <f>K20*1.5</f>
        <v>2674986038.6909428</v>
      </c>
      <c r="M20" s="231">
        <f>_xll.RtaBETAPERT(J20,K20,L20)</f>
        <v>1810222327.3825173</v>
      </c>
      <c r="O20" s="235">
        <f t="shared" si="2"/>
        <v>21</v>
      </c>
      <c r="P20" s="217">
        <v>30</v>
      </c>
      <c r="Q20" s="217">
        <f t="shared" si="3"/>
        <v>40.5</v>
      </c>
      <c r="R20" s="236">
        <f>_xll.RtaBETAPERT(O20,P20,Q20)</f>
        <v>31.764607289684498</v>
      </c>
    </row>
    <row r="21" spans="3:18" ht="20.399999999999999" x14ac:dyDescent="0.3">
      <c r="C21" s="216" t="s">
        <v>646</v>
      </c>
      <c r="D21" s="216" t="s">
        <v>342</v>
      </c>
      <c r="E21" s="230" t="s">
        <v>472</v>
      </c>
      <c r="F21" s="230" t="s">
        <v>1040</v>
      </c>
      <c r="G21" s="230" t="s">
        <v>1985</v>
      </c>
      <c r="H21" s="230" t="s">
        <v>1981</v>
      </c>
      <c r="I21" s="216"/>
      <c r="J21" s="231">
        <f t="shared" si="0"/>
        <v>0</v>
      </c>
      <c r="K21" s="231">
        <v>0</v>
      </c>
      <c r="L21" s="231">
        <f t="shared" si="1"/>
        <v>0</v>
      </c>
      <c r="O21" s="235">
        <f t="shared" si="2"/>
        <v>0</v>
      </c>
      <c r="Q21" s="217">
        <f t="shared" si="3"/>
        <v>0</v>
      </c>
      <c r="R21" s="236"/>
    </row>
    <row r="22" spans="3:18" ht="30.6" x14ac:dyDescent="0.3">
      <c r="C22" s="216" t="s">
        <v>647</v>
      </c>
      <c r="D22" s="216" t="s">
        <v>417</v>
      </c>
      <c r="E22" s="230" t="s">
        <v>451</v>
      </c>
      <c r="F22" s="230" t="s">
        <v>1292</v>
      </c>
      <c r="G22" s="230" t="s">
        <v>1986</v>
      </c>
      <c r="H22" s="230" t="s">
        <v>1981</v>
      </c>
      <c r="I22" s="216"/>
      <c r="J22" s="231">
        <f t="shared" si="0"/>
        <v>0</v>
      </c>
      <c r="K22" s="231">
        <v>0</v>
      </c>
      <c r="L22" s="231">
        <f t="shared" si="1"/>
        <v>0</v>
      </c>
      <c r="O22" s="235">
        <f t="shared" si="2"/>
        <v>0</v>
      </c>
      <c r="Q22" s="217">
        <f t="shared" si="3"/>
        <v>0</v>
      </c>
      <c r="R22" s="236"/>
    </row>
    <row r="23" spans="3:18" ht="30.6" x14ac:dyDescent="0.3">
      <c r="C23" s="216" t="s">
        <v>647</v>
      </c>
      <c r="D23" s="216" t="s">
        <v>418</v>
      </c>
      <c r="E23" s="230" t="s">
        <v>685</v>
      </c>
      <c r="F23" s="230" t="s">
        <v>978</v>
      </c>
      <c r="G23" s="230" t="s">
        <v>1987</v>
      </c>
      <c r="H23" s="230" t="s">
        <v>1981</v>
      </c>
      <c r="I23" s="216"/>
      <c r="J23" s="231">
        <f t="shared" si="0"/>
        <v>7000000</v>
      </c>
      <c r="K23" s="231">
        <v>10000000</v>
      </c>
      <c r="L23" s="231">
        <f t="shared" si="1"/>
        <v>12500000</v>
      </c>
      <c r="M23" s="231">
        <f>_xll.RtaBETAPERT(J23,K23,L23)</f>
        <v>8933900.4870411586</v>
      </c>
      <c r="O23" s="235">
        <f t="shared" si="2"/>
        <v>21</v>
      </c>
      <c r="P23" s="217">
        <v>30</v>
      </c>
      <c r="Q23" s="217">
        <f t="shared" si="3"/>
        <v>40.5</v>
      </c>
      <c r="R23" s="236">
        <f>_xll.RtaBETAPERT(O23,P23,Q23)</f>
        <v>32.065256380353439</v>
      </c>
    </row>
    <row r="24" spans="3:18" ht="20.399999999999999" x14ac:dyDescent="0.3">
      <c r="C24" s="216" t="s">
        <v>647</v>
      </c>
      <c r="D24" s="216" t="s">
        <v>343</v>
      </c>
      <c r="E24" s="230" t="s">
        <v>742</v>
      </c>
      <c r="F24" s="230" t="s">
        <v>1539</v>
      </c>
      <c r="G24" s="230" t="s">
        <v>1988</v>
      </c>
      <c r="H24" s="230" t="s">
        <v>1989</v>
      </c>
      <c r="I24" s="216"/>
      <c r="J24" s="231">
        <f t="shared" si="0"/>
        <v>0</v>
      </c>
      <c r="K24" s="231">
        <v>0</v>
      </c>
      <c r="L24" s="231">
        <f t="shared" si="1"/>
        <v>0</v>
      </c>
      <c r="O24" s="235">
        <f>P24*0.7</f>
        <v>0</v>
      </c>
      <c r="Q24" s="217">
        <f t="shared" si="3"/>
        <v>0</v>
      </c>
      <c r="R24" s="236"/>
    </row>
    <row r="25" spans="3:18" ht="20.399999999999999" x14ac:dyDescent="0.3">
      <c r="C25" s="216" t="s">
        <v>647</v>
      </c>
      <c r="D25" s="216" t="s">
        <v>343</v>
      </c>
      <c r="E25" s="230" t="s">
        <v>721</v>
      </c>
      <c r="F25" s="230" t="s">
        <v>1355</v>
      </c>
      <c r="G25" s="230" t="s">
        <v>1990</v>
      </c>
      <c r="H25" s="230" t="s">
        <v>1991</v>
      </c>
      <c r="I25" s="216"/>
      <c r="J25" s="231">
        <f t="shared" si="0"/>
        <v>1309000</v>
      </c>
      <c r="K25" s="231">
        <v>1870000</v>
      </c>
      <c r="L25" s="231">
        <f t="shared" si="1"/>
        <v>2337500</v>
      </c>
      <c r="M25" s="231">
        <f>_xll.RtaBETAPERT(J25,K25,L25)</f>
        <v>1959892.6399670995</v>
      </c>
      <c r="O25" s="235">
        <f t="shared" si="2"/>
        <v>7</v>
      </c>
      <c r="P25" s="217">
        <v>10</v>
      </c>
      <c r="Q25" s="217">
        <f t="shared" si="3"/>
        <v>13.5</v>
      </c>
      <c r="R25" s="236">
        <f>_xll.RtaBETAPERT(O25,P25,Q25)</f>
        <v>12.491878507219161</v>
      </c>
    </row>
    <row r="26" spans="3:18" ht="30.6" x14ac:dyDescent="0.3">
      <c r="C26" s="216" t="s">
        <v>646</v>
      </c>
      <c r="D26" s="216" t="s">
        <v>342</v>
      </c>
      <c r="E26" s="230" t="s">
        <v>441</v>
      </c>
      <c r="F26" s="230" t="s">
        <v>1446</v>
      </c>
      <c r="G26" s="230" t="s">
        <v>1992</v>
      </c>
      <c r="H26" s="230" t="s">
        <v>1993</v>
      </c>
      <c r="I26" s="216"/>
      <c r="J26" s="231">
        <f t="shared" si="0"/>
        <v>2310000</v>
      </c>
      <c r="K26" s="231">
        <v>3300000</v>
      </c>
      <c r="L26" s="231">
        <f t="shared" si="1"/>
        <v>4125000</v>
      </c>
      <c r="M26" s="231">
        <f>_xll.RtaBETAPERT(J26,K26,L26)</f>
        <v>2564423.5821132641</v>
      </c>
      <c r="O26" s="235">
        <f t="shared" si="2"/>
        <v>21</v>
      </c>
      <c r="P26" s="217">
        <v>30</v>
      </c>
      <c r="Q26" s="217">
        <f t="shared" si="3"/>
        <v>40.5</v>
      </c>
      <c r="R26" s="236">
        <f>_xll.RtaBETAPERT(O26,P26,Q26)</f>
        <v>26.460720011551473</v>
      </c>
    </row>
    <row r="27" spans="3:18" ht="20.399999999999999" x14ac:dyDescent="0.3">
      <c r="C27" s="216" t="s">
        <v>647</v>
      </c>
      <c r="D27" s="216" t="s">
        <v>343</v>
      </c>
      <c r="E27" s="230" t="s">
        <v>742</v>
      </c>
      <c r="F27" s="230" t="s">
        <v>1465</v>
      </c>
      <c r="G27" s="230" t="s">
        <v>1994</v>
      </c>
      <c r="H27" s="230" t="s">
        <v>1995</v>
      </c>
      <c r="I27" s="216"/>
      <c r="J27" s="231">
        <f>K27*0.78</f>
        <v>2178988830.9527545</v>
      </c>
      <c r="K27" s="231">
        <v>2793575424.2984033</v>
      </c>
      <c r="L27" s="231">
        <f>K27*1.35</f>
        <v>3771326822.8028445</v>
      </c>
      <c r="M27" s="231">
        <f>_xll.RtaBETAPERT(J27,K27,L27)</f>
        <v>3495157406.6300125</v>
      </c>
      <c r="O27" s="235">
        <f t="shared" si="2"/>
        <v>125.99999999999999</v>
      </c>
      <c r="P27" s="217">
        <v>180</v>
      </c>
      <c r="Q27" s="217">
        <f t="shared" si="3"/>
        <v>243.00000000000003</v>
      </c>
      <c r="R27" s="236">
        <f>_xll.RtaBETAPERT(O27,P27,Q27)</f>
        <v>177.77720419049666</v>
      </c>
    </row>
    <row r="28" spans="3:18" ht="30.6" x14ac:dyDescent="0.3">
      <c r="C28" s="216" t="s">
        <v>646</v>
      </c>
      <c r="D28" s="216" t="s">
        <v>342</v>
      </c>
      <c r="E28" s="230" t="s">
        <v>678</v>
      </c>
      <c r="F28" s="230" t="s">
        <v>927</v>
      </c>
      <c r="G28" s="230" t="s">
        <v>1996</v>
      </c>
      <c r="H28" s="230" t="s">
        <v>1997</v>
      </c>
      <c r="I28" s="216"/>
      <c r="J28" s="231">
        <f t="shared" si="0"/>
        <v>0</v>
      </c>
      <c r="K28" s="231">
        <v>0</v>
      </c>
      <c r="L28" s="231">
        <f t="shared" si="1"/>
        <v>0</v>
      </c>
      <c r="O28" s="235">
        <f t="shared" si="2"/>
        <v>0</v>
      </c>
      <c r="Q28" s="217">
        <f t="shared" si="3"/>
        <v>0</v>
      </c>
      <c r="R28" s="236"/>
    </row>
    <row r="29" spans="3:18" ht="30.6" x14ac:dyDescent="0.3">
      <c r="C29" s="216" t="s">
        <v>646</v>
      </c>
      <c r="D29" s="216" t="s">
        <v>342</v>
      </c>
      <c r="E29" s="230" t="s">
        <v>472</v>
      </c>
      <c r="F29" s="230" t="s">
        <v>1470</v>
      </c>
      <c r="G29" s="230" t="s">
        <v>1998</v>
      </c>
      <c r="H29" s="230" t="s">
        <v>1999</v>
      </c>
      <c r="I29" s="216"/>
      <c r="J29" s="231">
        <f t="shared" si="0"/>
        <v>0</v>
      </c>
      <c r="K29" s="231">
        <v>0</v>
      </c>
      <c r="L29" s="231">
        <f t="shared" si="1"/>
        <v>0</v>
      </c>
      <c r="O29" s="235">
        <f t="shared" si="2"/>
        <v>0</v>
      </c>
      <c r="Q29" s="217">
        <f t="shared" si="3"/>
        <v>0</v>
      </c>
      <c r="R29" s="236"/>
    </row>
    <row r="30" spans="3:18" ht="20.399999999999999" x14ac:dyDescent="0.3">
      <c r="C30" s="216" t="s">
        <v>647</v>
      </c>
      <c r="D30" s="216" t="s">
        <v>343</v>
      </c>
      <c r="E30" s="230" t="s">
        <v>451</v>
      </c>
      <c r="F30" s="230" t="s">
        <v>1292</v>
      </c>
      <c r="G30" s="230" t="s">
        <v>2000</v>
      </c>
      <c r="H30" s="230" t="s">
        <v>2001</v>
      </c>
      <c r="I30" s="216"/>
      <c r="J30" s="231">
        <f t="shared" si="0"/>
        <v>0</v>
      </c>
      <c r="K30" s="231">
        <v>0</v>
      </c>
      <c r="L30" s="231">
        <f t="shared" si="1"/>
        <v>0</v>
      </c>
      <c r="O30" s="235">
        <f t="shared" si="2"/>
        <v>0</v>
      </c>
      <c r="Q30" s="217">
        <f t="shared" si="3"/>
        <v>0</v>
      </c>
      <c r="R30" s="236"/>
    </row>
    <row r="31" spans="3:18" ht="30.6" x14ac:dyDescent="0.3">
      <c r="C31" s="216" t="s">
        <v>647</v>
      </c>
      <c r="D31" s="216" t="s">
        <v>343</v>
      </c>
      <c r="E31" s="230" t="s">
        <v>451</v>
      </c>
      <c r="F31" s="230" t="s">
        <v>1353</v>
      </c>
      <c r="G31" s="230" t="s">
        <v>2002</v>
      </c>
      <c r="H31" s="230" t="s">
        <v>2003</v>
      </c>
      <c r="I31" s="216"/>
      <c r="J31" s="231">
        <f t="shared" si="0"/>
        <v>0</v>
      </c>
      <c r="K31" s="231">
        <v>0</v>
      </c>
      <c r="L31" s="231">
        <f t="shared" si="1"/>
        <v>0</v>
      </c>
      <c r="O31" s="235">
        <f t="shared" si="2"/>
        <v>0</v>
      </c>
      <c r="Q31" s="217">
        <f t="shared" si="3"/>
        <v>0</v>
      </c>
      <c r="R31" s="236"/>
    </row>
    <row r="32" spans="3:18" ht="40.799999999999997" x14ac:dyDescent="0.3">
      <c r="C32" s="216" t="s">
        <v>647</v>
      </c>
      <c r="D32" s="216" t="s">
        <v>345</v>
      </c>
      <c r="E32" s="230" t="s">
        <v>727</v>
      </c>
      <c r="F32" s="230" t="s">
        <v>1080</v>
      </c>
      <c r="G32" s="230" t="s">
        <v>2004</v>
      </c>
      <c r="H32" s="230" t="s">
        <v>1953</v>
      </c>
      <c r="I32" s="216"/>
      <c r="J32" s="231">
        <f t="shared" si="0"/>
        <v>3304000</v>
      </c>
      <c r="K32" s="231">
        <v>4720000</v>
      </c>
      <c r="L32" s="231">
        <f t="shared" si="1"/>
        <v>5900000</v>
      </c>
      <c r="M32" s="231">
        <f>_xll.RtaBETAPERT(J32,K32,L32)</f>
        <v>4263145.6691875746</v>
      </c>
      <c r="O32" s="235">
        <f t="shared" si="2"/>
        <v>14</v>
      </c>
      <c r="P32" s="217">
        <v>20</v>
      </c>
      <c r="Q32" s="217">
        <f t="shared" si="3"/>
        <v>27</v>
      </c>
      <c r="R32" s="236">
        <f>_xll.RtaBETAPERT(O32,P32,Q32)</f>
        <v>19.679797310759668</v>
      </c>
    </row>
    <row r="33" spans="3:18" ht="40.799999999999997" x14ac:dyDescent="0.3">
      <c r="C33" s="216" t="s">
        <v>647</v>
      </c>
      <c r="D33" s="216" t="s">
        <v>345</v>
      </c>
      <c r="E33" s="230" t="s">
        <v>727</v>
      </c>
      <c r="F33" s="230" t="s">
        <v>1080</v>
      </c>
      <c r="G33" s="230" t="s">
        <v>2005</v>
      </c>
      <c r="H33" s="230" t="s">
        <v>1953</v>
      </c>
      <c r="I33" s="216"/>
      <c r="J33" s="231">
        <f t="shared" si="0"/>
        <v>3304000</v>
      </c>
      <c r="K33" s="231">
        <v>4720000</v>
      </c>
      <c r="L33" s="231">
        <f t="shared" si="1"/>
        <v>5900000</v>
      </c>
      <c r="M33" s="231">
        <f>_xll.RtaBETAPERT(J33,K33,L33)</f>
        <v>4197377.8088553529</v>
      </c>
      <c r="O33" s="235">
        <f t="shared" si="2"/>
        <v>14</v>
      </c>
      <c r="P33" s="217">
        <v>20</v>
      </c>
      <c r="Q33" s="217">
        <f t="shared" si="3"/>
        <v>27</v>
      </c>
      <c r="R33" s="236">
        <f>_xll.RtaBETAPERT(O33,P33,Q33)</f>
        <v>20.183921193019437</v>
      </c>
    </row>
    <row r="34" spans="3:18" ht="40.799999999999997" x14ac:dyDescent="0.3">
      <c r="C34" s="216" t="s">
        <v>647</v>
      </c>
      <c r="D34" s="216" t="s">
        <v>345</v>
      </c>
      <c r="E34" s="230" t="s">
        <v>727</v>
      </c>
      <c r="F34" s="230" t="s">
        <v>1080</v>
      </c>
      <c r="G34" s="230" t="s">
        <v>2006</v>
      </c>
      <c r="H34" s="230" t="s">
        <v>2007</v>
      </c>
      <c r="I34" s="216"/>
      <c r="J34" s="231">
        <f t="shared" si="0"/>
        <v>3304000</v>
      </c>
      <c r="K34" s="231">
        <v>4720000</v>
      </c>
      <c r="L34" s="231">
        <f t="shared" si="1"/>
        <v>5900000</v>
      </c>
      <c r="M34" s="231">
        <f>_xll.RtaBETAPERT(J34,K34,L34)</f>
        <v>4715909.4512220267</v>
      </c>
      <c r="O34" s="235">
        <f t="shared" si="2"/>
        <v>14</v>
      </c>
      <c r="P34" s="217">
        <v>20</v>
      </c>
      <c r="Q34" s="217">
        <f t="shared" si="3"/>
        <v>27</v>
      </c>
      <c r="R34" s="236">
        <f>_xll.RtaBETAPERT(O34,P34,Q34)</f>
        <v>18.056708070195235</v>
      </c>
    </row>
    <row r="35" spans="3:18" ht="30.6" x14ac:dyDescent="0.3">
      <c r="C35" s="216" t="s">
        <v>647</v>
      </c>
      <c r="D35" s="216" t="s">
        <v>416</v>
      </c>
      <c r="E35" s="230" t="s">
        <v>704</v>
      </c>
      <c r="F35" s="230" t="s">
        <v>1327</v>
      </c>
      <c r="G35" s="230" t="s">
        <v>2008</v>
      </c>
      <c r="H35" s="230" t="s">
        <v>2009</v>
      </c>
      <c r="I35" s="216"/>
      <c r="J35" s="231">
        <f t="shared" si="0"/>
        <v>489999999.99999994</v>
      </c>
      <c r="K35" s="231">
        <v>700000000</v>
      </c>
      <c r="L35" s="231">
        <f t="shared" si="1"/>
        <v>875000000</v>
      </c>
      <c r="M35" s="231">
        <f>_xll.RtaBETAPERT(J35,K35,L35)</f>
        <v>599274629.27768421</v>
      </c>
      <c r="O35" s="235">
        <f t="shared" si="2"/>
        <v>70</v>
      </c>
      <c r="P35" s="217">
        <v>100</v>
      </c>
      <c r="Q35" s="217">
        <f t="shared" si="3"/>
        <v>135</v>
      </c>
      <c r="R35" s="236">
        <f>_xll.RtaBETAPERT(O35,P35,Q35)</f>
        <v>92.230748528531805</v>
      </c>
    </row>
    <row r="36" spans="3:18" ht="40.799999999999997" x14ac:dyDescent="0.3">
      <c r="C36" s="216" t="s">
        <v>647</v>
      </c>
      <c r="D36" s="216" t="s">
        <v>420</v>
      </c>
      <c r="E36" s="230" t="s">
        <v>737</v>
      </c>
      <c r="F36" s="230" t="s">
        <v>1547</v>
      </c>
      <c r="G36" s="230" t="s">
        <v>2010</v>
      </c>
      <c r="H36" s="230" t="s">
        <v>2011</v>
      </c>
      <c r="I36" s="216"/>
      <c r="J36" s="231">
        <f t="shared" si="0"/>
        <v>7000000</v>
      </c>
      <c r="K36" s="231">
        <v>10000000</v>
      </c>
      <c r="L36" s="231">
        <f t="shared" si="1"/>
        <v>12500000</v>
      </c>
      <c r="M36" s="231">
        <f>_xll.RtaBETAPERT(J36,K36,L36)</f>
        <v>9439727.1833571605</v>
      </c>
      <c r="O36" s="235">
        <f t="shared" si="2"/>
        <v>42</v>
      </c>
      <c r="P36" s="217">
        <v>60</v>
      </c>
      <c r="Q36" s="217">
        <f t="shared" si="3"/>
        <v>81</v>
      </c>
      <c r="R36" s="236">
        <f>_xll.RtaBETAPERT(O36,P36,Q36)</f>
        <v>56.04676012418156</v>
      </c>
    </row>
    <row r="37" spans="3:18" ht="30.6" x14ac:dyDescent="0.3">
      <c r="C37" s="216" t="s">
        <v>647</v>
      </c>
      <c r="D37" s="216" t="s">
        <v>420</v>
      </c>
      <c r="E37" s="230" t="s">
        <v>737</v>
      </c>
      <c r="F37" s="230" t="s">
        <v>1547</v>
      </c>
      <c r="G37" s="230" t="s">
        <v>2012</v>
      </c>
      <c r="H37" s="230" t="s">
        <v>2011</v>
      </c>
      <c r="I37" s="216"/>
      <c r="J37" s="231">
        <f t="shared" si="0"/>
        <v>7000000</v>
      </c>
      <c r="K37" s="231">
        <v>10000000</v>
      </c>
      <c r="L37" s="231">
        <f t="shared" si="1"/>
        <v>12500000</v>
      </c>
      <c r="M37" s="231">
        <f>_xll.RtaBETAPERT(J37,K37,L37)</f>
        <v>11110043.619580891</v>
      </c>
      <c r="O37" s="235">
        <f>P37*0.7</f>
        <v>42</v>
      </c>
      <c r="P37" s="217">
        <v>60</v>
      </c>
      <c r="Q37" s="217">
        <f t="shared" si="3"/>
        <v>81</v>
      </c>
      <c r="R37" s="236">
        <f>_xll.RtaBETAPERT(O37,P37,Q37)</f>
        <v>61.540867390028382</v>
      </c>
    </row>
    <row r="38" spans="3:18" ht="30.6" x14ac:dyDescent="0.3">
      <c r="C38" s="216" t="s">
        <v>647</v>
      </c>
      <c r="D38" s="216" t="s">
        <v>420</v>
      </c>
      <c r="E38" s="230" t="s">
        <v>737</v>
      </c>
      <c r="F38" s="230" t="s">
        <v>1547</v>
      </c>
      <c r="G38" s="230" t="s">
        <v>2013</v>
      </c>
      <c r="H38" s="230" t="s">
        <v>2014</v>
      </c>
      <c r="I38" s="216"/>
      <c r="J38" s="231">
        <f t="shared" si="0"/>
        <v>7000000</v>
      </c>
      <c r="K38" s="231">
        <v>10000000</v>
      </c>
      <c r="L38" s="231">
        <f t="shared" si="1"/>
        <v>12500000</v>
      </c>
      <c r="M38" s="231">
        <f>_xll.RtaBETAPERT(J38,K38,L38)</f>
        <v>8719737.0516088996</v>
      </c>
      <c r="O38" s="235">
        <f t="shared" si="2"/>
        <v>42</v>
      </c>
      <c r="P38" s="217">
        <v>60</v>
      </c>
      <c r="Q38" s="217">
        <f t="shared" si="3"/>
        <v>81</v>
      </c>
      <c r="R38" s="236">
        <f>_xll.RtaBETAPERT(O38,P38,Q38)</f>
        <v>55.528746492696406</v>
      </c>
    </row>
    <row r="39" spans="3:18" ht="30.6" x14ac:dyDescent="0.3">
      <c r="C39" s="216" t="s">
        <v>647</v>
      </c>
      <c r="D39" s="216" t="s">
        <v>345</v>
      </c>
      <c r="E39" s="230" t="s">
        <v>683</v>
      </c>
      <c r="F39" s="230" t="s">
        <v>1429</v>
      </c>
      <c r="G39" s="230" t="s">
        <v>2015</v>
      </c>
      <c r="H39" s="230" t="s">
        <v>2016</v>
      </c>
      <c r="I39" s="216"/>
      <c r="J39" s="231">
        <f t="shared" si="0"/>
        <v>1470000</v>
      </c>
      <c r="K39" s="231">
        <v>2100000</v>
      </c>
      <c r="L39" s="231">
        <f t="shared" si="1"/>
        <v>2625000</v>
      </c>
      <c r="M39" s="231">
        <f>_xll.RtaBETAPERT(J39,K39,L39)</f>
        <v>2235657.0001790905</v>
      </c>
      <c r="O39" s="235">
        <f t="shared" si="2"/>
        <v>9.7999999999999989</v>
      </c>
      <c r="P39" s="217">
        <v>14</v>
      </c>
      <c r="Q39" s="217">
        <f t="shared" si="3"/>
        <v>18.900000000000002</v>
      </c>
      <c r="R39" s="236">
        <f>_xll.RtaBETAPERT(O39,P39,Q39)</f>
        <v>15.954633035035153</v>
      </c>
    </row>
    <row r="40" spans="3:18" ht="20.399999999999999" x14ac:dyDescent="0.3">
      <c r="C40" s="216" t="s">
        <v>647</v>
      </c>
      <c r="D40" s="216" t="s">
        <v>343</v>
      </c>
      <c r="E40" s="230" t="s">
        <v>721</v>
      </c>
      <c r="F40" s="230" t="s">
        <v>1355</v>
      </c>
      <c r="G40" s="230" t="s">
        <v>2017</v>
      </c>
      <c r="H40" s="230" t="s">
        <v>2018</v>
      </c>
      <c r="I40" s="216"/>
      <c r="J40" s="231">
        <f t="shared" si="0"/>
        <v>70000</v>
      </c>
      <c r="K40" s="231">
        <v>100000</v>
      </c>
      <c r="L40" s="231">
        <f t="shared" si="1"/>
        <v>125000</v>
      </c>
      <c r="M40" s="231">
        <f>_xll.RtaBETAPERT(J40,K40,L40)</f>
        <v>96457.825307969964</v>
      </c>
      <c r="O40" s="235">
        <f t="shared" si="2"/>
        <v>2.8</v>
      </c>
      <c r="P40" s="217">
        <v>4</v>
      </c>
      <c r="Q40" s="217">
        <f t="shared" si="3"/>
        <v>5.4</v>
      </c>
      <c r="R40" s="236">
        <f>_xll.RtaBETAPERT(O40,P40,Q40)</f>
        <v>4.7462823901823317</v>
      </c>
    </row>
    <row r="41" spans="3:18" ht="40.799999999999997" x14ac:dyDescent="0.3">
      <c r="C41" s="216" t="s">
        <v>647</v>
      </c>
      <c r="D41" s="216" t="s">
        <v>345</v>
      </c>
      <c r="E41" s="230" t="s">
        <v>727</v>
      </c>
      <c r="F41" s="230" t="s">
        <v>1080</v>
      </c>
      <c r="G41" s="230" t="s">
        <v>2019</v>
      </c>
      <c r="H41" s="230" t="s">
        <v>1953</v>
      </c>
      <c r="I41" s="216"/>
      <c r="J41" s="231">
        <f t="shared" si="0"/>
        <v>3304000</v>
      </c>
      <c r="K41" s="231">
        <v>4720000</v>
      </c>
      <c r="L41" s="231">
        <f t="shared" si="1"/>
        <v>5900000</v>
      </c>
      <c r="M41" s="231">
        <f>_xll.RtaBETAPERT(J41,K41,L41)</f>
        <v>5359310.1652638689</v>
      </c>
      <c r="O41" s="235">
        <f t="shared" si="2"/>
        <v>14</v>
      </c>
      <c r="P41" s="217">
        <v>20</v>
      </c>
      <c r="Q41" s="217">
        <f t="shared" si="3"/>
        <v>27</v>
      </c>
      <c r="R41" s="236">
        <f>_xll.RtaBETAPERT(O41,P41,Q41)</f>
        <v>20.434031003846751</v>
      </c>
    </row>
    <row r="42" spans="3:18" ht="20.399999999999999" x14ac:dyDescent="0.3">
      <c r="C42" s="216" t="s">
        <v>646</v>
      </c>
      <c r="D42" s="216" t="s">
        <v>342</v>
      </c>
      <c r="E42" s="230" t="s">
        <v>472</v>
      </c>
      <c r="F42" s="230" t="s">
        <v>1581</v>
      </c>
      <c r="G42" s="230" t="s">
        <v>2020</v>
      </c>
      <c r="H42" s="230" t="s">
        <v>1993</v>
      </c>
      <c r="I42" s="216"/>
      <c r="J42" s="231">
        <f t="shared" si="0"/>
        <v>0</v>
      </c>
      <c r="K42" s="231">
        <v>0</v>
      </c>
      <c r="L42" s="231">
        <f t="shared" si="1"/>
        <v>0</v>
      </c>
      <c r="O42" s="235">
        <f>P42*0.7</f>
        <v>0</v>
      </c>
      <c r="Q42" s="217">
        <f t="shared" si="3"/>
        <v>0</v>
      </c>
      <c r="R42" s="236"/>
    </row>
    <row r="43" spans="3:18" ht="30.6" x14ac:dyDescent="0.3">
      <c r="C43" s="216" t="s">
        <v>647</v>
      </c>
      <c r="D43" s="216" t="s">
        <v>420</v>
      </c>
      <c r="E43" s="230" t="s">
        <v>737</v>
      </c>
      <c r="F43" s="230" t="s">
        <v>1210</v>
      </c>
      <c r="G43" s="230" t="s">
        <v>2021</v>
      </c>
      <c r="H43" s="230" t="s">
        <v>1993</v>
      </c>
      <c r="I43" s="216"/>
      <c r="J43" s="231">
        <f>K43*0.79</f>
        <v>553000000</v>
      </c>
      <c r="K43" s="231">
        <v>700000000</v>
      </c>
      <c r="L43" s="231">
        <f t="shared" si="1"/>
        <v>875000000</v>
      </c>
      <c r="M43" s="231">
        <f>_xll.RtaBETAPERT(J43,K43,L43)</f>
        <v>633925047.92041171</v>
      </c>
      <c r="O43" s="235">
        <f t="shared" si="2"/>
        <v>255.49999999999997</v>
      </c>
      <c r="P43" s="217">
        <v>365</v>
      </c>
      <c r="Q43" s="217">
        <f t="shared" si="3"/>
        <v>492.75000000000006</v>
      </c>
      <c r="R43" s="236">
        <f>_xll.RtaBETAPERT(O43,P43,Q43)</f>
        <v>367.35880485487462</v>
      </c>
    </row>
    <row r="44" spans="3:18" ht="20.399999999999999" x14ac:dyDescent="0.3">
      <c r="C44" s="216" t="s">
        <v>647</v>
      </c>
      <c r="D44" s="216" t="s">
        <v>345</v>
      </c>
      <c r="E44" s="230" t="s">
        <v>727</v>
      </c>
      <c r="F44" s="230" t="s">
        <v>1392</v>
      </c>
      <c r="G44" s="230" t="s">
        <v>2022</v>
      </c>
      <c r="H44" s="230" t="s">
        <v>2023</v>
      </c>
      <c r="I44" s="216"/>
      <c r="J44" s="231">
        <f t="shared" si="0"/>
        <v>0</v>
      </c>
      <c r="K44" s="231">
        <v>0</v>
      </c>
      <c r="L44" s="231">
        <f t="shared" si="1"/>
        <v>0</v>
      </c>
      <c r="O44" s="235">
        <f t="shared" si="2"/>
        <v>0</v>
      </c>
      <c r="P44" s="217">
        <v>0</v>
      </c>
      <c r="Q44" s="217">
        <f t="shared" si="3"/>
        <v>0</v>
      </c>
      <c r="R44" s="236"/>
    </row>
    <row r="45" spans="3:18" ht="20.399999999999999" x14ac:dyDescent="0.3">
      <c r="C45" s="216" t="s">
        <v>647</v>
      </c>
      <c r="D45" s="216" t="s">
        <v>343</v>
      </c>
      <c r="E45" s="230" t="s">
        <v>698</v>
      </c>
      <c r="F45" s="230" t="s">
        <v>977</v>
      </c>
      <c r="G45" s="230" t="s">
        <v>2024</v>
      </c>
      <c r="H45" s="230" t="s">
        <v>1993</v>
      </c>
      <c r="I45" s="216"/>
      <c r="J45" s="231">
        <f t="shared" si="0"/>
        <v>0</v>
      </c>
      <c r="K45" s="231">
        <v>0</v>
      </c>
      <c r="L45" s="231">
        <f t="shared" si="1"/>
        <v>0</v>
      </c>
      <c r="O45" s="235">
        <f t="shared" si="2"/>
        <v>0</v>
      </c>
      <c r="Q45" s="217">
        <f t="shared" si="3"/>
        <v>0</v>
      </c>
      <c r="R45" s="236"/>
    </row>
    <row r="46" spans="3:18" ht="20.399999999999999" x14ac:dyDescent="0.3">
      <c r="C46" s="216" t="s">
        <v>646</v>
      </c>
      <c r="D46" s="216" t="s">
        <v>342</v>
      </c>
      <c r="E46" s="230" t="s">
        <v>441</v>
      </c>
      <c r="F46" s="230" t="s">
        <v>1446</v>
      </c>
      <c r="G46" s="230" t="s">
        <v>2025</v>
      </c>
      <c r="H46" s="230" t="s">
        <v>2026</v>
      </c>
      <c r="I46" s="216"/>
      <c r="J46" s="231">
        <f t="shared" si="0"/>
        <v>0</v>
      </c>
      <c r="K46" s="231">
        <v>0</v>
      </c>
      <c r="L46" s="231">
        <f t="shared" si="1"/>
        <v>0</v>
      </c>
      <c r="O46" s="235">
        <f t="shared" si="2"/>
        <v>0</v>
      </c>
      <c r="Q46" s="217">
        <f t="shared" si="3"/>
        <v>0</v>
      </c>
      <c r="R46" s="236"/>
    </row>
    <row r="47" spans="3:18" ht="30.6" x14ac:dyDescent="0.3">
      <c r="C47" s="216" t="s">
        <v>647</v>
      </c>
      <c r="D47" s="216" t="s">
        <v>420</v>
      </c>
      <c r="E47" s="230" t="s">
        <v>737</v>
      </c>
      <c r="F47" s="230" t="s">
        <v>1210</v>
      </c>
      <c r="G47" s="230" t="s">
        <v>2027</v>
      </c>
      <c r="H47" s="230" t="s">
        <v>1993</v>
      </c>
      <c r="I47" s="216"/>
      <c r="J47" s="231">
        <f t="shared" si="0"/>
        <v>0</v>
      </c>
      <c r="K47" s="231">
        <v>0</v>
      </c>
      <c r="L47" s="231">
        <f t="shared" si="1"/>
        <v>0</v>
      </c>
      <c r="O47" s="235">
        <f t="shared" si="2"/>
        <v>0</v>
      </c>
      <c r="Q47" s="217">
        <f t="shared" si="3"/>
        <v>0</v>
      </c>
      <c r="R47" s="236"/>
    </row>
    <row r="48" spans="3:18" ht="10.199999999999999" x14ac:dyDescent="0.3">
      <c r="C48" s="216" t="s">
        <v>647</v>
      </c>
      <c r="D48" s="216" t="s">
        <v>343</v>
      </c>
      <c r="E48" s="230" t="s">
        <v>674</v>
      </c>
      <c r="F48" s="230" t="s">
        <v>1116</v>
      </c>
      <c r="G48" s="230" t="s">
        <v>2028</v>
      </c>
      <c r="H48" s="230" t="s">
        <v>1993</v>
      </c>
      <c r="I48" s="216"/>
      <c r="J48" s="231">
        <f t="shared" si="0"/>
        <v>0</v>
      </c>
      <c r="K48" s="231">
        <v>0</v>
      </c>
      <c r="L48" s="231">
        <f t="shared" si="1"/>
        <v>0</v>
      </c>
      <c r="O48" s="235">
        <f t="shared" si="2"/>
        <v>0</v>
      </c>
      <c r="Q48" s="217">
        <f t="shared" si="3"/>
        <v>0</v>
      </c>
      <c r="R48" s="236"/>
    </row>
    <row r="49" spans="3:18" ht="30.6" x14ac:dyDescent="0.3">
      <c r="C49" s="216" t="s">
        <v>647</v>
      </c>
      <c r="D49" s="216" t="s">
        <v>343</v>
      </c>
      <c r="E49" s="230" t="s">
        <v>745</v>
      </c>
      <c r="F49" s="230" t="s">
        <v>1011</v>
      </c>
      <c r="G49" s="230" t="s">
        <v>2029</v>
      </c>
      <c r="H49" s="230" t="s">
        <v>1993</v>
      </c>
      <c r="I49" s="216"/>
      <c r="J49" s="231">
        <f t="shared" si="0"/>
        <v>0</v>
      </c>
      <c r="K49" s="231">
        <v>0</v>
      </c>
      <c r="L49" s="231">
        <f t="shared" si="1"/>
        <v>0</v>
      </c>
      <c r="O49" s="235">
        <f t="shared" si="2"/>
        <v>0</v>
      </c>
      <c r="Q49" s="217">
        <f t="shared" si="3"/>
        <v>0</v>
      </c>
      <c r="R49" s="236"/>
    </row>
    <row r="50" spans="3:18" ht="20.399999999999999" x14ac:dyDescent="0.3">
      <c r="C50" s="216" t="s">
        <v>647</v>
      </c>
      <c r="D50" s="216" t="s">
        <v>345</v>
      </c>
      <c r="E50" s="230" t="s">
        <v>727</v>
      </c>
      <c r="F50" s="230" t="s">
        <v>1392</v>
      </c>
      <c r="G50" s="230" t="s">
        <v>2030</v>
      </c>
      <c r="H50" s="230" t="s">
        <v>2023</v>
      </c>
      <c r="I50" s="216"/>
      <c r="J50" s="231">
        <f t="shared" si="0"/>
        <v>0</v>
      </c>
      <c r="K50" s="231">
        <v>0</v>
      </c>
      <c r="L50" s="231">
        <f t="shared" si="1"/>
        <v>0</v>
      </c>
      <c r="O50" s="235">
        <f t="shared" si="2"/>
        <v>0</v>
      </c>
      <c r="Q50" s="217">
        <f t="shared" si="3"/>
        <v>0</v>
      </c>
      <c r="R50" s="236"/>
    </row>
    <row r="51" spans="3:18" ht="20.399999999999999" x14ac:dyDescent="0.3">
      <c r="C51" s="216" t="s">
        <v>647</v>
      </c>
      <c r="D51" s="216" t="s">
        <v>345</v>
      </c>
      <c r="E51" s="230" t="s">
        <v>727</v>
      </c>
      <c r="F51" s="230" t="s">
        <v>1080</v>
      </c>
      <c r="G51" s="230" t="s">
        <v>2031</v>
      </c>
      <c r="H51" s="230" t="s">
        <v>1993</v>
      </c>
      <c r="I51" s="216"/>
      <c r="J51" s="231">
        <f t="shared" si="0"/>
        <v>0</v>
      </c>
      <c r="K51" s="231">
        <v>0</v>
      </c>
      <c r="L51" s="231">
        <f t="shared" si="1"/>
        <v>0</v>
      </c>
      <c r="O51" s="235">
        <f t="shared" si="2"/>
        <v>0</v>
      </c>
      <c r="Q51" s="217">
        <f t="shared" si="3"/>
        <v>0</v>
      </c>
      <c r="R51" s="236"/>
    </row>
    <row r="52" spans="3:18" ht="20.399999999999999" x14ac:dyDescent="0.3">
      <c r="C52" s="216" t="s">
        <v>647</v>
      </c>
      <c r="D52" s="216" t="s">
        <v>345</v>
      </c>
      <c r="E52" s="230" t="s">
        <v>727</v>
      </c>
      <c r="F52" s="230" t="s">
        <v>1080</v>
      </c>
      <c r="G52" s="230" t="s">
        <v>2032</v>
      </c>
      <c r="H52" s="230" t="s">
        <v>1993</v>
      </c>
      <c r="I52" s="216"/>
      <c r="J52" s="231">
        <f t="shared" si="0"/>
        <v>0</v>
      </c>
      <c r="K52" s="231">
        <v>0</v>
      </c>
      <c r="L52" s="231">
        <f t="shared" si="1"/>
        <v>0</v>
      </c>
      <c r="O52" s="235">
        <f t="shared" si="2"/>
        <v>14</v>
      </c>
      <c r="P52" s="217">
        <v>20</v>
      </c>
      <c r="Q52" s="217">
        <f t="shared" si="3"/>
        <v>27</v>
      </c>
      <c r="R52" s="236">
        <f>_xll.RtaBETAPERT(O52,P52,Q52)</f>
        <v>22.049443527386295</v>
      </c>
    </row>
    <row r="53" spans="3:18" ht="30.6" x14ac:dyDescent="0.3">
      <c r="C53" s="216" t="s">
        <v>646</v>
      </c>
      <c r="D53" s="216" t="s">
        <v>342</v>
      </c>
      <c r="E53" s="230" t="s">
        <v>712</v>
      </c>
      <c r="F53" s="230" t="s">
        <v>1581</v>
      </c>
      <c r="G53" s="230" t="s">
        <v>2033</v>
      </c>
      <c r="H53" s="230" t="s">
        <v>1993</v>
      </c>
      <c r="I53" s="216"/>
      <c r="J53" s="231">
        <f t="shared" si="0"/>
        <v>0</v>
      </c>
      <c r="K53" s="231">
        <v>0</v>
      </c>
      <c r="L53" s="231">
        <f t="shared" si="1"/>
        <v>0</v>
      </c>
      <c r="O53" s="235">
        <f t="shared" si="2"/>
        <v>21</v>
      </c>
      <c r="P53" s="217">
        <v>30</v>
      </c>
      <c r="Q53" s="217">
        <f t="shared" si="3"/>
        <v>40.5</v>
      </c>
      <c r="R53" s="236">
        <f>_xll.RtaBETAPERT(O53,P53,Q53)</f>
        <v>31.66391059971075</v>
      </c>
    </row>
    <row r="54" spans="3:18" ht="10.199999999999999" x14ac:dyDescent="0.3">
      <c r="I54" s="216"/>
      <c r="L54" s="218" t="s">
        <v>2034</v>
      </c>
      <c r="M54" s="231">
        <f>_xll.RtaRESULT(SUM(M4:M53),L54)</f>
        <v>8884692842.7127018</v>
      </c>
      <c r="Q54" s="218" t="s">
        <v>2035</v>
      </c>
      <c r="R54" s="235">
        <f>_xll.RtaRESULT(SUM(R4:R53))</f>
        <v>1433.8686611975374</v>
      </c>
    </row>
    <row r="55" spans="3:18" ht="10.199999999999999" x14ac:dyDescent="0.3">
      <c r="I55" s="216"/>
      <c r="K55" s="231">
        <v>0</v>
      </c>
    </row>
    <row r="56" spans="3:18" ht="10.199999999999999" x14ac:dyDescent="0.3">
      <c r="I56" s="216"/>
      <c r="K56" s="231">
        <v>0</v>
      </c>
    </row>
    <row r="57" spans="3:18" ht="10.199999999999999" x14ac:dyDescent="0.3">
      <c r="I57" s="216"/>
      <c r="K57" s="231">
        <v>0</v>
      </c>
    </row>
    <row r="58" spans="3:18" ht="10.199999999999999" x14ac:dyDescent="0.3">
      <c r="I58" s="216"/>
      <c r="K58" s="231">
        <v>0</v>
      </c>
    </row>
    <row r="59" spans="3:18" ht="10.199999999999999" x14ac:dyDescent="0.3">
      <c r="I59" s="216"/>
      <c r="K59" s="231">
        <v>0</v>
      </c>
    </row>
    <row r="60" spans="3:18" ht="10.199999999999999" x14ac:dyDescent="0.3">
      <c r="I60" s="216"/>
      <c r="K60" s="231">
        <v>0</v>
      </c>
    </row>
    <row r="61" spans="3:18" ht="10.199999999999999" x14ac:dyDescent="0.3">
      <c r="I61" s="216"/>
      <c r="K61" s="231">
        <v>0</v>
      </c>
    </row>
    <row r="62" spans="3:18" ht="10.199999999999999" x14ac:dyDescent="0.3">
      <c r="I62" s="216"/>
      <c r="K62" s="231">
        <v>0</v>
      </c>
    </row>
    <row r="63" spans="3:18" ht="10.199999999999999" x14ac:dyDescent="0.3">
      <c r="I63" s="216"/>
      <c r="K63" s="231">
        <v>0</v>
      </c>
    </row>
    <row r="64" spans="3:18" ht="10.199999999999999" x14ac:dyDescent="0.3">
      <c r="I64" s="216"/>
      <c r="K64" s="231">
        <v>0</v>
      </c>
    </row>
    <row r="65" spans="9:11" ht="10.199999999999999" x14ac:dyDescent="0.3">
      <c r="I65" s="216"/>
      <c r="K65" s="231">
        <v>0</v>
      </c>
    </row>
    <row r="66" spans="9:11" ht="10.199999999999999" x14ac:dyDescent="0.3">
      <c r="I66" s="216"/>
      <c r="K66" s="231">
        <v>0</v>
      </c>
    </row>
    <row r="67" spans="9:11" ht="10.199999999999999" x14ac:dyDescent="0.3">
      <c r="I67" s="216"/>
      <c r="K67" s="231">
        <v>0</v>
      </c>
    </row>
    <row r="68" spans="9:11" ht="10.199999999999999" x14ac:dyDescent="0.3">
      <c r="I68" s="216"/>
      <c r="K68" s="231">
        <v>0</v>
      </c>
    </row>
    <row r="69" spans="9:11" ht="10.199999999999999" x14ac:dyDescent="0.3">
      <c r="I69" s="216"/>
      <c r="K69" s="231">
        <v>0</v>
      </c>
    </row>
    <row r="70" spans="9:11" ht="10.199999999999999" x14ac:dyDescent="0.3">
      <c r="I70" s="216"/>
      <c r="K70" s="231">
        <v>0</v>
      </c>
    </row>
    <row r="71" spans="9:11" ht="10.199999999999999" x14ac:dyDescent="0.3">
      <c r="I71" s="216"/>
      <c r="K71" s="231">
        <v>0</v>
      </c>
    </row>
    <row r="72" spans="9:11" ht="10.199999999999999" x14ac:dyDescent="0.3">
      <c r="I72" s="216"/>
      <c r="K72" s="231">
        <v>0</v>
      </c>
    </row>
    <row r="73" spans="9:11" ht="10.199999999999999" x14ac:dyDescent="0.3">
      <c r="I73" s="216"/>
      <c r="K73" s="231">
        <v>0</v>
      </c>
    </row>
    <row r="74" spans="9:11" ht="10.199999999999999" x14ac:dyDescent="0.3">
      <c r="I74" s="216"/>
      <c r="K74" s="231">
        <v>0</v>
      </c>
    </row>
    <row r="75" spans="9:11" ht="10.199999999999999" x14ac:dyDescent="0.3">
      <c r="I75" s="216"/>
      <c r="K75" s="231">
        <v>0</v>
      </c>
    </row>
    <row r="76" spans="9:11" ht="10.199999999999999" x14ac:dyDescent="0.3">
      <c r="I76" s="216"/>
      <c r="K76" s="231">
        <v>0</v>
      </c>
    </row>
    <row r="77" spans="9:11" ht="10.199999999999999" x14ac:dyDescent="0.3">
      <c r="I77" s="216"/>
      <c r="K77" s="231">
        <v>0</v>
      </c>
    </row>
    <row r="78" spans="9:11" ht="10.199999999999999" x14ac:dyDescent="0.3">
      <c r="I78" s="216"/>
      <c r="K78" s="231">
        <v>0</v>
      </c>
    </row>
    <row r="79" spans="9:11" ht="10.199999999999999" x14ac:dyDescent="0.3">
      <c r="I79" s="216"/>
      <c r="K79" s="231">
        <v>0</v>
      </c>
    </row>
    <row r="80" spans="9:11" ht="10.199999999999999" x14ac:dyDescent="0.3">
      <c r="I80" s="216"/>
      <c r="K80" s="231">
        <v>0</v>
      </c>
    </row>
    <row r="81" spans="9:11" ht="10.199999999999999" x14ac:dyDescent="0.3">
      <c r="I81" s="216"/>
      <c r="K81" s="231">
        <v>0</v>
      </c>
    </row>
    <row r="82" spans="9:11" ht="10.199999999999999" x14ac:dyDescent="0.3">
      <c r="I82" s="216"/>
      <c r="K82" s="231">
        <v>0</v>
      </c>
    </row>
    <row r="83" spans="9:11" ht="10.199999999999999" x14ac:dyDescent="0.3">
      <c r="I83" s="216"/>
      <c r="K83" s="231">
        <v>0</v>
      </c>
    </row>
    <row r="84" spans="9:11" ht="10.199999999999999" x14ac:dyDescent="0.3">
      <c r="I84" s="216"/>
      <c r="K84" s="231">
        <v>0</v>
      </c>
    </row>
    <row r="85" spans="9:11" ht="10.199999999999999" x14ac:dyDescent="0.3">
      <c r="I85" s="216"/>
      <c r="K85" s="231">
        <v>0</v>
      </c>
    </row>
    <row r="86" spans="9:11" ht="10.199999999999999" x14ac:dyDescent="0.3">
      <c r="I86" s="216"/>
      <c r="K86" s="231">
        <v>0</v>
      </c>
    </row>
    <row r="87" spans="9:11" ht="10.199999999999999" x14ac:dyDescent="0.3">
      <c r="I87" s="216"/>
      <c r="K87" s="231">
        <v>0</v>
      </c>
    </row>
    <row r="88" spans="9:11" ht="10.199999999999999" x14ac:dyDescent="0.3">
      <c r="I88" s="216"/>
      <c r="K88" s="231">
        <v>0</v>
      </c>
    </row>
    <row r="89" spans="9:11" ht="10.199999999999999" x14ac:dyDescent="0.3">
      <c r="I89" s="216"/>
      <c r="K89" s="231">
        <v>0</v>
      </c>
    </row>
    <row r="90" spans="9:11" ht="10.199999999999999" x14ac:dyDescent="0.3">
      <c r="I90" s="216"/>
      <c r="K90" s="231">
        <v>0</v>
      </c>
    </row>
    <row r="91" spans="9:11" ht="10.199999999999999" x14ac:dyDescent="0.3">
      <c r="I91" s="216"/>
      <c r="K91" s="231">
        <v>0</v>
      </c>
    </row>
    <row r="92" spans="9:11" ht="10.199999999999999" x14ac:dyDescent="0.3">
      <c r="I92" s="216"/>
      <c r="K92" s="231">
        <v>0</v>
      </c>
    </row>
    <row r="93" spans="9:11" ht="10.199999999999999" x14ac:dyDescent="0.3">
      <c r="I93" s="216"/>
      <c r="K93" s="231">
        <v>0</v>
      </c>
    </row>
    <row r="94" spans="9:11" ht="10.199999999999999" x14ac:dyDescent="0.3">
      <c r="I94" s="216"/>
      <c r="K94" s="231">
        <v>0</v>
      </c>
    </row>
    <row r="95" spans="9:11" ht="10.199999999999999" x14ac:dyDescent="0.3">
      <c r="I95" s="216"/>
      <c r="K95" s="231">
        <v>0</v>
      </c>
    </row>
    <row r="96" spans="9:11" ht="10.199999999999999" x14ac:dyDescent="0.3">
      <c r="I96" s="216"/>
      <c r="K96" s="231">
        <v>0</v>
      </c>
    </row>
    <row r="97" spans="9:11" ht="10.199999999999999" x14ac:dyDescent="0.3">
      <c r="I97" s="216"/>
      <c r="K97" s="231">
        <v>0</v>
      </c>
    </row>
    <row r="98" spans="9:11" ht="10.199999999999999" x14ac:dyDescent="0.3">
      <c r="I98" s="216"/>
      <c r="K98" s="231">
        <v>0</v>
      </c>
    </row>
    <row r="99" spans="9:11" ht="10.199999999999999" x14ac:dyDescent="0.3">
      <c r="I99" s="216"/>
      <c r="K99" s="231">
        <v>0</v>
      </c>
    </row>
    <row r="100" spans="9:11" ht="10.199999999999999" x14ac:dyDescent="0.3">
      <c r="I100" s="216"/>
      <c r="K100" s="231">
        <v>0</v>
      </c>
    </row>
    <row r="101" spans="9:11" ht="10.199999999999999" x14ac:dyDescent="0.3">
      <c r="I101" s="216"/>
      <c r="K101" s="231">
        <v>0</v>
      </c>
    </row>
    <row r="102" spans="9:11" ht="10.199999999999999" x14ac:dyDescent="0.3">
      <c r="I102" s="216"/>
      <c r="K102" s="231">
        <v>0</v>
      </c>
    </row>
    <row r="103" spans="9:11" ht="10.199999999999999" x14ac:dyDescent="0.3">
      <c r="I103" s="216"/>
      <c r="K103" s="231">
        <v>0</v>
      </c>
    </row>
  </sheetData>
  <mergeCells count="2">
    <mergeCell ref="J2:M2"/>
    <mergeCell ref="O2:R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6004A-0821-42B3-8C8B-40E2B6B8BD56}">
  <sheetPr codeName="Sheet1"/>
  <dimension ref="A1:AA8"/>
  <sheetViews>
    <sheetView workbookViewId="0"/>
  </sheetViews>
  <sheetFormatPr defaultRowHeight="14.4" x14ac:dyDescent="0.3"/>
  <sheetData>
    <row r="1" spans="1:27" x14ac:dyDescent="0.3">
      <c r="A1">
        <f>_xll.RTS(_xll.RTSSUM(MC!R4:R53))</f>
        <v>1433.8686611975374</v>
      </c>
      <c r="B1" t="str">
        <f ca="1">CELL("address",MC!$R$54)</f>
        <v>'[20230324 - Project Risk Planning - Template Planning Type-ABC V1.2_.xlsx]MC'!$R$54</v>
      </c>
    </row>
    <row r="2" spans="1:27" x14ac:dyDescent="0.3">
      <c r="A2">
        <f>_xll.RTS(_xll.RTSSUM(MC!M4:M53),MC!L54)</f>
        <v>8884692842.7127018</v>
      </c>
      <c r="B2" t="str">
        <f ca="1">CELL("address",MC!$M$54)</f>
        <v>'[20230324 - Project Risk Planning - Template Planning Type-ABC V1.2_.xlsx]MC'!$M$54</v>
      </c>
    </row>
    <row r="8" spans="1:27" x14ac:dyDescent="0.3">
      <c r="AA8">
        <v>43082119275279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00259-8708-4436-97EA-A5F9DC07AED0}">
  <sheetPr codeName="Sheet12"/>
  <dimension ref="B34:X58"/>
  <sheetViews>
    <sheetView workbookViewId="0">
      <selection activeCell="S37" sqref="S37"/>
    </sheetView>
  </sheetViews>
  <sheetFormatPr defaultColWidth="9.109375" defaultRowHeight="14.4" x14ac:dyDescent="0.3"/>
  <cols>
    <col min="1" max="16384" width="9.109375" style="219"/>
  </cols>
  <sheetData>
    <row r="34" spans="2:24" x14ac:dyDescent="0.3">
      <c r="C34" s="219" t="s">
        <v>2036</v>
      </c>
      <c r="U34" s="219" t="s">
        <v>2037</v>
      </c>
    </row>
    <row r="35" spans="2:24" x14ac:dyDescent="0.3">
      <c r="C35" s="542" t="s">
        <v>2038</v>
      </c>
      <c r="D35" s="543"/>
      <c r="E35" s="543"/>
      <c r="F35" s="543"/>
      <c r="G35" s="543"/>
      <c r="H35" s="543"/>
      <c r="I35" s="543"/>
      <c r="J35" s="543"/>
      <c r="K35" s="543"/>
      <c r="L35" s="542" t="s">
        <v>2039</v>
      </c>
      <c r="M35" s="543"/>
      <c r="N35" s="543"/>
      <c r="O35" s="543"/>
      <c r="P35" s="543"/>
      <c r="Q35" s="543"/>
      <c r="R35" s="543"/>
      <c r="S35" s="543"/>
      <c r="T35" s="543"/>
      <c r="U35" s="543"/>
      <c r="V35" s="543"/>
      <c r="W35" s="544"/>
    </row>
    <row r="36" spans="2:24" x14ac:dyDescent="0.3">
      <c r="B36" s="220" t="s">
        <v>382</v>
      </c>
      <c r="C36" s="221">
        <v>0.1</v>
      </c>
      <c r="D36" s="222">
        <v>0.2</v>
      </c>
      <c r="E36" s="222">
        <v>0.3</v>
      </c>
      <c r="F36" s="222">
        <v>0.4</v>
      </c>
      <c r="G36" s="222">
        <v>0.5</v>
      </c>
      <c r="H36" s="222">
        <v>0.6</v>
      </c>
      <c r="I36" s="222">
        <v>0.7</v>
      </c>
      <c r="J36" s="222">
        <v>0.8</v>
      </c>
      <c r="K36" s="222">
        <v>0.9</v>
      </c>
      <c r="L36" s="223">
        <v>0.1</v>
      </c>
      <c r="M36" s="224">
        <v>0.2</v>
      </c>
      <c r="N36" s="224">
        <v>0.3</v>
      </c>
      <c r="O36" s="224">
        <v>0.4</v>
      </c>
      <c r="P36" s="224">
        <v>0.5</v>
      </c>
      <c r="Q36" s="224">
        <v>0.6</v>
      </c>
      <c r="R36" s="224">
        <v>0.7</v>
      </c>
      <c r="S36" s="224">
        <v>0.8</v>
      </c>
      <c r="T36" s="224">
        <v>0.9</v>
      </c>
      <c r="U36" s="225" t="s">
        <v>2040</v>
      </c>
      <c r="V36" s="226" t="s">
        <v>2041</v>
      </c>
      <c r="W36" s="227" t="s">
        <v>1943</v>
      </c>
    </row>
    <row r="37" spans="2:24" x14ac:dyDescent="0.3">
      <c r="B37" s="228" t="s">
        <v>2042</v>
      </c>
      <c r="C37" s="234">
        <v>308.56716773629597</v>
      </c>
      <c r="D37" s="234">
        <v>326.8246383605794</v>
      </c>
      <c r="E37" s="234">
        <v>341.45508359031561</v>
      </c>
      <c r="F37" s="234">
        <v>354.64798645575672</v>
      </c>
      <c r="G37" s="234">
        <v>367.32351917272808</v>
      </c>
      <c r="H37" s="234">
        <v>380.10666161481214</v>
      </c>
      <c r="I37" s="234">
        <v>393.64747263489926</v>
      </c>
      <c r="J37" s="234">
        <v>408.9670764414235</v>
      </c>
      <c r="K37" s="234">
        <v>428.59749065880328</v>
      </c>
      <c r="L37" s="234">
        <v>1374.3085562401839</v>
      </c>
      <c r="M37" s="234">
        <v>1392.5660268644672</v>
      </c>
      <c r="N37" s="234">
        <v>1407.1964720942035</v>
      </c>
      <c r="O37" s="234">
        <v>1420.3893749596446</v>
      </c>
      <c r="P37" s="234">
        <v>1433.064907676616</v>
      </c>
      <c r="Q37" s="234">
        <v>1445.8480501187</v>
      </c>
      <c r="R37" s="234">
        <v>1459.3888611387872</v>
      </c>
      <c r="S37" s="234">
        <v>1474.7084649453113</v>
      </c>
      <c r="T37" s="234">
        <v>1494.338879162691</v>
      </c>
      <c r="U37" s="234">
        <v>1374.3085562401839</v>
      </c>
      <c r="V37" s="234">
        <v>1494.338879162691</v>
      </c>
      <c r="W37" s="234">
        <v>120.03032292250714</v>
      </c>
      <c r="X37" s="233"/>
    </row>
    <row r="38" spans="2:24" x14ac:dyDescent="0.3">
      <c r="B38" s="229" t="s">
        <v>2043</v>
      </c>
      <c r="C38" s="232">
        <v>152.17011011652951</v>
      </c>
      <c r="D38" s="232">
        <v>161.17379426001173</v>
      </c>
      <c r="E38" s="232">
        <v>168.38880834590904</v>
      </c>
      <c r="F38" s="232">
        <v>174.89489743023617</v>
      </c>
      <c r="G38" s="232">
        <v>181.14584507148237</v>
      </c>
      <c r="H38" s="232">
        <v>187.44986052237311</v>
      </c>
      <c r="I38" s="232">
        <v>194.12752075145715</v>
      </c>
      <c r="J38" s="232">
        <v>201.68239386152391</v>
      </c>
      <c r="K38" s="232">
        <v>211.36314607831395</v>
      </c>
      <c r="L38" s="232">
        <v>1404.0891727216631</v>
      </c>
      <c r="M38" s="232">
        <v>1413.0928568651454</v>
      </c>
      <c r="N38" s="232">
        <v>1420.3078709510426</v>
      </c>
      <c r="O38" s="232">
        <v>1426.8139600353697</v>
      </c>
      <c r="P38" s="232">
        <v>1433.064907676616</v>
      </c>
      <c r="Q38" s="232">
        <v>1439.3689231275068</v>
      </c>
      <c r="R38" s="232">
        <v>1446.0465833565906</v>
      </c>
      <c r="S38" s="232">
        <v>1453.6014564666575</v>
      </c>
      <c r="T38" s="232">
        <v>1463.2822086834476</v>
      </c>
      <c r="U38" s="232">
        <v>1404.0891727216631</v>
      </c>
      <c r="V38" s="232">
        <v>1463.2822086834476</v>
      </c>
      <c r="W38" s="232">
        <v>59.193035961784517</v>
      </c>
      <c r="X38" s="233"/>
    </row>
    <row r="39" spans="2:24" x14ac:dyDescent="0.3">
      <c r="B39" s="229" t="s">
        <v>2044</v>
      </c>
      <c r="C39" s="232">
        <v>84.538950064738628</v>
      </c>
      <c r="D39" s="232">
        <v>89.540996811117637</v>
      </c>
      <c r="E39" s="232">
        <v>93.549337969949477</v>
      </c>
      <c r="F39" s="232">
        <v>97.163831905686763</v>
      </c>
      <c r="G39" s="232">
        <v>100.63658059526797</v>
      </c>
      <c r="H39" s="232">
        <v>104.13881140131838</v>
      </c>
      <c r="I39" s="232">
        <v>107.84862263969842</v>
      </c>
      <c r="J39" s="232">
        <v>112.04577436751327</v>
      </c>
      <c r="K39" s="232">
        <v>117.42397004350774</v>
      </c>
      <c r="L39" s="232">
        <v>1416.9672771460866</v>
      </c>
      <c r="M39" s="232">
        <v>1421.9693238924658</v>
      </c>
      <c r="N39" s="232">
        <v>1425.9776650512974</v>
      </c>
      <c r="O39" s="232">
        <v>1429.5921589870347</v>
      </c>
      <c r="P39" s="232">
        <v>1433.064907676616</v>
      </c>
      <c r="Q39" s="232">
        <v>1436.5671384826662</v>
      </c>
      <c r="R39" s="232">
        <v>1440.2769497210463</v>
      </c>
      <c r="S39" s="232">
        <v>1444.4741014488611</v>
      </c>
      <c r="T39" s="232">
        <v>1449.8522971248556</v>
      </c>
      <c r="U39" s="232">
        <v>1416.9672771460866</v>
      </c>
      <c r="V39" s="232">
        <v>1449.8522971248556</v>
      </c>
      <c r="W39" s="232">
        <v>32.885019978768923</v>
      </c>
      <c r="X39" s="233"/>
    </row>
    <row r="40" spans="2:24" x14ac:dyDescent="0.3">
      <c r="B40" s="229" t="s">
        <v>2045</v>
      </c>
      <c r="C40" s="232">
        <v>84.538950064738628</v>
      </c>
      <c r="D40" s="232">
        <v>89.540996811117637</v>
      </c>
      <c r="E40" s="232">
        <v>93.549337969949477</v>
      </c>
      <c r="F40" s="232">
        <v>97.163831905686763</v>
      </c>
      <c r="G40" s="232">
        <v>100.63658059526797</v>
      </c>
      <c r="H40" s="232">
        <v>104.13881140131838</v>
      </c>
      <c r="I40" s="232">
        <v>107.84862263969842</v>
      </c>
      <c r="J40" s="232">
        <v>112.04577436751327</v>
      </c>
      <c r="K40" s="232">
        <v>117.42397004350774</v>
      </c>
      <c r="L40" s="232">
        <v>1416.9672771460866</v>
      </c>
      <c r="M40" s="232">
        <v>1421.9693238924656</v>
      </c>
      <c r="N40" s="232">
        <v>1425.9776650512974</v>
      </c>
      <c r="O40" s="232">
        <v>1429.5921589870347</v>
      </c>
      <c r="P40" s="232">
        <v>1433.064907676616</v>
      </c>
      <c r="Q40" s="232">
        <v>1436.5671384826662</v>
      </c>
      <c r="R40" s="232">
        <v>1440.2769497210463</v>
      </c>
      <c r="S40" s="232">
        <v>1444.4741014488611</v>
      </c>
      <c r="T40" s="232">
        <v>1449.8522971248556</v>
      </c>
      <c r="U40" s="232">
        <v>1416.9672771460866</v>
      </c>
      <c r="V40" s="232">
        <v>1449.8522971248556</v>
      </c>
      <c r="W40" s="232">
        <v>32.885019978768923</v>
      </c>
      <c r="X40" s="233"/>
    </row>
    <row r="41" spans="2:24" x14ac:dyDescent="0.3">
      <c r="B41" s="229" t="s">
        <v>2046</v>
      </c>
      <c r="C41" s="232">
        <v>65.094991549848743</v>
      </c>
      <c r="D41" s="232">
        <v>68.94656754456058</v>
      </c>
      <c r="E41" s="232">
        <v>72.032990236861096</v>
      </c>
      <c r="F41" s="232">
        <v>74.816150567378799</v>
      </c>
      <c r="G41" s="232">
        <v>77.490167058356349</v>
      </c>
      <c r="H41" s="232">
        <v>80.186884779015159</v>
      </c>
      <c r="I41" s="232">
        <v>83.043439432567794</v>
      </c>
      <c r="J41" s="232">
        <v>86.27524626298522</v>
      </c>
      <c r="K41" s="232">
        <v>90.416456933500967</v>
      </c>
      <c r="L41" s="232">
        <v>1420.6697321681083</v>
      </c>
      <c r="M41" s="232">
        <v>1424.5213081628201</v>
      </c>
      <c r="N41" s="232">
        <v>1427.6077308551207</v>
      </c>
      <c r="O41" s="232">
        <v>1430.3908911856386</v>
      </c>
      <c r="P41" s="232">
        <v>1433.064907676616</v>
      </c>
      <c r="Q41" s="232">
        <v>1435.7616253972749</v>
      </c>
      <c r="R41" s="232">
        <v>1438.6181800508273</v>
      </c>
      <c r="S41" s="232">
        <v>1441.8499868812448</v>
      </c>
      <c r="T41" s="232">
        <v>1445.9911975517605</v>
      </c>
      <c r="U41" s="232">
        <v>1420.6697321681083</v>
      </c>
      <c r="V41" s="232">
        <v>1445.9911975517605</v>
      </c>
      <c r="W41" s="232">
        <v>25.321465383652139</v>
      </c>
      <c r="X41" s="233"/>
    </row>
    <row r="42" spans="2:24" x14ac:dyDescent="0.3">
      <c r="B42" s="229" t="s">
        <v>2047</v>
      </c>
      <c r="C42" s="232">
        <v>50.723370038843171</v>
      </c>
      <c r="D42" s="232">
        <v>53.724598086670582</v>
      </c>
      <c r="E42" s="232">
        <v>56.12960278196968</v>
      </c>
      <c r="F42" s="232">
        <v>58.298299143412052</v>
      </c>
      <c r="G42" s="232">
        <v>60.38194835716078</v>
      </c>
      <c r="H42" s="232">
        <v>62.483286840791031</v>
      </c>
      <c r="I42" s="232">
        <v>64.709173583819052</v>
      </c>
      <c r="J42" s="232">
        <v>67.227464620507959</v>
      </c>
      <c r="K42" s="232">
        <v>70.454382026104639</v>
      </c>
      <c r="L42" s="232">
        <v>1423.4063293582983</v>
      </c>
      <c r="M42" s="232">
        <v>1426.4075574061255</v>
      </c>
      <c r="N42" s="232">
        <v>1428.8125621014249</v>
      </c>
      <c r="O42" s="232">
        <v>1430.9812584628671</v>
      </c>
      <c r="P42" s="232">
        <v>1433.064907676616</v>
      </c>
      <c r="Q42" s="232">
        <v>1435.1662461602461</v>
      </c>
      <c r="R42" s="232">
        <v>1437.3921329032742</v>
      </c>
      <c r="S42" s="232">
        <v>1439.910423939963</v>
      </c>
      <c r="T42" s="232">
        <v>1443.1373413455597</v>
      </c>
      <c r="U42" s="232">
        <v>1423.4063293582983</v>
      </c>
      <c r="V42" s="232">
        <v>1443.1373413455597</v>
      </c>
      <c r="W42" s="232">
        <v>19.731011987261354</v>
      </c>
      <c r="X42" s="233"/>
    </row>
    <row r="43" spans="2:24" x14ac:dyDescent="0.3">
      <c r="B43" s="229" t="s">
        <v>2048</v>
      </c>
      <c r="C43" s="232">
        <v>50.723370038843171</v>
      </c>
      <c r="D43" s="232">
        <v>53.724598086670582</v>
      </c>
      <c r="E43" s="232">
        <v>56.12960278196968</v>
      </c>
      <c r="F43" s="232">
        <v>58.298299143412052</v>
      </c>
      <c r="G43" s="232">
        <v>60.38194835716078</v>
      </c>
      <c r="H43" s="232">
        <v>62.483286840791031</v>
      </c>
      <c r="I43" s="232">
        <v>64.709173583819052</v>
      </c>
      <c r="J43" s="232">
        <v>67.227464620507959</v>
      </c>
      <c r="K43" s="232">
        <v>70.454382026104639</v>
      </c>
      <c r="L43" s="232">
        <v>1423.4063293582983</v>
      </c>
      <c r="M43" s="232">
        <v>1426.4075574061255</v>
      </c>
      <c r="N43" s="232">
        <v>1428.8125621014249</v>
      </c>
      <c r="O43" s="232">
        <v>1430.9812584628671</v>
      </c>
      <c r="P43" s="232">
        <v>1433.064907676616</v>
      </c>
      <c r="Q43" s="232">
        <v>1435.1662461602461</v>
      </c>
      <c r="R43" s="232">
        <v>1437.3921329032742</v>
      </c>
      <c r="S43" s="232">
        <v>1439.910423939963</v>
      </c>
      <c r="T43" s="232">
        <v>1443.1373413455597</v>
      </c>
      <c r="U43" s="232">
        <v>1423.4063293582983</v>
      </c>
      <c r="V43" s="232">
        <v>1443.1373413455597</v>
      </c>
      <c r="W43" s="232">
        <v>19.731011987261354</v>
      </c>
      <c r="X43" s="233"/>
    </row>
    <row r="44" spans="2:24" x14ac:dyDescent="0.3">
      <c r="B44" s="229" t="s">
        <v>2049</v>
      </c>
      <c r="C44" s="232">
        <v>50.723370038843171</v>
      </c>
      <c r="D44" s="232">
        <v>53.724598086670582</v>
      </c>
      <c r="E44" s="232">
        <v>56.12960278196968</v>
      </c>
      <c r="F44" s="232">
        <v>58.298299143412052</v>
      </c>
      <c r="G44" s="232">
        <v>60.38194835716078</v>
      </c>
      <c r="H44" s="232">
        <v>62.483286840791031</v>
      </c>
      <c r="I44" s="232">
        <v>64.709173583819052</v>
      </c>
      <c r="J44" s="232">
        <v>67.227464620507959</v>
      </c>
      <c r="K44" s="232">
        <v>70.454382026104639</v>
      </c>
      <c r="L44" s="232">
        <v>1423.4063293582983</v>
      </c>
      <c r="M44" s="232">
        <v>1426.4075574061255</v>
      </c>
      <c r="N44" s="232">
        <v>1428.8125621014249</v>
      </c>
      <c r="O44" s="232">
        <v>1430.9812584628671</v>
      </c>
      <c r="P44" s="232">
        <v>1433.064907676616</v>
      </c>
      <c r="Q44" s="232">
        <v>1435.1662461602461</v>
      </c>
      <c r="R44" s="232">
        <v>1437.3921329032742</v>
      </c>
      <c r="S44" s="232">
        <v>1439.910423939963</v>
      </c>
      <c r="T44" s="232">
        <v>1443.1373413455597</v>
      </c>
      <c r="U44" s="232">
        <v>1423.4063293582983</v>
      </c>
      <c r="V44" s="232">
        <v>1443.1373413455597</v>
      </c>
      <c r="W44" s="232">
        <v>19.731011987261354</v>
      </c>
      <c r="X44" s="233"/>
    </row>
    <row r="45" spans="2:24" x14ac:dyDescent="0.3">
      <c r="B45" s="229" t="s">
        <v>2050</v>
      </c>
      <c r="C45" s="232">
        <v>30.434022023305904</v>
      </c>
      <c r="D45" s="232">
        <v>32.234758852002344</v>
      </c>
      <c r="E45" s="232">
        <v>33.677761669181805</v>
      </c>
      <c r="F45" s="232">
        <v>34.978979486047223</v>
      </c>
      <c r="G45" s="232">
        <v>36.22916901429646</v>
      </c>
      <c r="H45" s="232">
        <v>37.48997210447461</v>
      </c>
      <c r="I45" s="232">
        <v>38.825504150291437</v>
      </c>
      <c r="J45" s="232">
        <v>40.336478772304773</v>
      </c>
      <c r="K45" s="232">
        <v>42.272629215662789</v>
      </c>
      <c r="L45" s="232">
        <v>1427.2697606856254</v>
      </c>
      <c r="M45" s="232">
        <v>1429.0704975143219</v>
      </c>
      <c r="N45" s="232">
        <v>1430.5135003315013</v>
      </c>
      <c r="O45" s="232">
        <v>1431.8147181483666</v>
      </c>
      <c r="P45" s="232">
        <v>1433.064907676616</v>
      </c>
      <c r="Q45" s="232">
        <v>1434.3257107667941</v>
      </c>
      <c r="R45" s="232">
        <v>1435.6612428126111</v>
      </c>
      <c r="S45" s="232">
        <v>1437.1722174346244</v>
      </c>
      <c r="T45" s="232">
        <v>1439.1083678779821</v>
      </c>
      <c r="U45" s="232">
        <v>1427.2697606856254</v>
      </c>
      <c r="V45" s="232">
        <v>1439.1083678779821</v>
      </c>
      <c r="W45" s="232">
        <v>11.838607192356676</v>
      </c>
      <c r="X45" s="233"/>
    </row>
    <row r="46" spans="2:24" x14ac:dyDescent="0.3">
      <c r="B46" s="229" t="s">
        <v>2051</v>
      </c>
      <c r="C46" s="232">
        <v>25.361685019421586</v>
      </c>
      <c r="D46" s="232">
        <v>26.862299043335291</v>
      </c>
      <c r="E46" s="232">
        <v>28.06480139098484</v>
      </c>
      <c r="F46" s="232">
        <v>29.149149571706026</v>
      </c>
      <c r="G46" s="232">
        <v>30.19097417858039</v>
      </c>
      <c r="H46" s="232">
        <v>31.241643420395516</v>
      </c>
      <c r="I46" s="232">
        <v>32.354586791909526</v>
      </c>
      <c r="J46" s="232">
        <v>33.61373231025398</v>
      </c>
      <c r="K46" s="232">
        <v>35.22719101305232</v>
      </c>
      <c r="L46" s="232">
        <v>1428.2356185174574</v>
      </c>
      <c r="M46" s="232">
        <v>1429.736232541371</v>
      </c>
      <c r="N46" s="232">
        <v>1430.9387348890207</v>
      </c>
      <c r="O46" s="232">
        <v>1432.0230830697417</v>
      </c>
      <c r="P46" s="232">
        <v>1433.064907676616</v>
      </c>
      <c r="Q46" s="232">
        <v>1434.1155769184313</v>
      </c>
      <c r="R46" s="232">
        <v>1435.2285202899452</v>
      </c>
      <c r="S46" s="232">
        <v>1436.4876658082896</v>
      </c>
      <c r="T46" s="232">
        <v>1438.1011245110881</v>
      </c>
      <c r="U46" s="232">
        <v>1428.2356185174574</v>
      </c>
      <c r="V46" s="232">
        <v>1438.1011245110881</v>
      </c>
      <c r="W46" s="232">
        <v>9.865505993630677</v>
      </c>
      <c r="X46" s="233"/>
    </row>
    <row r="47" spans="2:24" x14ac:dyDescent="0.3">
      <c r="B47" s="229" t="s">
        <v>2052</v>
      </c>
      <c r="C47" s="232">
        <v>25.361685019421586</v>
      </c>
      <c r="D47" s="232">
        <v>26.862299043335291</v>
      </c>
      <c r="E47" s="232">
        <v>28.06480139098484</v>
      </c>
      <c r="F47" s="232">
        <v>29.149149571706026</v>
      </c>
      <c r="G47" s="232">
        <v>30.19097417858039</v>
      </c>
      <c r="H47" s="232">
        <v>31.241643420395516</v>
      </c>
      <c r="I47" s="232">
        <v>32.354586791909526</v>
      </c>
      <c r="J47" s="232">
        <v>33.61373231025398</v>
      </c>
      <c r="K47" s="232">
        <v>35.22719101305232</v>
      </c>
      <c r="L47" s="232">
        <v>1428.2356185174572</v>
      </c>
      <c r="M47" s="232">
        <v>1429.7362325413708</v>
      </c>
      <c r="N47" s="232">
        <v>1430.9387348890202</v>
      </c>
      <c r="O47" s="232">
        <v>1432.0230830697417</v>
      </c>
      <c r="P47" s="232">
        <v>1433.064907676616</v>
      </c>
      <c r="Q47" s="232">
        <v>1434.1155769184311</v>
      </c>
      <c r="R47" s="232">
        <v>1435.228520289945</v>
      </c>
      <c r="S47" s="232">
        <v>1436.4876658082896</v>
      </c>
      <c r="T47" s="232">
        <v>1438.1011245110878</v>
      </c>
      <c r="U47" s="232">
        <v>1428.2356185174572</v>
      </c>
      <c r="V47" s="232">
        <v>1438.1011245110878</v>
      </c>
      <c r="W47" s="232">
        <v>9.865505993630677</v>
      </c>
      <c r="X47" s="233"/>
    </row>
    <row r="48" spans="2:24" x14ac:dyDescent="0.3">
      <c r="B48" s="229" t="s">
        <v>2053</v>
      </c>
      <c r="C48" s="232">
        <v>25.361685019421586</v>
      </c>
      <c r="D48" s="232">
        <v>26.862299043335291</v>
      </c>
      <c r="E48" s="232">
        <v>28.06480139098484</v>
      </c>
      <c r="F48" s="232">
        <v>29.149149571706026</v>
      </c>
      <c r="G48" s="232">
        <v>30.19097417858039</v>
      </c>
      <c r="H48" s="232">
        <v>31.241643420395516</v>
      </c>
      <c r="I48" s="232">
        <v>32.354586791909526</v>
      </c>
      <c r="J48" s="232">
        <v>33.61373231025398</v>
      </c>
      <c r="K48" s="232">
        <v>35.22719101305232</v>
      </c>
      <c r="L48" s="232">
        <v>1428.2356185174572</v>
      </c>
      <c r="M48" s="232">
        <v>1429.7362325413708</v>
      </c>
      <c r="N48" s="232">
        <v>1430.9387348890202</v>
      </c>
      <c r="O48" s="232">
        <v>1432.0230830697417</v>
      </c>
      <c r="P48" s="232">
        <v>1433.064907676616</v>
      </c>
      <c r="Q48" s="232">
        <v>1434.1155769184311</v>
      </c>
      <c r="R48" s="232">
        <v>1435.228520289945</v>
      </c>
      <c r="S48" s="232">
        <v>1436.4876658082896</v>
      </c>
      <c r="T48" s="232">
        <v>1438.1011245110878</v>
      </c>
      <c r="U48" s="232">
        <v>1428.2356185174572</v>
      </c>
      <c r="V48" s="232">
        <v>1438.1011245110878</v>
      </c>
      <c r="W48" s="232">
        <v>9.865505993630677</v>
      </c>
      <c r="X48" s="233"/>
    </row>
    <row r="49" spans="2:24" x14ac:dyDescent="0.3">
      <c r="B49" s="229" t="s">
        <v>2054</v>
      </c>
      <c r="C49" s="232">
        <v>25.361685019421586</v>
      </c>
      <c r="D49" s="232">
        <v>26.862299043335291</v>
      </c>
      <c r="E49" s="232">
        <v>28.06480139098484</v>
      </c>
      <c r="F49" s="232">
        <v>29.149149571706026</v>
      </c>
      <c r="G49" s="232">
        <v>30.19097417858039</v>
      </c>
      <c r="H49" s="232">
        <v>31.241643420395516</v>
      </c>
      <c r="I49" s="232">
        <v>32.354586791909526</v>
      </c>
      <c r="J49" s="232">
        <v>33.61373231025398</v>
      </c>
      <c r="K49" s="232">
        <v>35.22719101305232</v>
      </c>
      <c r="L49" s="232">
        <v>1428.2356185174572</v>
      </c>
      <c r="M49" s="232">
        <v>1429.7362325413708</v>
      </c>
      <c r="N49" s="232">
        <v>1430.9387348890205</v>
      </c>
      <c r="O49" s="232">
        <v>1432.0230830697417</v>
      </c>
      <c r="P49" s="232">
        <v>1433.064907676616</v>
      </c>
      <c r="Q49" s="232">
        <v>1434.1155769184311</v>
      </c>
      <c r="R49" s="232">
        <v>1435.228520289945</v>
      </c>
      <c r="S49" s="232">
        <v>1436.4876658082896</v>
      </c>
      <c r="T49" s="232">
        <v>1438.1011245110878</v>
      </c>
      <c r="U49" s="232">
        <v>1428.2356185174572</v>
      </c>
      <c r="V49" s="232">
        <v>1438.1011245110878</v>
      </c>
      <c r="W49" s="232">
        <v>9.865505993630677</v>
      </c>
      <c r="X49" s="233"/>
    </row>
    <row r="50" spans="2:24" x14ac:dyDescent="0.3">
      <c r="B50" s="229" t="s">
        <v>2055</v>
      </c>
      <c r="C50" s="232">
        <v>25.361685019421586</v>
      </c>
      <c r="D50" s="232">
        <v>26.862299043335291</v>
      </c>
      <c r="E50" s="232">
        <v>28.06480139098484</v>
      </c>
      <c r="F50" s="232">
        <v>29.149149571706026</v>
      </c>
      <c r="G50" s="232">
        <v>30.19097417858039</v>
      </c>
      <c r="H50" s="232">
        <v>31.241643420395516</v>
      </c>
      <c r="I50" s="232">
        <v>32.354586791909526</v>
      </c>
      <c r="J50" s="232">
        <v>33.61373231025398</v>
      </c>
      <c r="K50" s="232">
        <v>35.22719101305232</v>
      </c>
      <c r="L50" s="232">
        <v>1428.2356185174572</v>
      </c>
      <c r="M50" s="232">
        <v>1429.7362325413708</v>
      </c>
      <c r="N50" s="232">
        <v>1430.9387348890202</v>
      </c>
      <c r="O50" s="232">
        <v>1432.0230830697417</v>
      </c>
      <c r="P50" s="232">
        <v>1433.064907676616</v>
      </c>
      <c r="Q50" s="232">
        <v>1434.1155769184311</v>
      </c>
      <c r="R50" s="232">
        <v>1435.228520289945</v>
      </c>
      <c r="S50" s="232">
        <v>1436.4876658082896</v>
      </c>
      <c r="T50" s="232">
        <v>1438.1011245110878</v>
      </c>
      <c r="U50" s="232">
        <v>1428.2356185174572</v>
      </c>
      <c r="V50" s="232">
        <v>1438.1011245110878</v>
      </c>
      <c r="W50" s="232">
        <v>9.865505993630677</v>
      </c>
      <c r="X50" s="233"/>
    </row>
    <row r="51" spans="2:24" x14ac:dyDescent="0.3">
      <c r="B51" s="229" t="s">
        <v>2056</v>
      </c>
      <c r="C51" s="232">
        <v>25.361685019421586</v>
      </c>
      <c r="D51" s="232">
        <v>26.862299043335291</v>
      </c>
      <c r="E51" s="232">
        <v>28.06480139098484</v>
      </c>
      <c r="F51" s="232">
        <v>29.149149571706026</v>
      </c>
      <c r="G51" s="232">
        <v>30.19097417858039</v>
      </c>
      <c r="H51" s="232">
        <v>31.241643420395516</v>
      </c>
      <c r="I51" s="232">
        <v>32.354586791909526</v>
      </c>
      <c r="J51" s="232">
        <v>33.61373231025398</v>
      </c>
      <c r="K51" s="232">
        <v>35.22719101305232</v>
      </c>
      <c r="L51" s="232">
        <v>1428.2356185174572</v>
      </c>
      <c r="M51" s="232">
        <v>1429.7362325413708</v>
      </c>
      <c r="N51" s="232">
        <v>1430.9387348890202</v>
      </c>
      <c r="O51" s="232">
        <v>1432.0230830697417</v>
      </c>
      <c r="P51" s="232">
        <v>1433.064907676616</v>
      </c>
      <c r="Q51" s="232">
        <v>1434.1155769184311</v>
      </c>
      <c r="R51" s="232">
        <v>1435.228520289945</v>
      </c>
      <c r="S51" s="232">
        <v>1436.4876658082896</v>
      </c>
      <c r="T51" s="232">
        <v>1438.1011245110878</v>
      </c>
      <c r="U51" s="232">
        <v>1428.2356185174572</v>
      </c>
      <c r="V51" s="232">
        <v>1438.1011245110878</v>
      </c>
      <c r="W51" s="232">
        <v>9.865505993630677</v>
      </c>
      <c r="X51" s="233"/>
    </row>
    <row r="52" spans="2:24" x14ac:dyDescent="0.3">
      <c r="B52" s="229" t="s">
        <v>2057</v>
      </c>
      <c r="C52" s="232">
        <v>25.361685019421586</v>
      </c>
      <c r="D52" s="232">
        <v>26.862299043335291</v>
      </c>
      <c r="E52" s="232">
        <v>28.06480139098484</v>
      </c>
      <c r="F52" s="232">
        <v>29.149149571706026</v>
      </c>
      <c r="G52" s="232">
        <v>30.19097417858039</v>
      </c>
      <c r="H52" s="232">
        <v>31.241643420395516</v>
      </c>
      <c r="I52" s="232">
        <v>32.354586791909526</v>
      </c>
      <c r="J52" s="232">
        <v>33.61373231025398</v>
      </c>
      <c r="K52" s="232">
        <v>35.22719101305232</v>
      </c>
      <c r="L52" s="232">
        <v>1428.2356185174572</v>
      </c>
      <c r="M52" s="232">
        <v>1429.7362325413708</v>
      </c>
      <c r="N52" s="232">
        <v>1430.9387348890202</v>
      </c>
      <c r="O52" s="232">
        <v>1432.0230830697417</v>
      </c>
      <c r="P52" s="232">
        <v>1433.064907676616</v>
      </c>
      <c r="Q52" s="232">
        <v>1434.1155769184311</v>
      </c>
      <c r="R52" s="232">
        <v>1435.228520289945</v>
      </c>
      <c r="S52" s="232">
        <v>1436.4876658082896</v>
      </c>
      <c r="T52" s="232">
        <v>1438.1011245110878</v>
      </c>
      <c r="U52" s="232">
        <v>1428.2356185174572</v>
      </c>
      <c r="V52" s="232">
        <v>1438.1011245110878</v>
      </c>
      <c r="W52" s="232">
        <v>9.865505993630677</v>
      </c>
      <c r="X52" s="233"/>
    </row>
    <row r="53" spans="2:24" x14ac:dyDescent="0.3">
      <c r="B53" s="229" t="s">
        <v>2058</v>
      </c>
      <c r="C53" s="232">
        <v>16.907790012947725</v>
      </c>
      <c r="D53" s="232">
        <v>17.908199362223527</v>
      </c>
      <c r="E53" s="232">
        <v>18.709867593989898</v>
      </c>
      <c r="F53" s="232">
        <v>19.432766381137355</v>
      </c>
      <c r="G53" s="232">
        <v>20.127316119053596</v>
      </c>
      <c r="H53" s="232">
        <v>20.827762280263681</v>
      </c>
      <c r="I53" s="232">
        <v>21.569724527939687</v>
      </c>
      <c r="J53" s="232">
        <v>22.409154873502658</v>
      </c>
      <c r="K53" s="232">
        <v>23.484794008701549</v>
      </c>
      <c r="L53" s="232">
        <v>1429.84538157051</v>
      </c>
      <c r="M53" s="232">
        <v>1430.8457909197857</v>
      </c>
      <c r="N53" s="232">
        <v>1431.6474591515523</v>
      </c>
      <c r="O53" s="232">
        <v>1432.3703579386997</v>
      </c>
      <c r="P53" s="232">
        <v>1433.064907676616</v>
      </c>
      <c r="Q53" s="232">
        <v>1433.7653538378261</v>
      </c>
      <c r="R53" s="232">
        <v>1434.507316085502</v>
      </c>
      <c r="S53" s="232">
        <v>1435.346746431065</v>
      </c>
      <c r="T53" s="232">
        <v>1436.4223855662638</v>
      </c>
      <c r="U53" s="232">
        <v>1429.84538157051</v>
      </c>
      <c r="V53" s="232">
        <v>1436.4223855662638</v>
      </c>
      <c r="W53" s="232">
        <v>6.5770039957537847</v>
      </c>
      <c r="X53" s="233"/>
    </row>
    <row r="54" spans="2:24" x14ac:dyDescent="0.3">
      <c r="B54" s="229" t="s">
        <v>2059</v>
      </c>
      <c r="C54" s="232">
        <v>16.907790012947725</v>
      </c>
      <c r="D54" s="232">
        <v>17.908199362223527</v>
      </c>
      <c r="E54" s="232">
        <v>18.709867593989898</v>
      </c>
      <c r="F54" s="232">
        <v>19.432766381137355</v>
      </c>
      <c r="G54" s="232">
        <v>20.127316119053596</v>
      </c>
      <c r="H54" s="232">
        <v>20.827762280263681</v>
      </c>
      <c r="I54" s="232">
        <v>21.569724527939687</v>
      </c>
      <c r="J54" s="232">
        <v>22.409154873502658</v>
      </c>
      <c r="K54" s="232">
        <v>23.484794008701549</v>
      </c>
      <c r="L54" s="232">
        <v>1429.84538157051</v>
      </c>
      <c r="M54" s="232">
        <v>1430.8457909197857</v>
      </c>
      <c r="N54" s="232">
        <v>1431.6474591515523</v>
      </c>
      <c r="O54" s="232">
        <v>1432.3703579386995</v>
      </c>
      <c r="P54" s="232">
        <v>1433.064907676616</v>
      </c>
      <c r="Q54" s="232">
        <v>1433.7653538378261</v>
      </c>
      <c r="R54" s="232">
        <v>1434.507316085502</v>
      </c>
      <c r="S54" s="232">
        <v>1435.346746431065</v>
      </c>
      <c r="T54" s="232">
        <v>1436.4223855662638</v>
      </c>
      <c r="U54" s="232">
        <v>1429.84538157051</v>
      </c>
      <c r="V54" s="232">
        <v>1436.4223855662638</v>
      </c>
      <c r="W54" s="232">
        <v>6.5770039957537847</v>
      </c>
      <c r="X54" s="233"/>
    </row>
    <row r="55" spans="2:24" x14ac:dyDescent="0.3">
      <c r="B55" s="229" t="s">
        <v>2060</v>
      </c>
      <c r="C55" s="232">
        <v>16.907790012947725</v>
      </c>
      <c r="D55" s="232">
        <v>17.908199362223527</v>
      </c>
      <c r="E55" s="232">
        <v>18.709867593989898</v>
      </c>
      <c r="F55" s="232">
        <v>19.432766381137355</v>
      </c>
      <c r="G55" s="232">
        <v>20.127316119053596</v>
      </c>
      <c r="H55" s="232">
        <v>20.827762280263681</v>
      </c>
      <c r="I55" s="232">
        <v>21.569724527939687</v>
      </c>
      <c r="J55" s="232">
        <v>22.409154873502658</v>
      </c>
      <c r="K55" s="232">
        <v>23.484794008701549</v>
      </c>
      <c r="L55" s="232">
        <v>1429.84538157051</v>
      </c>
      <c r="M55" s="232">
        <v>1430.8457909197857</v>
      </c>
      <c r="N55" s="232">
        <v>1431.6474591515523</v>
      </c>
      <c r="O55" s="232">
        <v>1432.3703579386995</v>
      </c>
      <c r="P55" s="232">
        <v>1433.064907676616</v>
      </c>
      <c r="Q55" s="232">
        <v>1433.7653538378261</v>
      </c>
      <c r="R55" s="232">
        <v>1434.507316085502</v>
      </c>
      <c r="S55" s="232">
        <v>1435.346746431065</v>
      </c>
      <c r="T55" s="232">
        <v>1436.4223855662638</v>
      </c>
      <c r="U55" s="232">
        <v>1429.84538157051</v>
      </c>
      <c r="V55" s="232">
        <v>1436.4223855662638</v>
      </c>
      <c r="W55" s="232">
        <v>6.5770039957537847</v>
      </c>
      <c r="X55" s="233"/>
    </row>
    <row r="56" spans="2:24" x14ac:dyDescent="0.3">
      <c r="B56" s="229" t="s">
        <v>2061</v>
      </c>
      <c r="C56" s="232">
        <v>16.907790012947725</v>
      </c>
      <c r="D56" s="232">
        <v>17.908199362223527</v>
      </c>
      <c r="E56" s="232">
        <v>18.709867593989898</v>
      </c>
      <c r="F56" s="232">
        <v>19.432766381137355</v>
      </c>
      <c r="G56" s="232">
        <v>20.127316119053596</v>
      </c>
      <c r="H56" s="232">
        <v>20.827762280263681</v>
      </c>
      <c r="I56" s="232">
        <v>21.569724527939687</v>
      </c>
      <c r="J56" s="232">
        <v>22.409154873502658</v>
      </c>
      <c r="K56" s="232">
        <v>23.484794008701549</v>
      </c>
      <c r="L56" s="232">
        <v>1429.84538157051</v>
      </c>
      <c r="M56" s="232">
        <v>1430.8457909197857</v>
      </c>
      <c r="N56" s="232">
        <v>1431.6474591515523</v>
      </c>
      <c r="O56" s="232">
        <v>1432.3703579386995</v>
      </c>
      <c r="P56" s="232">
        <v>1433.064907676616</v>
      </c>
      <c r="Q56" s="232">
        <v>1433.7653538378261</v>
      </c>
      <c r="R56" s="232">
        <v>1434.507316085502</v>
      </c>
      <c r="S56" s="232">
        <v>1435.346746431065</v>
      </c>
      <c r="T56" s="232">
        <v>1436.4223855662638</v>
      </c>
      <c r="U56" s="232">
        <v>1429.84538157051</v>
      </c>
      <c r="V56" s="232">
        <v>1436.4223855662638</v>
      </c>
      <c r="W56" s="232">
        <v>6.5770039957537847</v>
      </c>
      <c r="X56" s="233"/>
    </row>
    <row r="58" spans="2:24" x14ac:dyDescent="0.3">
      <c r="W58" s="233"/>
    </row>
  </sheetData>
  <mergeCells count="2">
    <mergeCell ref="C35:K35"/>
    <mergeCell ref="L35:W35"/>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82CA-E48D-42E0-B1C6-D84BEBF8958F}">
  <sheetPr codeName="Sheet13"/>
  <dimension ref="B34:X56"/>
  <sheetViews>
    <sheetView workbookViewId="0">
      <selection activeCell="G52" sqref="G52"/>
    </sheetView>
  </sheetViews>
  <sheetFormatPr defaultColWidth="9.109375" defaultRowHeight="14.4" x14ac:dyDescent="0.3"/>
  <cols>
    <col min="1" max="1" width="9.109375" style="219"/>
    <col min="2" max="2" width="11.6640625" style="219" customWidth="1"/>
    <col min="3" max="23" width="14.88671875" style="219" customWidth="1"/>
    <col min="24" max="16384" width="9.109375" style="219"/>
  </cols>
  <sheetData>
    <row r="34" spans="2:24" x14ac:dyDescent="0.3">
      <c r="C34" s="219" t="s">
        <v>2062</v>
      </c>
      <c r="U34" s="219" t="s">
        <v>2063</v>
      </c>
    </row>
    <row r="35" spans="2:24" x14ac:dyDescent="0.3">
      <c r="C35" s="542" t="s">
        <v>2038</v>
      </c>
      <c r="D35" s="543"/>
      <c r="E35" s="543"/>
      <c r="F35" s="543"/>
      <c r="G35" s="543"/>
      <c r="H35" s="543"/>
      <c r="I35" s="543"/>
      <c r="J35" s="543"/>
      <c r="K35" s="543"/>
      <c r="L35" s="542" t="s">
        <v>2039</v>
      </c>
      <c r="M35" s="543"/>
      <c r="N35" s="543"/>
      <c r="O35" s="543"/>
      <c r="P35" s="543"/>
      <c r="Q35" s="543"/>
      <c r="R35" s="543"/>
      <c r="S35" s="543"/>
      <c r="T35" s="543"/>
      <c r="U35" s="543"/>
      <c r="V35" s="543"/>
      <c r="W35" s="544"/>
    </row>
    <row r="36" spans="2:24" x14ac:dyDescent="0.3">
      <c r="B36" s="220" t="s">
        <v>382</v>
      </c>
      <c r="C36" s="221">
        <v>0.1</v>
      </c>
      <c r="D36" s="222">
        <v>0.2</v>
      </c>
      <c r="E36" s="222">
        <v>0.3</v>
      </c>
      <c r="F36" s="222">
        <v>0.4</v>
      </c>
      <c r="G36" s="222">
        <v>0.5</v>
      </c>
      <c r="H36" s="222">
        <v>0.6</v>
      </c>
      <c r="I36" s="222">
        <v>0.7</v>
      </c>
      <c r="J36" s="222">
        <v>0.8</v>
      </c>
      <c r="K36" s="222">
        <v>0.9</v>
      </c>
      <c r="L36" s="223">
        <v>0.1</v>
      </c>
      <c r="M36" s="224">
        <v>0.2</v>
      </c>
      <c r="N36" s="224">
        <v>0.3</v>
      </c>
      <c r="O36" s="224">
        <v>0.4</v>
      </c>
      <c r="P36" s="224">
        <v>0.5</v>
      </c>
      <c r="Q36" s="224">
        <v>0.6</v>
      </c>
      <c r="R36" s="224">
        <v>0.7</v>
      </c>
      <c r="S36" s="224">
        <v>0.8</v>
      </c>
      <c r="T36" s="224">
        <v>0.9</v>
      </c>
      <c r="U36" s="225" t="s">
        <v>2040</v>
      </c>
      <c r="V36" s="226" t="s">
        <v>2041</v>
      </c>
      <c r="W36" s="227" t="s">
        <v>1943</v>
      </c>
    </row>
    <row r="37" spans="2:24" x14ac:dyDescent="0.3">
      <c r="B37" s="228" t="s">
        <v>2064</v>
      </c>
      <c r="C37" s="234">
        <v>2467069614.9357791</v>
      </c>
      <c r="D37" s="234">
        <v>2579156519.9317136</v>
      </c>
      <c r="E37" s="234">
        <v>2671549304.7326999</v>
      </c>
      <c r="F37" s="234">
        <v>2756618215.3720255</v>
      </c>
      <c r="G37" s="234">
        <v>2839830886.1451435</v>
      </c>
      <c r="H37" s="234">
        <v>2925183157.1065454</v>
      </c>
      <c r="I37" s="234">
        <v>3017169112.9642973</v>
      </c>
      <c r="J37" s="234">
        <v>3123261770.42101</v>
      </c>
      <c r="K37" s="234">
        <v>3262633877.1818705</v>
      </c>
      <c r="L37" s="234">
        <v>8066345823.6894226</v>
      </c>
      <c r="M37" s="234">
        <v>8178432728.685358</v>
      </c>
      <c r="N37" s="234">
        <v>8270825513.4863434</v>
      </c>
      <c r="O37" s="234">
        <v>8355894424.1256695</v>
      </c>
      <c r="P37" s="234">
        <v>8439107094.8987885</v>
      </c>
      <c r="Q37" s="234">
        <v>8524459365.8601894</v>
      </c>
      <c r="R37" s="234">
        <v>8616445321.7179413</v>
      </c>
      <c r="S37" s="234">
        <v>8722537979.174654</v>
      </c>
      <c r="T37" s="234">
        <v>8861910085.9355145</v>
      </c>
      <c r="U37" s="234">
        <v>8066345823.6894226</v>
      </c>
      <c r="V37" s="234">
        <v>8861910085.9355145</v>
      </c>
      <c r="W37" s="234">
        <v>795564262.24609184</v>
      </c>
      <c r="X37" s="233"/>
    </row>
    <row r="38" spans="2:24" x14ac:dyDescent="0.3">
      <c r="B38" s="229" t="s">
        <v>2065</v>
      </c>
      <c r="C38" s="232">
        <v>1454989168.2597964</v>
      </c>
      <c r="D38" s="232">
        <v>1565234315.6210451</v>
      </c>
      <c r="E38" s="232">
        <v>1655207290.9903817</v>
      </c>
      <c r="F38" s="232">
        <v>1737445521.129868</v>
      </c>
      <c r="G38" s="232">
        <v>1817388377.1958227</v>
      </c>
      <c r="H38" s="232">
        <v>1898907812.2832992</v>
      </c>
      <c r="I38" s="232">
        <v>1986243049.5667624</v>
      </c>
      <c r="J38" s="232">
        <v>2086311762.3314629</v>
      </c>
      <c r="K38" s="232">
        <v>2216666581.7323728</v>
      </c>
      <c r="L38" s="232">
        <v>8076707885.9627609</v>
      </c>
      <c r="M38" s="232">
        <v>8186953033.3240108</v>
      </c>
      <c r="N38" s="232">
        <v>8276926008.693346</v>
      </c>
      <c r="O38" s="232">
        <v>8359164238.8328323</v>
      </c>
      <c r="P38" s="232">
        <v>8439107094.8987885</v>
      </c>
      <c r="Q38" s="232">
        <v>8520626529.9862633</v>
      </c>
      <c r="R38" s="232">
        <v>8607961767.2697277</v>
      </c>
      <c r="S38" s="232">
        <v>8708030480.0344276</v>
      </c>
      <c r="T38" s="232">
        <v>8838385299.4353371</v>
      </c>
      <c r="U38" s="232">
        <v>8076707885.9627609</v>
      </c>
      <c r="V38" s="232">
        <v>8838385299.4353371</v>
      </c>
      <c r="W38" s="232">
        <v>761677413.47257614</v>
      </c>
      <c r="X38" s="233"/>
    </row>
    <row r="39" spans="2:24" x14ac:dyDescent="0.3">
      <c r="B39" s="229" t="s">
        <v>2066</v>
      </c>
      <c r="C39" s="232">
        <v>616866596.56171989</v>
      </c>
      <c r="D39" s="232">
        <v>651805404.11564028</v>
      </c>
      <c r="E39" s="232">
        <v>681238079.09177876</v>
      </c>
      <c r="F39" s="232">
        <v>708767009.69208705</v>
      </c>
      <c r="G39" s="232">
        <v>736055849.61848187</v>
      </c>
      <c r="H39" s="232">
        <v>764394154.09317183</v>
      </c>
      <c r="I39" s="232">
        <v>795315599.77307105</v>
      </c>
      <c r="J39" s="232">
        <v>831466250.51976061</v>
      </c>
      <c r="K39" s="232">
        <v>879779741.47337329</v>
      </c>
      <c r="L39" s="232">
        <v>8319917841.8420258</v>
      </c>
      <c r="M39" s="232">
        <v>8354856649.3959465</v>
      </c>
      <c r="N39" s="232">
        <v>8384289324.3720856</v>
      </c>
      <c r="O39" s="232">
        <v>8411818254.972393</v>
      </c>
      <c r="P39" s="232">
        <v>8439107094.8987885</v>
      </c>
      <c r="Q39" s="232">
        <v>8467445399.3734779</v>
      </c>
      <c r="R39" s="232">
        <v>8498366845.0533772</v>
      </c>
      <c r="S39" s="232">
        <v>8534517495.800066</v>
      </c>
      <c r="T39" s="232">
        <v>8582830986.7536793</v>
      </c>
      <c r="U39" s="232">
        <v>8319917841.8420258</v>
      </c>
      <c r="V39" s="232">
        <v>8582830986.7536793</v>
      </c>
      <c r="W39" s="232">
        <v>262913144.91165352</v>
      </c>
      <c r="X39" s="233"/>
    </row>
    <row r="40" spans="2:24" x14ac:dyDescent="0.3">
      <c r="B40" s="229" t="s">
        <v>2067</v>
      </c>
      <c r="C40" s="232">
        <v>502534469.21948135</v>
      </c>
      <c r="D40" s="232">
        <v>532268703.02268875</v>
      </c>
      <c r="E40" s="232">
        <v>556095939.99643421</v>
      </c>
      <c r="F40" s="232">
        <v>577581986.25205708</v>
      </c>
      <c r="G40" s="232">
        <v>598225440.16430593</v>
      </c>
      <c r="H40" s="232">
        <v>619044147.96532428</v>
      </c>
      <c r="I40" s="232">
        <v>641096799.67386949</v>
      </c>
      <c r="J40" s="232">
        <v>666046404.72758567</v>
      </c>
      <c r="K40" s="232">
        <v>698016623.27565944</v>
      </c>
      <c r="L40" s="232">
        <v>8343416123.9539623</v>
      </c>
      <c r="M40" s="232">
        <v>8373150357.7571697</v>
      </c>
      <c r="N40" s="232">
        <v>8396977594.730917</v>
      </c>
      <c r="O40" s="232">
        <v>8418463640.9865398</v>
      </c>
      <c r="P40" s="232">
        <v>8439107094.8987885</v>
      </c>
      <c r="Q40" s="232">
        <v>8459925802.6998062</v>
      </c>
      <c r="R40" s="232">
        <v>8481978454.4083519</v>
      </c>
      <c r="S40" s="232">
        <v>8506928059.4620667</v>
      </c>
      <c r="T40" s="232">
        <v>8538898278.0101414</v>
      </c>
      <c r="U40" s="232">
        <v>8343416123.9539623</v>
      </c>
      <c r="V40" s="232">
        <v>8538898278.0101414</v>
      </c>
      <c r="W40" s="232">
        <v>195482154.05617905</v>
      </c>
      <c r="X40" s="233"/>
    </row>
    <row r="41" spans="2:24" x14ac:dyDescent="0.3">
      <c r="B41" s="229" t="s">
        <v>2068</v>
      </c>
      <c r="C41" s="232">
        <v>595801014.46057796</v>
      </c>
      <c r="D41" s="232">
        <v>627841592.81604445</v>
      </c>
      <c r="E41" s="232">
        <v>652787801.11680746</v>
      </c>
      <c r="F41" s="232">
        <v>674798092.566957</v>
      </c>
      <c r="G41" s="232">
        <v>695543845.97258615</v>
      </c>
      <c r="H41" s="232">
        <v>716083233.04515982</v>
      </c>
      <c r="I41" s="232">
        <v>737426332.72030056</v>
      </c>
      <c r="J41" s="232">
        <v>761050934.05417585</v>
      </c>
      <c r="K41" s="232">
        <v>790458640.57765651</v>
      </c>
      <c r="L41" s="232">
        <v>8339364263.3867798</v>
      </c>
      <c r="M41" s="232">
        <v>8371404841.7422466</v>
      </c>
      <c r="N41" s="232">
        <v>8396351050.0430088</v>
      </c>
      <c r="O41" s="232">
        <v>8418361341.4931583</v>
      </c>
      <c r="P41" s="232">
        <v>8439107094.8987885</v>
      </c>
      <c r="Q41" s="232">
        <v>8459646481.9713612</v>
      </c>
      <c r="R41" s="232">
        <v>8480989581.6465025</v>
      </c>
      <c r="S41" s="232">
        <v>8504614182.9803772</v>
      </c>
      <c r="T41" s="232">
        <v>8534021889.5038586</v>
      </c>
      <c r="U41" s="232">
        <v>8339364263.3867798</v>
      </c>
      <c r="V41" s="232">
        <v>8534021889.5038586</v>
      </c>
      <c r="W41" s="232">
        <v>194657626.11707878</v>
      </c>
      <c r="X41" s="233"/>
    </row>
    <row r="42" spans="2:24" x14ac:dyDescent="0.3">
      <c r="B42" s="229" t="s">
        <v>2069</v>
      </c>
      <c r="C42" s="232">
        <v>421622922.70443362</v>
      </c>
      <c r="D42" s="232">
        <v>447592271.76714289</v>
      </c>
      <c r="E42" s="232">
        <v>468653226.32313985</v>
      </c>
      <c r="F42" s="232">
        <v>487814451.23176515</v>
      </c>
      <c r="G42" s="232">
        <v>506366603.38214976</v>
      </c>
      <c r="H42" s="232">
        <v>525213501.36247075</v>
      </c>
      <c r="I42" s="232">
        <v>545327638.70254111</v>
      </c>
      <c r="J42" s="232">
        <v>568276103.8838762</v>
      </c>
      <c r="K42" s="232">
        <v>598005427.21954334</v>
      </c>
      <c r="L42" s="232">
        <v>8354363414.2210712</v>
      </c>
      <c r="M42" s="232">
        <v>8380332763.2837811</v>
      </c>
      <c r="N42" s="232">
        <v>8401393717.8397789</v>
      </c>
      <c r="O42" s="232">
        <v>8420554942.7484035</v>
      </c>
      <c r="P42" s="232">
        <v>8439107094.8987885</v>
      </c>
      <c r="Q42" s="232">
        <v>8457953992.8791084</v>
      </c>
      <c r="R42" s="232">
        <v>8478068130.2191792</v>
      </c>
      <c r="S42" s="232">
        <v>8501016595.4005146</v>
      </c>
      <c r="T42" s="232">
        <v>8530745918.7361813</v>
      </c>
      <c r="U42" s="232">
        <v>8354363414.2210712</v>
      </c>
      <c r="V42" s="232">
        <v>8530745918.7361813</v>
      </c>
      <c r="W42" s="232">
        <v>176382504.51511002</v>
      </c>
      <c r="X42" s="233"/>
    </row>
    <row r="43" spans="2:24" x14ac:dyDescent="0.3">
      <c r="B43" s="229" t="s">
        <v>2070</v>
      </c>
      <c r="C43" s="232">
        <v>624078476.2923367</v>
      </c>
      <c r="D43" s="232">
        <v>648726208.11073577</v>
      </c>
      <c r="E43" s="232">
        <v>668512864.72653735</v>
      </c>
      <c r="F43" s="232">
        <v>686379221.38765585</v>
      </c>
      <c r="G43" s="232">
        <v>703564901.67306161</v>
      </c>
      <c r="H43" s="232">
        <v>720915677.05920768</v>
      </c>
      <c r="I43" s="232">
        <v>739315794.17772472</v>
      </c>
      <c r="J43" s="232">
        <v>760159752.43900919</v>
      </c>
      <c r="K43" s="232">
        <v>786913822.65312052</v>
      </c>
      <c r="L43" s="232">
        <v>8359620669.5180635</v>
      </c>
      <c r="M43" s="232">
        <v>8384268401.336463</v>
      </c>
      <c r="N43" s="232">
        <v>8404055057.9522648</v>
      </c>
      <c r="O43" s="232">
        <v>8421921414.6133833</v>
      </c>
      <c r="P43" s="232">
        <v>8439107094.8987885</v>
      </c>
      <c r="Q43" s="232">
        <v>8456457870.284935</v>
      </c>
      <c r="R43" s="232">
        <v>8474857987.4034519</v>
      </c>
      <c r="S43" s="232">
        <v>8495701945.6647358</v>
      </c>
      <c r="T43" s="232">
        <v>8522456015.8788471</v>
      </c>
      <c r="U43" s="232">
        <v>8359620669.5180635</v>
      </c>
      <c r="V43" s="232">
        <v>8522456015.8788471</v>
      </c>
      <c r="W43" s="232">
        <v>162835346.36078358</v>
      </c>
      <c r="X43" s="233"/>
    </row>
    <row r="44" spans="2:24" x14ac:dyDescent="0.3">
      <c r="B44" s="229" t="s">
        <v>2071</v>
      </c>
      <c r="C44" s="232">
        <v>309270594.2932815</v>
      </c>
      <c r="D44" s="232">
        <v>325560583.87937403</v>
      </c>
      <c r="E44" s="232">
        <v>338995510.74311888</v>
      </c>
      <c r="F44" s="232">
        <v>351370271.20785296</v>
      </c>
      <c r="G44" s="232">
        <v>363479016.88260102</v>
      </c>
      <c r="H44" s="232">
        <v>375902951.11933911</v>
      </c>
      <c r="I44" s="232">
        <v>389296673.01431507</v>
      </c>
      <c r="J44" s="232">
        <v>404749743.39872074</v>
      </c>
      <c r="K44" s="232">
        <v>425059115.25059229</v>
      </c>
      <c r="L44" s="232">
        <v>8384898672.3094692</v>
      </c>
      <c r="M44" s="232">
        <v>8401188661.8955612</v>
      </c>
      <c r="N44" s="232">
        <v>8414623588.759306</v>
      </c>
      <c r="O44" s="232">
        <v>8426998349.2240391</v>
      </c>
      <c r="P44" s="232">
        <v>8439107094.8987885</v>
      </c>
      <c r="Q44" s="232">
        <v>8451531029.1355267</v>
      </c>
      <c r="R44" s="232">
        <v>8464924751.0305023</v>
      </c>
      <c r="S44" s="232">
        <v>8480377821.4149075</v>
      </c>
      <c r="T44" s="232">
        <v>8500687193.2667789</v>
      </c>
      <c r="U44" s="232">
        <v>8384898672.3094692</v>
      </c>
      <c r="V44" s="232">
        <v>8500687193.2667789</v>
      </c>
      <c r="W44" s="232">
        <v>115788520.95730972</v>
      </c>
      <c r="X44" s="233"/>
    </row>
    <row r="45" spans="2:24" x14ac:dyDescent="0.3">
      <c r="B45" s="229" t="s">
        <v>2072</v>
      </c>
      <c r="C45" s="232">
        <v>51068658.382335253</v>
      </c>
      <c r="D45" s="232">
        <v>53814993.669946671</v>
      </c>
      <c r="E45" s="232">
        <v>55953240.095726363</v>
      </c>
      <c r="F45" s="232">
        <v>57839836.505739167</v>
      </c>
      <c r="G45" s="232">
        <v>59618043.94050739</v>
      </c>
      <c r="H45" s="232">
        <v>61378562.832442276</v>
      </c>
      <c r="I45" s="232">
        <v>63207971.376025766</v>
      </c>
      <c r="J45" s="232">
        <v>65232937.204643637</v>
      </c>
      <c r="K45" s="232">
        <v>67753597.763799131</v>
      </c>
      <c r="L45" s="232">
        <v>8430557709.3406162</v>
      </c>
      <c r="M45" s="232">
        <v>8433304044.6282272</v>
      </c>
      <c r="N45" s="232">
        <v>8435442291.0540066</v>
      </c>
      <c r="O45" s="232">
        <v>8437328887.4640198</v>
      </c>
      <c r="P45" s="232">
        <v>8439107094.8987885</v>
      </c>
      <c r="Q45" s="232">
        <v>8440867613.7907219</v>
      </c>
      <c r="R45" s="232">
        <v>8442697022.3343067</v>
      </c>
      <c r="S45" s="232">
        <v>8444721988.1629238</v>
      </c>
      <c r="T45" s="232">
        <v>8447242648.7220802</v>
      </c>
      <c r="U45" s="232">
        <v>8430557709.3406162</v>
      </c>
      <c r="V45" s="232">
        <v>8447242648.7220802</v>
      </c>
      <c r="W45" s="232">
        <v>16684939.381464005</v>
      </c>
      <c r="X45" s="233"/>
    </row>
    <row r="46" spans="2:24" x14ac:dyDescent="0.3">
      <c r="B46" s="229" t="s">
        <v>2073</v>
      </c>
      <c r="C46" s="232">
        <v>19661433.477199074</v>
      </c>
      <c r="D46" s="232">
        <v>20718772.56292947</v>
      </c>
      <c r="E46" s="232">
        <v>21541997.436854653</v>
      </c>
      <c r="F46" s="232">
        <v>22268337.054709584</v>
      </c>
      <c r="G46" s="232">
        <v>22952946.917095345</v>
      </c>
      <c r="H46" s="232">
        <v>23630746.690490276</v>
      </c>
      <c r="I46" s="232">
        <v>24335068.979769919</v>
      </c>
      <c r="J46" s="232">
        <v>25114680.823787801</v>
      </c>
      <c r="K46" s="232">
        <v>26085135.139062665</v>
      </c>
      <c r="L46" s="232">
        <v>8435815581.4588909</v>
      </c>
      <c r="M46" s="232">
        <v>8436872920.5446224</v>
      </c>
      <c r="N46" s="232">
        <v>8437696145.4185467</v>
      </c>
      <c r="O46" s="232">
        <v>8438422485.0364017</v>
      </c>
      <c r="P46" s="232">
        <v>8439107094.8987885</v>
      </c>
      <c r="Q46" s="232">
        <v>8439784894.6721821</v>
      </c>
      <c r="R46" s="232">
        <v>8440489216.961462</v>
      </c>
      <c r="S46" s="232">
        <v>8441268828.805481</v>
      </c>
      <c r="T46" s="232">
        <v>8442239283.1207561</v>
      </c>
      <c r="U46" s="232">
        <v>8435815581.4588909</v>
      </c>
      <c r="V46" s="232">
        <v>8442239283.1207561</v>
      </c>
      <c r="W46" s="232">
        <v>6423701.6618652344</v>
      </c>
      <c r="X46" s="233"/>
    </row>
    <row r="47" spans="2:24" x14ac:dyDescent="0.3">
      <c r="B47" s="229" t="s">
        <v>2074</v>
      </c>
      <c r="C47" s="232">
        <v>8511443.0637225416</v>
      </c>
      <c r="D47" s="232">
        <v>8969165.6116577778</v>
      </c>
      <c r="E47" s="232">
        <v>9325540.015954392</v>
      </c>
      <c r="F47" s="232">
        <v>9639972.7509565279</v>
      </c>
      <c r="G47" s="232">
        <v>9936340.6567512304</v>
      </c>
      <c r="H47" s="232">
        <v>10229760.47207371</v>
      </c>
      <c r="I47" s="232">
        <v>10534661.896004293</v>
      </c>
      <c r="J47" s="232">
        <v>10872156.200773939</v>
      </c>
      <c r="K47" s="232">
        <v>11292266.293966521</v>
      </c>
      <c r="L47" s="232">
        <v>8437682197.3057594</v>
      </c>
      <c r="M47" s="232">
        <v>8438139919.8536949</v>
      </c>
      <c r="N47" s="232">
        <v>8438496294.2579918</v>
      </c>
      <c r="O47" s="232">
        <v>8438810726.9929924</v>
      </c>
      <c r="P47" s="232">
        <v>8439107094.8987885</v>
      </c>
      <c r="Q47" s="232">
        <v>8439400514.7141094</v>
      </c>
      <c r="R47" s="232">
        <v>8439705416.1380405</v>
      </c>
      <c r="S47" s="232">
        <v>8440042910.4428101</v>
      </c>
      <c r="T47" s="232">
        <v>8440463020.5360031</v>
      </c>
      <c r="U47" s="232">
        <v>8437682197.3057594</v>
      </c>
      <c r="V47" s="232">
        <v>8440463020.5360031</v>
      </c>
      <c r="W47" s="232">
        <v>2780823.2302436829</v>
      </c>
      <c r="X47" s="233"/>
    </row>
    <row r="48" spans="2:24" x14ac:dyDescent="0.3">
      <c r="B48" s="229" t="s">
        <v>2075</v>
      </c>
      <c r="C48" s="232">
        <v>8511443.0637225416</v>
      </c>
      <c r="D48" s="232">
        <v>8969165.6116577778</v>
      </c>
      <c r="E48" s="232">
        <v>9325540.015954392</v>
      </c>
      <c r="F48" s="232">
        <v>9639972.7509565279</v>
      </c>
      <c r="G48" s="232">
        <v>9936340.6567512304</v>
      </c>
      <c r="H48" s="232">
        <v>10229760.47207371</v>
      </c>
      <c r="I48" s="232">
        <v>10534661.896004293</v>
      </c>
      <c r="J48" s="232">
        <v>10872156.200773939</v>
      </c>
      <c r="K48" s="232">
        <v>11292266.293966521</v>
      </c>
      <c r="L48" s="232">
        <v>8437682197.3057594</v>
      </c>
      <c r="M48" s="232">
        <v>8438139919.8536949</v>
      </c>
      <c r="N48" s="232">
        <v>8438496294.2579918</v>
      </c>
      <c r="O48" s="232">
        <v>8438810726.9929924</v>
      </c>
      <c r="P48" s="232">
        <v>8439107094.8987885</v>
      </c>
      <c r="Q48" s="232">
        <v>8439400514.7141094</v>
      </c>
      <c r="R48" s="232">
        <v>8439705416.1380405</v>
      </c>
      <c r="S48" s="232">
        <v>8440042910.4428101</v>
      </c>
      <c r="T48" s="232">
        <v>8440463020.5360031</v>
      </c>
      <c r="U48" s="232">
        <v>8437682197.3057594</v>
      </c>
      <c r="V48" s="232">
        <v>8440463020.5360031</v>
      </c>
      <c r="W48" s="232">
        <v>2780823.2302436829</v>
      </c>
      <c r="X48" s="233"/>
    </row>
    <row r="49" spans="2:24" x14ac:dyDescent="0.3">
      <c r="B49" s="229" t="s">
        <v>2076</v>
      </c>
      <c r="C49" s="232">
        <v>8511443.0637225416</v>
      </c>
      <c r="D49" s="232">
        <v>8969165.6116577778</v>
      </c>
      <c r="E49" s="232">
        <v>9325540.015954392</v>
      </c>
      <c r="F49" s="232">
        <v>9639972.7509565279</v>
      </c>
      <c r="G49" s="232">
        <v>9936340.6567512304</v>
      </c>
      <c r="H49" s="232">
        <v>10229760.47207371</v>
      </c>
      <c r="I49" s="232">
        <v>10534661.896004293</v>
      </c>
      <c r="J49" s="232">
        <v>10872156.200773939</v>
      </c>
      <c r="K49" s="232">
        <v>11292266.293966521</v>
      </c>
      <c r="L49" s="232">
        <v>8437682197.3057594</v>
      </c>
      <c r="M49" s="232">
        <v>8438139919.8536949</v>
      </c>
      <c r="N49" s="232">
        <v>8438496294.2579908</v>
      </c>
      <c r="O49" s="232">
        <v>8438810726.9929934</v>
      </c>
      <c r="P49" s="232">
        <v>8439107094.8987885</v>
      </c>
      <c r="Q49" s="232">
        <v>8439400514.7141104</v>
      </c>
      <c r="R49" s="232">
        <v>8439705416.1380415</v>
      </c>
      <c r="S49" s="232">
        <v>8440042910.442811</v>
      </c>
      <c r="T49" s="232">
        <v>8440463020.5360031</v>
      </c>
      <c r="U49" s="232">
        <v>8437682197.3057594</v>
      </c>
      <c r="V49" s="232">
        <v>8440463020.5360031</v>
      </c>
      <c r="W49" s="232">
        <v>2780823.2302436829</v>
      </c>
      <c r="X49" s="233"/>
    </row>
    <row r="50" spans="2:24" x14ac:dyDescent="0.3">
      <c r="B50" s="229" t="s">
        <v>2077</v>
      </c>
      <c r="C50" s="232">
        <v>8511443.0637225416</v>
      </c>
      <c r="D50" s="232">
        <v>8969165.6116577778</v>
      </c>
      <c r="E50" s="232">
        <v>9325540.015954392</v>
      </c>
      <c r="F50" s="232">
        <v>9639972.7509565279</v>
      </c>
      <c r="G50" s="232">
        <v>9936340.6567512304</v>
      </c>
      <c r="H50" s="232">
        <v>10229760.47207371</v>
      </c>
      <c r="I50" s="232">
        <v>10534661.896004293</v>
      </c>
      <c r="J50" s="232">
        <v>10872156.200773939</v>
      </c>
      <c r="K50" s="232">
        <v>11292266.293966521</v>
      </c>
      <c r="L50" s="232">
        <v>8437682197.3057594</v>
      </c>
      <c r="M50" s="232">
        <v>8438139919.8536949</v>
      </c>
      <c r="N50" s="232">
        <v>8438496294.2579908</v>
      </c>
      <c r="O50" s="232">
        <v>8438810726.9929934</v>
      </c>
      <c r="P50" s="232">
        <v>8439107094.8987885</v>
      </c>
      <c r="Q50" s="232">
        <v>8439400514.7141104</v>
      </c>
      <c r="R50" s="232">
        <v>8439705416.1380415</v>
      </c>
      <c r="S50" s="232">
        <v>8440042910.442811</v>
      </c>
      <c r="T50" s="232">
        <v>8440463020.5360031</v>
      </c>
      <c r="U50" s="232">
        <v>8437682197.3057594</v>
      </c>
      <c r="V50" s="232">
        <v>8440463020.5360031</v>
      </c>
      <c r="W50" s="232">
        <v>2780823.2302436829</v>
      </c>
      <c r="X50" s="233"/>
    </row>
    <row r="51" spans="2:24" x14ac:dyDescent="0.3">
      <c r="B51" s="229" t="s">
        <v>2078</v>
      </c>
      <c r="C51" s="232">
        <v>8511443.0637225416</v>
      </c>
      <c r="D51" s="232">
        <v>8969165.6116577778</v>
      </c>
      <c r="E51" s="232">
        <v>9325540.015954392</v>
      </c>
      <c r="F51" s="232">
        <v>9639972.7509565279</v>
      </c>
      <c r="G51" s="232">
        <v>9936340.6567512304</v>
      </c>
      <c r="H51" s="232">
        <v>10229760.47207371</v>
      </c>
      <c r="I51" s="232">
        <v>10534661.896004293</v>
      </c>
      <c r="J51" s="232">
        <v>10872156.200773939</v>
      </c>
      <c r="K51" s="232">
        <v>11292266.293966521</v>
      </c>
      <c r="L51" s="232">
        <v>8437682197.3057594</v>
      </c>
      <c r="M51" s="232">
        <v>8438139919.8536949</v>
      </c>
      <c r="N51" s="232">
        <v>8438496294.2579908</v>
      </c>
      <c r="O51" s="232">
        <v>8438810726.9929934</v>
      </c>
      <c r="P51" s="232">
        <v>8439107094.8987885</v>
      </c>
      <c r="Q51" s="232">
        <v>8439400514.7141104</v>
      </c>
      <c r="R51" s="232">
        <v>8439705416.1380415</v>
      </c>
      <c r="S51" s="232">
        <v>8440042910.442811</v>
      </c>
      <c r="T51" s="232">
        <v>8440463020.5360031</v>
      </c>
      <c r="U51" s="232">
        <v>8437682197.3057594</v>
      </c>
      <c r="V51" s="232">
        <v>8440463020.5360031</v>
      </c>
      <c r="W51" s="232">
        <v>2780823.2302436829</v>
      </c>
      <c r="X51" s="233"/>
    </row>
    <row r="52" spans="2:24" x14ac:dyDescent="0.3">
      <c r="B52" s="229" t="s">
        <v>2079</v>
      </c>
      <c r="C52" s="232">
        <v>7231322.0269386722</v>
      </c>
      <c r="D52" s="232">
        <v>7620203.1036644485</v>
      </c>
      <c r="E52" s="232">
        <v>7922978.7975548524</v>
      </c>
      <c r="F52" s="232">
        <v>8190120.849212666</v>
      </c>
      <c r="G52" s="232">
        <v>8441915.0219758451</v>
      </c>
      <c r="H52" s="232">
        <v>8691204.4970738254</v>
      </c>
      <c r="I52" s="232">
        <v>8950248.7468452491</v>
      </c>
      <c r="J52" s="232">
        <v>9236983.9081775397</v>
      </c>
      <c r="K52" s="232">
        <v>9593909.4433539566</v>
      </c>
      <c r="L52" s="232">
        <v>8437896501.9037514</v>
      </c>
      <c r="M52" s="232">
        <v>8438285382.9804764</v>
      </c>
      <c r="N52" s="232">
        <v>8438588158.674366</v>
      </c>
      <c r="O52" s="232">
        <v>8438855300.7260246</v>
      </c>
      <c r="P52" s="232">
        <v>8439107094.8987885</v>
      </c>
      <c r="Q52" s="232">
        <v>8439356384.3738861</v>
      </c>
      <c r="R52" s="232">
        <v>8439615428.6236572</v>
      </c>
      <c r="S52" s="232">
        <v>8439902163.7849903</v>
      </c>
      <c r="T52" s="232">
        <v>8440259089.3201656</v>
      </c>
      <c r="U52" s="232">
        <v>8437896501.9037514</v>
      </c>
      <c r="V52" s="232">
        <v>8440259089.3201656</v>
      </c>
      <c r="W52" s="232">
        <v>2362587.4164142609</v>
      </c>
      <c r="X52" s="233"/>
    </row>
    <row r="53" spans="2:24" x14ac:dyDescent="0.3">
      <c r="B53" s="229" t="s">
        <v>2080</v>
      </c>
      <c r="C53" s="232">
        <v>4289767.3041161615</v>
      </c>
      <c r="D53" s="232">
        <v>4520459.468275521</v>
      </c>
      <c r="E53" s="232">
        <v>4700072.1680410141</v>
      </c>
      <c r="F53" s="232">
        <v>4858546.2664820906</v>
      </c>
      <c r="G53" s="232">
        <v>5007915.6910026204</v>
      </c>
      <c r="H53" s="232">
        <v>5155799.2779251514</v>
      </c>
      <c r="I53" s="232">
        <v>5309469.5955861639</v>
      </c>
      <c r="J53" s="232">
        <v>5479566.7251900658</v>
      </c>
      <c r="K53" s="232">
        <v>5691302.212159127</v>
      </c>
      <c r="L53" s="232">
        <v>8438388946.5119019</v>
      </c>
      <c r="M53" s="232">
        <v>8438619638.6760616</v>
      </c>
      <c r="N53" s="232">
        <v>8438799251.3758259</v>
      </c>
      <c r="O53" s="232">
        <v>8438957725.474268</v>
      </c>
      <c r="P53" s="232">
        <v>8439107094.8987885</v>
      </c>
      <c r="Q53" s="232">
        <v>8439254978.4857101</v>
      </c>
      <c r="R53" s="232">
        <v>8439408648.8033714</v>
      </c>
      <c r="S53" s="232">
        <v>8439578745.9329758</v>
      </c>
      <c r="T53" s="232">
        <v>8439790481.4199448</v>
      </c>
      <c r="U53" s="232">
        <v>8438388946.5119019</v>
      </c>
      <c r="V53" s="232">
        <v>8439790481.4199448</v>
      </c>
      <c r="W53" s="232">
        <v>1401534.9080429077</v>
      </c>
      <c r="X53" s="233"/>
    </row>
    <row r="54" spans="2:24" x14ac:dyDescent="0.3">
      <c r="B54" s="229" t="s">
        <v>2081</v>
      </c>
      <c r="C54" s="232">
        <v>4017401.1260770406</v>
      </c>
      <c r="D54" s="232">
        <v>4233446.168702472</v>
      </c>
      <c r="E54" s="232">
        <v>4401654.887530474</v>
      </c>
      <c r="F54" s="232">
        <v>4550067.1384514822</v>
      </c>
      <c r="G54" s="232">
        <v>4689952.7899865815</v>
      </c>
      <c r="H54" s="232">
        <v>4828446.9428187925</v>
      </c>
      <c r="I54" s="232">
        <v>4972360.4149140269</v>
      </c>
      <c r="J54" s="232">
        <v>5131657.7267653001</v>
      </c>
      <c r="K54" s="232">
        <v>5329949.6907521989</v>
      </c>
      <c r="L54" s="232">
        <v>8438434543.2348785</v>
      </c>
      <c r="M54" s="232">
        <v>8438650588.277504</v>
      </c>
      <c r="N54" s="232">
        <v>8438818796.9963322</v>
      </c>
      <c r="O54" s="232">
        <v>8438967209.2472534</v>
      </c>
      <c r="P54" s="232">
        <v>8439107094.8987885</v>
      </c>
      <c r="Q54" s="232">
        <v>8439245589.0516205</v>
      </c>
      <c r="R54" s="232">
        <v>8439389502.523716</v>
      </c>
      <c r="S54" s="232">
        <v>8439548799.8355675</v>
      </c>
      <c r="T54" s="232">
        <v>8439747091.7995539</v>
      </c>
      <c r="U54" s="232">
        <v>8438434543.2348785</v>
      </c>
      <c r="V54" s="232">
        <v>8439747091.7995539</v>
      </c>
      <c r="W54" s="232">
        <v>1312548.5646753311</v>
      </c>
      <c r="X54" s="233"/>
    </row>
    <row r="55" spans="2:24" x14ac:dyDescent="0.3">
      <c r="B55" s="229" t="s">
        <v>2082</v>
      </c>
      <c r="C55" s="232">
        <v>4017401.1260770406</v>
      </c>
      <c r="D55" s="232">
        <v>4233446.168702472</v>
      </c>
      <c r="E55" s="232">
        <v>4401654.887530474</v>
      </c>
      <c r="F55" s="232">
        <v>4550067.1384514822</v>
      </c>
      <c r="G55" s="232">
        <v>4689952.7899865815</v>
      </c>
      <c r="H55" s="232">
        <v>4828446.9428187925</v>
      </c>
      <c r="I55" s="232">
        <v>4972360.4149140269</v>
      </c>
      <c r="J55" s="232">
        <v>5131657.7267653001</v>
      </c>
      <c r="K55" s="232">
        <v>5329949.6907521989</v>
      </c>
      <c r="L55" s="232">
        <v>8438434543.2348785</v>
      </c>
      <c r="M55" s="232">
        <v>8438650588.277504</v>
      </c>
      <c r="N55" s="232">
        <v>8438818796.9963322</v>
      </c>
      <c r="O55" s="232">
        <v>8438967209.2472534</v>
      </c>
      <c r="P55" s="232">
        <v>8439107094.8987885</v>
      </c>
      <c r="Q55" s="232">
        <v>8439245589.0516205</v>
      </c>
      <c r="R55" s="232">
        <v>8439389502.523716</v>
      </c>
      <c r="S55" s="232">
        <v>8439548799.8355675</v>
      </c>
      <c r="T55" s="232">
        <v>8439747091.7995529</v>
      </c>
      <c r="U55" s="232">
        <v>8438434543.2348785</v>
      </c>
      <c r="V55" s="232">
        <v>8439747091.7995529</v>
      </c>
      <c r="W55" s="232">
        <v>1312548.5646743774</v>
      </c>
      <c r="X55" s="233"/>
    </row>
    <row r="56" spans="2:24" x14ac:dyDescent="0.3">
      <c r="B56" s="229" t="s">
        <v>2083</v>
      </c>
      <c r="C56" s="232">
        <v>4017401.1260770406</v>
      </c>
      <c r="D56" s="232">
        <v>4233446.168702472</v>
      </c>
      <c r="E56" s="232">
        <v>4401654.887530474</v>
      </c>
      <c r="F56" s="232">
        <v>4550067.1384514822</v>
      </c>
      <c r="G56" s="232">
        <v>4689952.7899865815</v>
      </c>
      <c r="H56" s="232">
        <v>4828446.9428187925</v>
      </c>
      <c r="I56" s="232">
        <v>4972360.4149140269</v>
      </c>
      <c r="J56" s="232">
        <v>5131657.7267653001</v>
      </c>
      <c r="K56" s="232">
        <v>5329949.6907521989</v>
      </c>
      <c r="L56" s="232">
        <v>8438434543.2348785</v>
      </c>
      <c r="M56" s="232">
        <v>8438650588.277504</v>
      </c>
      <c r="N56" s="232">
        <v>8438818796.9963322</v>
      </c>
      <c r="O56" s="232">
        <v>8438967209.2472534</v>
      </c>
      <c r="P56" s="232">
        <v>8439107094.8987885</v>
      </c>
      <c r="Q56" s="232">
        <v>8439245589.0516205</v>
      </c>
      <c r="R56" s="232">
        <v>8439389502.523716</v>
      </c>
      <c r="S56" s="232">
        <v>8439548799.8355675</v>
      </c>
      <c r="T56" s="232">
        <v>8439747091.7995529</v>
      </c>
      <c r="U56" s="232">
        <v>8438434543.2348785</v>
      </c>
      <c r="V56" s="232">
        <v>8439747091.7995529</v>
      </c>
      <c r="W56" s="232">
        <v>1312548.5646743774</v>
      </c>
      <c r="X56" s="233"/>
    </row>
  </sheetData>
  <mergeCells count="2">
    <mergeCell ref="C35:K35"/>
    <mergeCell ref="L35:W35"/>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34077-7C83-4518-AE6F-FEAC216BA325}">
  <sheetPr codeName="Sheet14"/>
  <dimension ref="A1:B1"/>
  <sheetViews>
    <sheetView workbookViewId="0"/>
  </sheetViews>
  <sheetFormatPr defaultRowHeight="14.4" x14ac:dyDescent="0.3"/>
  <sheetData>
    <row r="1" spans="1:2" x14ac:dyDescent="0.3">
      <c r="A1" t="s">
        <v>2084</v>
      </c>
      <c r="B1">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A4C4D-6305-45CE-BD52-8242BD9A5F51}">
  <sheetPr codeName="Sheet9">
    <tabColor rgb="FFFF4B4B"/>
    <pageSetUpPr fitToPage="1"/>
  </sheetPr>
  <dimension ref="B1:AF108"/>
  <sheetViews>
    <sheetView showGridLines="0" view="pageBreakPreview" topLeftCell="A10" zoomScale="145" zoomScaleNormal="85" zoomScaleSheetLayoutView="145" workbookViewId="0">
      <selection activeCell="V29" sqref="V29"/>
    </sheetView>
  </sheetViews>
  <sheetFormatPr defaultColWidth="4.88671875" defaultRowHeight="11.4" x14ac:dyDescent="0.2"/>
  <cols>
    <col min="1" max="1" width="1.88671875" style="73" customWidth="1"/>
    <col min="2" max="2" width="1.88671875" style="75" customWidth="1"/>
    <col min="3" max="4" width="5.88671875" style="75" customWidth="1"/>
    <col min="5" max="18" width="5.88671875" style="73" customWidth="1"/>
    <col min="19" max="25" width="4.88671875" style="73"/>
    <col min="26" max="26" width="4.88671875" style="95"/>
    <col min="27" max="27" width="29.109375" style="95" customWidth="1"/>
    <col min="28" max="28" width="9.44140625" style="95" customWidth="1"/>
    <col min="29" max="29" width="19" style="97" customWidth="1"/>
    <col min="30" max="30" width="7.109375" style="95" customWidth="1"/>
    <col min="31" max="32" width="4.88671875" style="95"/>
    <col min="33" max="16384" width="4.88671875" style="73"/>
  </cols>
  <sheetData>
    <row r="1" spans="2:29" x14ac:dyDescent="0.2">
      <c r="B1" s="76"/>
      <c r="C1" s="76"/>
      <c r="D1" s="76"/>
      <c r="AC1" s="96"/>
    </row>
    <row r="2" spans="2:29" x14ac:dyDescent="0.2">
      <c r="B2" s="76"/>
      <c r="C2" s="73"/>
      <c r="D2" s="76"/>
      <c r="L2" s="73" t="s">
        <v>318</v>
      </c>
      <c r="AC2" s="96"/>
    </row>
    <row r="3" spans="2:29" ht="17.399999999999999" x14ac:dyDescent="0.3">
      <c r="B3" s="76"/>
      <c r="C3" s="85" t="s">
        <v>319</v>
      </c>
      <c r="D3" s="76"/>
      <c r="L3" s="104" t="s">
        <v>320</v>
      </c>
      <c r="AC3" s="96"/>
    </row>
    <row r="4" spans="2:29" x14ac:dyDescent="0.2">
      <c r="B4" s="76"/>
      <c r="C4" s="76"/>
      <c r="D4" s="76"/>
      <c r="AC4" s="96"/>
    </row>
    <row r="5" spans="2:29" x14ac:dyDescent="0.2">
      <c r="B5" s="76"/>
      <c r="C5" s="92" t="s">
        <v>321</v>
      </c>
      <c r="D5" s="80"/>
      <c r="E5" s="81"/>
      <c r="F5" s="81"/>
      <c r="G5" s="81"/>
      <c r="H5" s="81"/>
      <c r="I5" s="81"/>
      <c r="J5" s="94" t="s">
        <v>322</v>
      </c>
      <c r="K5" s="136" t="e">
        <f>#REF!</f>
        <v>#REF!</v>
      </c>
      <c r="L5" s="93"/>
      <c r="M5" s="81"/>
      <c r="N5" s="82"/>
      <c r="O5" s="91" t="s">
        <v>323</v>
      </c>
      <c r="P5" s="83"/>
      <c r="Q5" s="83"/>
      <c r="R5" s="84"/>
      <c r="AC5" s="96"/>
    </row>
    <row r="6" spans="2:29" ht="12" x14ac:dyDescent="0.2">
      <c r="B6" s="76"/>
      <c r="C6" s="403" t="e">
        <f>#REF!</f>
        <v>#REF!</v>
      </c>
      <c r="D6" s="404"/>
      <c r="E6" s="404"/>
      <c r="F6" s="404"/>
      <c r="G6" s="404"/>
      <c r="H6" s="404"/>
      <c r="I6" s="404"/>
      <c r="J6" s="404"/>
      <c r="K6" s="404"/>
      <c r="L6" s="404"/>
      <c r="M6" s="404"/>
      <c r="N6" s="405"/>
      <c r="O6" s="400"/>
      <c r="P6" s="401"/>
      <c r="Q6" s="401"/>
      <c r="R6" s="402"/>
      <c r="AC6" s="96"/>
    </row>
    <row r="7" spans="2:29" ht="8.25" customHeight="1" x14ac:dyDescent="0.25">
      <c r="B7" s="77"/>
      <c r="C7" s="86"/>
      <c r="D7" s="78"/>
      <c r="E7" s="79"/>
      <c r="F7" s="79"/>
      <c r="G7" s="79"/>
      <c r="H7" s="79"/>
      <c r="I7" s="79"/>
      <c r="J7" s="79"/>
      <c r="K7" s="79"/>
      <c r="L7" s="79"/>
      <c r="M7" s="79"/>
      <c r="N7" s="79"/>
      <c r="O7" s="87"/>
      <c r="AC7" s="96"/>
    </row>
    <row r="8" spans="2:29" ht="12" customHeight="1" x14ac:dyDescent="0.2">
      <c r="B8" s="77"/>
      <c r="C8" s="392" t="s">
        <v>324</v>
      </c>
      <c r="D8" s="392"/>
      <c r="E8" s="392"/>
      <c r="F8" s="392"/>
      <c r="G8" s="392"/>
      <c r="H8" s="392"/>
      <c r="I8" s="392"/>
      <c r="J8" s="392"/>
      <c r="K8" s="392"/>
      <c r="L8" s="392"/>
      <c r="M8" s="392"/>
      <c r="N8" s="392"/>
      <c r="O8" s="392"/>
      <c r="P8" s="392"/>
      <c r="Q8" s="392"/>
      <c r="R8" s="392"/>
      <c r="AC8" s="96"/>
    </row>
    <row r="9" spans="2:29" ht="5.25" customHeight="1" x14ac:dyDescent="0.2">
      <c r="B9" s="74"/>
      <c r="C9" s="74"/>
      <c r="D9" s="74"/>
    </row>
    <row r="10" spans="2:29" x14ac:dyDescent="0.2">
      <c r="B10" s="74"/>
      <c r="C10" s="74"/>
      <c r="D10" s="74"/>
    </row>
    <row r="11" spans="2:29" x14ac:dyDescent="0.2">
      <c r="B11" s="74"/>
      <c r="C11" s="74"/>
      <c r="D11" s="74"/>
    </row>
    <row r="29" spans="3:18" ht="11.25" customHeight="1" x14ac:dyDescent="0.2"/>
    <row r="30" spans="3:18" ht="12" customHeight="1" x14ac:dyDescent="0.25">
      <c r="C30" s="393" t="s">
        <v>325</v>
      </c>
      <c r="D30" s="393"/>
      <c r="E30" s="393"/>
      <c r="F30" s="393"/>
      <c r="G30" s="393"/>
      <c r="H30" s="393"/>
      <c r="I30" s="393"/>
      <c r="J30" s="393"/>
      <c r="K30" s="393"/>
      <c r="L30" s="393"/>
      <c r="M30" s="393"/>
      <c r="N30" s="393"/>
      <c r="O30" s="393"/>
      <c r="P30" s="393"/>
      <c r="Q30" s="393"/>
      <c r="R30" s="393"/>
    </row>
    <row r="31" spans="3:18" ht="3" customHeight="1" x14ac:dyDescent="0.2"/>
    <row r="58" spans="3:18" ht="13.2" x14ac:dyDescent="0.35">
      <c r="C58" s="88" t="s">
        <v>326</v>
      </c>
      <c r="D58" s="89"/>
      <c r="E58" s="90"/>
      <c r="F58" s="83"/>
      <c r="G58" s="83"/>
      <c r="H58" s="83"/>
      <c r="I58" s="83"/>
      <c r="J58" s="83"/>
      <c r="K58" s="83"/>
      <c r="L58" s="83"/>
      <c r="M58" s="83"/>
      <c r="N58" s="83"/>
      <c r="O58" s="83"/>
      <c r="P58" s="83"/>
      <c r="Q58" s="83"/>
      <c r="R58" s="84"/>
    </row>
    <row r="59" spans="3:18" ht="12" customHeight="1" x14ac:dyDescent="0.2">
      <c r="C59" s="394"/>
      <c r="D59" s="395"/>
      <c r="E59" s="395"/>
      <c r="F59" s="395"/>
      <c r="G59" s="395"/>
      <c r="H59" s="395"/>
      <c r="I59" s="395"/>
      <c r="J59" s="395"/>
      <c r="K59" s="395"/>
      <c r="L59" s="395"/>
      <c r="M59" s="395"/>
      <c r="N59" s="395"/>
      <c r="O59" s="395"/>
      <c r="P59" s="395"/>
      <c r="Q59" s="395"/>
      <c r="R59" s="396"/>
    </row>
    <row r="60" spans="3:18" x14ac:dyDescent="0.2">
      <c r="C60" s="394"/>
      <c r="D60" s="395"/>
      <c r="E60" s="395"/>
      <c r="F60" s="395"/>
      <c r="G60" s="395"/>
      <c r="H60" s="395"/>
      <c r="I60" s="395"/>
      <c r="J60" s="395"/>
      <c r="K60" s="395"/>
      <c r="L60" s="395"/>
      <c r="M60" s="395"/>
      <c r="N60" s="395"/>
      <c r="O60" s="395"/>
      <c r="P60" s="395"/>
      <c r="Q60" s="395"/>
      <c r="R60" s="396"/>
    </row>
    <row r="61" spans="3:18" x14ac:dyDescent="0.2">
      <c r="C61" s="394"/>
      <c r="D61" s="395"/>
      <c r="E61" s="395"/>
      <c r="F61" s="395"/>
      <c r="G61" s="395"/>
      <c r="H61" s="395"/>
      <c r="I61" s="395"/>
      <c r="J61" s="395"/>
      <c r="K61" s="395"/>
      <c r="L61" s="395"/>
      <c r="M61" s="395"/>
      <c r="N61" s="395"/>
      <c r="O61" s="395"/>
      <c r="P61" s="395"/>
      <c r="Q61" s="395"/>
      <c r="R61" s="396"/>
    </row>
    <row r="62" spans="3:18" x14ac:dyDescent="0.2">
      <c r="C62" s="394"/>
      <c r="D62" s="395"/>
      <c r="E62" s="395"/>
      <c r="F62" s="395"/>
      <c r="G62" s="395"/>
      <c r="H62" s="395"/>
      <c r="I62" s="395"/>
      <c r="J62" s="395"/>
      <c r="K62" s="395"/>
      <c r="L62" s="395"/>
      <c r="M62" s="395"/>
      <c r="N62" s="395"/>
      <c r="O62" s="395"/>
      <c r="P62" s="395"/>
      <c r="Q62" s="395"/>
      <c r="R62" s="396"/>
    </row>
    <row r="63" spans="3:18" x14ac:dyDescent="0.2">
      <c r="C63" s="394"/>
      <c r="D63" s="395"/>
      <c r="E63" s="395"/>
      <c r="F63" s="395"/>
      <c r="G63" s="395"/>
      <c r="H63" s="395"/>
      <c r="I63" s="395"/>
      <c r="J63" s="395"/>
      <c r="K63" s="395"/>
      <c r="L63" s="395"/>
      <c r="M63" s="395"/>
      <c r="N63" s="395"/>
      <c r="O63" s="395"/>
      <c r="P63" s="395"/>
      <c r="Q63" s="395"/>
      <c r="R63" s="396"/>
    </row>
    <row r="64" spans="3:18" x14ac:dyDescent="0.2">
      <c r="C64" s="394"/>
      <c r="D64" s="395"/>
      <c r="E64" s="395"/>
      <c r="F64" s="395"/>
      <c r="G64" s="395"/>
      <c r="H64" s="395"/>
      <c r="I64" s="395"/>
      <c r="J64" s="395"/>
      <c r="K64" s="395"/>
      <c r="L64" s="395"/>
      <c r="M64" s="395"/>
      <c r="N64" s="395"/>
      <c r="O64" s="395"/>
      <c r="P64" s="395"/>
      <c r="Q64" s="395"/>
      <c r="R64" s="396"/>
    </row>
    <row r="65" spans="3:30" x14ac:dyDescent="0.2">
      <c r="C65" s="394"/>
      <c r="D65" s="395"/>
      <c r="E65" s="395"/>
      <c r="F65" s="395"/>
      <c r="G65" s="395"/>
      <c r="H65" s="395"/>
      <c r="I65" s="395"/>
      <c r="J65" s="395"/>
      <c r="K65" s="395"/>
      <c r="L65" s="395"/>
      <c r="M65" s="395"/>
      <c r="N65" s="395"/>
      <c r="O65" s="395"/>
      <c r="P65" s="395"/>
      <c r="Q65" s="395"/>
      <c r="R65" s="396"/>
    </row>
    <row r="66" spans="3:30" x14ac:dyDescent="0.2">
      <c r="C66" s="394"/>
      <c r="D66" s="395"/>
      <c r="E66" s="395"/>
      <c r="F66" s="395"/>
      <c r="G66" s="395"/>
      <c r="H66" s="395"/>
      <c r="I66" s="395"/>
      <c r="J66" s="395"/>
      <c r="K66" s="395"/>
      <c r="L66" s="395"/>
      <c r="M66" s="395"/>
      <c r="N66" s="395"/>
      <c r="O66" s="395"/>
      <c r="P66" s="395"/>
      <c r="Q66" s="395"/>
      <c r="R66" s="396"/>
    </row>
    <row r="67" spans="3:30" x14ac:dyDescent="0.2">
      <c r="C67" s="394"/>
      <c r="D67" s="395"/>
      <c r="E67" s="395"/>
      <c r="F67" s="395"/>
      <c r="G67" s="395"/>
      <c r="H67" s="395"/>
      <c r="I67" s="395"/>
      <c r="J67" s="395"/>
      <c r="K67" s="395"/>
      <c r="L67" s="395"/>
      <c r="M67" s="395"/>
      <c r="N67" s="395"/>
      <c r="O67" s="395"/>
      <c r="P67" s="395"/>
      <c r="Q67" s="395"/>
      <c r="R67" s="396"/>
    </row>
    <row r="68" spans="3:30" x14ac:dyDescent="0.2">
      <c r="C68" s="394"/>
      <c r="D68" s="395"/>
      <c r="E68" s="395"/>
      <c r="F68" s="395"/>
      <c r="G68" s="395"/>
      <c r="H68" s="395"/>
      <c r="I68" s="395"/>
      <c r="J68" s="395"/>
      <c r="K68" s="395"/>
      <c r="L68" s="395"/>
      <c r="M68" s="395"/>
      <c r="N68" s="395"/>
      <c r="O68" s="395"/>
      <c r="P68" s="395"/>
      <c r="Q68" s="395"/>
      <c r="R68" s="396"/>
    </row>
    <row r="69" spans="3:30" x14ac:dyDescent="0.2">
      <c r="C69" s="394"/>
      <c r="D69" s="395"/>
      <c r="E69" s="395"/>
      <c r="F69" s="395"/>
      <c r="G69" s="395"/>
      <c r="H69" s="395"/>
      <c r="I69" s="395"/>
      <c r="J69" s="395"/>
      <c r="K69" s="395"/>
      <c r="L69" s="395"/>
      <c r="M69" s="395"/>
      <c r="N69" s="395"/>
      <c r="O69" s="395"/>
      <c r="P69" s="395"/>
      <c r="Q69" s="395"/>
      <c r="R69" s="396"/>
    </row>
    <row r="70" spans="3:30" x14ac:dyDescent="0.2">
      <c r="C70" s="397"/>
      <c r="D70" s="398"/>
      <c r="E70" s="398"/>
      <c r="F70" s="398"/>
      <c r="G70" s="398"/>
      <c r="H70" s="398"/>
      <c r="I70" s="398"/>
      <c r="J70" s="398"/>
      <c r="K70" s="398"/>
      <c r="L70" s="398"/>
      <c r="M70" s="398"/>
      <c r="N70" s="398"/>
      <c r="O70" s="398"/>
      <c r="P70" s="398"/>
      <c r="Q70" s="398"/>
      <c r="R70" s="399"/>
    </row>
    <row r="71" spans="3:30" x14ac:dyDescent="0.2">
      <c r="AA71" s="389" t="s">
        <v>327</v>
      </c>
      <c r="AB71" s="390"/>
      <c r="AC71" s="390"/>
      <c r="AD71" s="391"/>
    </row>
    <row r="72" spans="3:30" x14ac:dyDescent="0.2">
      <c r="AA72" s="98" t="s">
        <v>328</v>
      </c>
      <c r="AB72" s="98"/>
      <c r="AC72" s="100" t="e">
        <f>50-(COUNTBLANK(#REF!))</f>
        <v>#REF!</v>
      </c>
      <c r="AD72" s="98"/>
    </row>
    <row r="73" spans="3:30" x14ac:dyDescent="0.2">
      <c r="AA73" s="98" t="s">
        <v>329</v>
      </c>
      <c r="AB73" s="98"/>
      <c r="AC73" s="99" t="e">
        <f>COUNTIF(#REF!,"Critical")</f>
        <v>#REF!</v>
      </c>
      <c r="AD73" s="98"/>
    </row>
    <row r="74" spans="3:30" x14ac:dyDescent="0.2">
      <c r="AA74" s="98" t="s">
        <v>330</v>
      </c>
      <c r="AB74" s="98"/>
      <c r="AC74" s="99" t="e">
        <f>#REF!+#REF!+#REF!</f>
        <v>#REF!</v>
      </c>
      <c r="AD74" s="98"/>
    </row>
    <row r="75" spans="3:30" x14ac:dyDescent="0.2">
      <c r="AA75" s="98" t="s">
        <v>331</v>
      </c>
      <c r="AB75" s="98"/>
      <c r="AC75" s="99" t="e">
        <f>AC73-AC74</f>
        <v>#REF!</v>
      </c>
      <c r="AD75" s="98"/>
    </row>
    <row r="76" spans="3:30" x14ac:dyDescent="0.2">
      <c r="AA76" s="98" t="s">
        <v>332</v>
      </c>
      <c r="AB76" s="98"/>
      <c r="AC76" s="100" t="e">
        <f>#REF!</f>
        <v>#REF!</v>
      </c>
      <c r="AD76" s="98"/>
    </row>
    <row r="77" spans="3:30" x14ac:dyDescent="0.2">
      <c r="AA77" s="98" t="s">
        <v>333</v>
      </c>
      <c r="AB77" s="98"/>
      <c r="AC77" s="99" t="e">
        <f>#REF!</f>
        <v>#REF!</v>
      </c>
      <c r="AD77" s="98"/>
    </row>
    <row r="78" spans="3:30" x14ac:dyDescent="0.2">
      <c r="AA78" s="98" t="s">
        <v>334</v>
      </c>
      <c r="AB78" s="98"/>
      <c r="AC78" s="101" t="e">
        <f>#REF!</f>
        <v>#REF!</v>
      </c>
      <c r="AD78" s="98"/>
    </row>
    <row r="79" spans="3:30" x14ac:dyDescent="0.2">
      <c r="AA79" s="98" t="s">
        <v>335</v>
      </c>
      <c r="AB79" s="98"/>
      <c r="AC79" s="99" t="e">
        <f>#REF!</f>
        <v>#REF!</v>
      </c>
      <c r="AD79" s="98"/>
    </row>
    <row r="80" spans="3:30" x14ac:dyDescent="0.2">
      <c r="AA80" s="98" t="s">
        <v>336</v>
      </c>
      <c r="AB80" s="98"/>
      <c r="AC80" s="101" t="e">
        <f>#REF!</f>
        <v>#REF!</v>
      </c>
      <c r="AD80" s="98"/>
    </row>
    <row r="81" spans="27:30" x14ac:dyDescent="0.2">
      <c r="AA81" s="98" t="s">
        <v>337</v>
      </c>
      <c r="AB81" s="98"/>
      <c r="AC81" s="101" t="e">
        <f>#REF!</f>
        <v>#REF!</v>
      </c>
      <c r="AD81" s="98"/>
    </row>
    <row r="82" spans="27:30" x14ac:dyDescent="0.2">
      <c r="AA82" s="98" t="s">
        <v>338</v>
      </c>
      <c r="AB82" s="98"/>
      <c r="AC82" s="101" t="e">
        <f>#REF!</f>
        <v>#REF!</v>
      </c>
      <c r="AD82" s="98"/>
    </row>
    <row r="83" spans="27:30" x14ac:dyDescent="0.2">
      <c r="AA83" s="98" t="s">
        <v>339</v>
      </c>
      <c r="AB83" s="98"/>
      <c r="AC83" s="101" t="e">
        <f>#REF!</f>
        <v>#REF!</v>
      </c>
      <c r="AD83" s="98"/>
    </row>
    <row r="84" spans="27:30" x14ac:dyDescent="0.2">
      <c r="AA84" s="98" t="s">
        <v>340</v>
      </c>
      <c r="AB84" s="98"/>
      <c r="AC84" s="100" t="e">
        <f>COUNTIF(#REF!,"Critical")</f>
        <v>#REF!</v>
      </c>
      <c r="AD84" s="98"/>
    </row>
    <row r="85" spans="27:30" x14ac:dyDescent="0.2">
      <c r="AA85" s="98" t="s">
        <v>341</v>
      </c>
      <c r="AB85" s="98"/>
      <c r="AC85" s="100" t="e">
        <f>AC72-AC84</f>
        <v>#REF!</v>
      </c>
      <c r="AD85" s="98"/>
    </row>
    <row r="86" spans="27:30" x14ac:dyDescent="0.2">
      <c r="AA86" s="98" t="s">
        <v>342</v>
      </c>
      <c r="AB86" s="98"/>
      <c r="AC86" s="100" t="e">
        <f>COUNTIF(#REF!,"Engineering")</f>
        <v>#REF!</v>
      </c>
      <c r="AD86" s="98"/>
    </row>
    <row r="87" spans="27:30" x14ac:dyDescent="0.2">
      <c r="AA87" s="98" t="s">
        <v>343</v>
      </c>
      <c r="AB87" s="98"/>
      <c r="AC87" s="100" t="e">
        <f>COUNTIF(#REF!,"Environmental")</f>
        <v>#REF!</v>
      </c>
      <c r="AD87" s="98"/>
    </row>
    <row r="88" spans="27:30" x14ac:dyDescent="0.2">
      <c r="AA88" s="98" t="s">
        <v>344</v>
      </c>
      <c r="AB88" s="98"/>
      <c r="AC88" s="100" t="e">
        <f>COUNTIF(#REF!,"Operation")</f>
        <v>#REF!</v>
      </c>
      <c r="AD88" s="98"/>
    </row>
    <row r="89" spans="27:30" x14ac:dyDescent="0.2">
      <c r="AA89" s="98" t="s">
        <v>345</v>
      </c>
      <c r="AB89" s="98"/>
      <c r="AC89" s="100" t="e">
        <f>COUNTIF(#REF!,"Political")</f>
        <v>#REF!</v>
      </c>
      <c r="AD89" s="98"/>
    </row>
    <row r="90" spans="27:30" x14ac:dyDescent="0.2">
      <c r="AA90" s="98" t="s">
        <v>346</v>
      </c>
      <c r="AB90" s="98"/>
      <c r="AC90" s="100" t="e">
        <f>COUNTIF(#REF!,"PQM")</f>
        <v>#REF!</v>
      </c>
      <c r="AD90" s="98"/>
    </row>
    <row r="91" spans="27:30" x14ac:dyDescent="0.2">
      <c r="AA91" s="98" t="s">
        <v>347</v>
      </c>
      <c r="AB91" s="98"/>
      <c r="AC91" s="100" t="e">
        <f>COUNTIF(#REF!,"Procurement")</f>
        <v>#REF!</v>
      </c>
      <c r="AD91" s="98"/>
    </row>
    <row r="92" spans="27:30" x14ac:dyDescent="0.2">
      <c r="AA92" s="98" t="s">
        <v>342</v>
      </c>
      <c r="AB92" s="98"/>
      <c r="AC92" s="99" t="e">
        <f>SUMIF(#REF!,"Engineering",#REF!)</f>
        <v>#REF!</v>
      </c>
      <c r="AD92" s="102" t="e">
        <f t="shared" ref="AD92:AD97" si="0">AC92/1000000</f>
        <v>#REF!</v>
      </c>
    </row>
    <row r="93" spans="27:30" x14ac:dyDescent="0.2">
      <c r="AA93" s="98" t="s">
        <v>343</v>
      </c>
      <c r="AB93" s="98"/>
      <c r="AC93" s="99" t="e">
        <f>SUMIF(#REF!,"Environmental",#REF!)</f>
        <v>#REF!</v>
      </c>
      <c r="AD93" s="102" t="e">
        <f t="shared" si="0"/>
        <v>#REF!</v>
      </c>
    </row>
    <row r="94" spans="27:30" x14ac:dyDescent="0.2">
      <c r="AA94" s="98" t="s">
        <v>344</v>
      </c>
      <c r="AB94" s="98"/>
      <c r="AC94" s="99" t="e">
        <f>SUMIF(#REF!,"Operation",#REF!)</f>
        <v>#REF!</v>
      </c>
      <c r="AD94" s="102" t="e">
        <f t="shared" si="0"/>
        <v>#REF!</v>
      </c>
    </row>
    <row r="95" spans="27:30" x14ac:dyDescent="0.2">
      <c r="AA95" s="98" t="s">
        <v>345</v>
      </c>
      <c r="AB95" s="98"/>
      <c r="AC95" s="99" t="e">
        <f>SUMIF(#REF!,"Political",#REF!)</f>
        <v>#REF!</v>
      </c>
      <c r="AD95" s="102" t="e">
        <f t="shared" si="0"/>
        <v>#REF!</v>
      </c>
    </row>
    <row r="96" spans="27:30" x14ac:dyDescent="0.2">
      <c r="AA96" s="98" t="s">
        <v>346</v>
      </c>
      <c r="AB96" s="98"/>
      <c r="AC96" s="99" t="e">
        <f>SUMIF(#REF!,"PQM",#REF!)</f>
        <v>#REF!</v>
      </c>
      <c r="AD96" s="102" t="e">
        <f t="shared" si="0"/>
        <v>#REF!</v>
      </c>
    </row>
    <row r="97" spans="27:30" x14ac:dyDescent="0.2">
      <c r="AA97" s="98" t="s">
        <v>347</v>
      </c>
      <c r="AB97" s="98"/>
      <c r="AC97" s="99" t="e">
        <f>SUMIF(#REF!,"Procurement",#REF!)</f>
        <v>#REF!</v>
      </c>
      <c r="AD97" s="102" t="e">
        <f t="shared" si="0"/>
        <v>#REF!</v>
      </c>
    </row>
    <row r="98" spans="27:30" x14ac:dyDescent="0.2">
      <c r="AA98" s="98" t="s">
        <v>342</v>
      </c>
      <c r="AB98" s="98"/>
      <c r="AC98" s="100" t="e">
        <f>SUMIF(#REF!,"Engineering",#REF!)</f>
        <v>#REF!</v>
      </c>
      <c r="AD98" s="103"/>
    </row>
    <row r="99" spans="27:30" x14ac:dyDescent="0.2">
      <c r="AA99" s="98" t="s">
        <v>343</v>
      </c>
      <c r="AB99" s="98"/>
      <c r="AC99" s="100" t="e">
        <f>SUMIF(#REF!,"Environmental",#REF!)</f>
        <v>#REF!</v>
      </c>
      <c r="AD99" s="98"/>
    </row>
    <row r="100" spans="27:30" x14ac:dyDescent="0.2">
      <c r="AA100" s="98" t="s">
        <v>344</v>
      </c>
      <c r="AB100" s="98"/>
      <c r="AC100" s="100" t="e">
        <f>SUMIF(#REF!,"Operation",#REF!)</f>
        <v>#REF!</v>
      </c>
      <c r="AD100" s="98"/>
    </row>
    <row r="101" spans="27:30" x14ac:dyDescent="0.2">
      <c r="AA101" s="98" t="s">
        <v>345</v>
      </c>
      <c r="AB101" s="98"/>
      <c r="AC101" s="100" t="e">
        <f>SUMIF(#REF!,"Political",#REF!)</f>
        <v>#REF!</v>
      </c>
      <c r="AD101" s="98"/>
    </row>
    <row r="102" spans="27:30" x14ac:dyDescent="0.2">
      <c r="AA102" s="98" t="s">
        <v>346</v>
      </c>
      <c r="AB102" s="98"/>
      <c r="AC102" s="100" t="e">
        <f>SUMIF(#REF!,"PQM",#REF!)</f>
        <v>#REF!</v>
      </c>
      <c r="AD102" s="98"/>
    </row>
    <row r="103" spans="27:30" x14ac:dyDescent="0.2">
      <c r="AA103" s="98" t="s">
        <v>347</v>
      </c>
      <c r="AB103" s="98"/>
      <c r="AC103" s="100" t="e">
        <f>SUMIF(#REF!,"Procurement",#REF!)</f>
        <v>#REF!</v>
      </c>
      <c r="AD103" s="98"/>
    </row>
    <row r="104" spans="27:30" x14ac:dyDescent="0.2">
      <c r="AA104" s="98" t="s">
        <v>348</v>
      </c>
      <c r="AB104" s="98"/>
      <c r="AC104" s="100" t="e">
        <f>COUNTIF(#REF!,"Open")</f>
        <v>#REF!</v>
      </c>
      <c r="AD104" s="98"/>
    </row>
    <row r="105" spans="27:30" x14ac:dyDescent="0.2">
      <c r="AA105" s="98" t="s">
        <v>349</v>
      </c>
      <c r="AB105" s="98"/>
      <c r="AC105" s="100" t="e">
        <f>COUNTIF(#REF!,"Retired")</f>
        <v>#REF!</v>
      </c>
      <c r="AD105" s="98"/>
    </row>
    <row r="106" spans="27:30" x14ac:dyDescent="0.2">
      <c r="AA106" s="98" t="s">
        <v>350</v>
      </c>
      <c r="AB106" s="98" t="s">
        <v>78</v>
      </c>
      <c r="AC106" s="100" t="e">
        <f>COUNTIF(#REF!,"Low")</f>
        <v>#REF!</v>
      </c>
      <c r="AD106" s="98"/>
    </row>
    <row r="107" spans="27:30" x14ac:dyDescent="0.2">
      <c r="AA107" s="98" t="s">
        <v>350</v>
      </c>
      <c r="AB107" s="98" t="s">
        <v>79</v>
      </c>
      <c r="AC107" s="100" t="e">
        <f>COUNTIF(#REF!,"Medium")</f>
        <v>#REF!</v>
      </c>
      <c r="AD107" s="98"/>
    </row>
    <row r="108" spans="27:30" x14ac:dyDescent="0.2">
      <c r="AA108" s="98" t="s">
        <v>350</v>
      </c>
      <c r="AB108" s="98" t="s">
        <v>76</v>
      </c>
      <c r="AC108" s="100" t="e">
        <f>COUNTIF(#REF!,"High")</f>
        <v>#REF!</v>
      </c>
      <c r="AD108" s="98"/>
    </row>
  </sheetData>
  <sheetProtection algorithmName="SHA-512" hashValue="hwBIn2cCKSY6h7y5NsRxgAqxDg72q+QFwArlup8QET/0LBD/B3x2b0wgxbDnwnL1QZrXYmrpnhev09XTnAB1sA==" saltValue="0rf8jlX+Ewv83m2XUeux/w==" spinCount="100000" sheet="1" objects="1" scenarios="1"/>
  <mergeCells count="6">
    <mergeCell ref="AA71:AD71"/>
    <mergeCell ref="C8:R8"/>
    <mergeCell ref="C30:R30"/>
    <mergeCell ref="C59:R70"/>
    <mergeCell ref="O6:R6"/>
    <mergeCell ref="C6:N6"/>
  </mergeCells>
  <phoneticPr fontId="14" type="noConversion"/>
  <pageMargins left="0.7" right="0.7" top="0.75" bottom="0.75" header="0.3" footer="0.3"/>
  <pageSetup paperSize="9" scale="9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387A-FE4B-4F2B-B446-02ADDF0A393B}">
  <dimension ref="B3:E49"/>
  <sheetViews>
    <sheetView showGridLines="0" workbookViewId="0">
      <selection activeCell="B4" sqref="B4"/>
    </sheetView>
  </sheetViews>
  <sheetFormatPr defaultColWidth="9.109375" defaultRowHeight="13.8" x14ac:dyDescent="0.3"/>
  <cols>
    <col min="1" max="1" width="9.109375" style="274"/>
    <col min="2" max="2" width="7" style="274" customWidth="1"/>
    <col min="3" max="3" width="68.44140625" style="274" customWidth="1"/>
    <col min="4" max="4" width="9.109375" style="274"/>
    <col min="5" max="5" width="17.109375" style="285" customWidth="1"/>
    <col min="6" max="16384" width="9.109375" style="274"/>
  </cols>
  <sheetData>
    <row r="3" spans="2:5" ht="15.6" x14ac:dyDescent="0.3">
      <c r="B3" s="288" t="s">
        <v>351</v>
      </c>
    </row>
    <row r="5" spans="2:5" ht="22.5" customHeight="1" x14ac:dyDescent="0.3">
      <c r="B5" s="293" t="s">
        <v>352</v>
      </c>
      <c r="C5" s="293" t="s">
        <v>353</v>
      </c>
      <c r="D5" s="293" t="s">
        <v>354</v>
      </c>
      <c r="E5" s="294" t="s">
        <v>355</v>
      </c>
    </row>
    <row r="6" spans="2:5" ht="22.5" customHeight="1" x14ac:dyDescent="0.3">
      <c r="B6" s="290" t="s">
        <v>356</v>
      </c>
      <c r="C6" s="291" t="s">
        <v>357</v>
      </c>
      <c r="D6" s="290" t="s">
        <v>358</v>
      </c>
      <c r="E6" s="292">
        <v>44348</v>
      </c>
    </row>
    <row r="7" spans="2:5" ht="22.5" customHeight="1" x14ac:dyDescent="0.3">
      <c r="B7" s="290" t="s">
        <v>359</v>
      </c>
      <c r="C7" s="291" t="s">
        <v>360</v>
      </c>
      <c r="D7" s="290" t="s">
        <v>358</v>
      </c>
      <c r="E7" s="292">
        <v>44576</v>
      </c>
    </row>
    <row r="8" spans="2:5" ht="22.5" customHeight="1" x14ac:dyDescent="0.3">
      <c r="B8" s="290" t="s">
        <v>361</v>
      </c>
      <c r="C8" s="291" t="s">
        <v>362</v>
      </c>
      <c r="D8" s="290" t="s">
        <v>358</v>
      </c>
      <c r="E8" s="292">
        <v>44805</v>
      </c>
    </row>
    <row r="9" spans="2:5" ht="22.5" customHeight="1" x14ac:dyDescent="0.3">
      <c r="B9" s="290"/>
      <c r="C9" s="291"/>
      <c r="D9" s="290"/>
      <c r="E9" s="292"/>
    </row>
    <row r="10" spans="2:5" ht="22.5" customHeight="1" x14ac:dyDescent="0.3">
      <c r="B10" s="290"/>
      <c r="C10" s="291"/>
      <c r="D10" s="290"/>
      <c r="E10" s="292"/>
    </row>
    <row r="11" spans="2:5" ht="22.5" customHeight="1" x14ac:dyDescent="0.3">
      <c r="B11" s="290"/>
      <c r="C11" s="291"/>
      <c r="D11" s="290"/>
      <c r="E11" s="292"/>
    </row>
    <row r="12" spans="2:5" ht="22.5" customHeight="1" x14ac:dyDescent="0.3">
      <c r="B12" s="290"/>
      <c r="C12" s="291"/>
      <c r="D12" s="290"/>
      <c r="E12" s="292"/>
    </row>
    <row r="13" spans="2:5" ht="22.5" customHeight="1" x14ac:dyDescent="0.3">
      <c r="B13" s="290"/>
      <c r="C13" s="291"/>
      <c r="D13" s="290"/>
      <c r="E13" s="292"/>
    </row>
    <row r="14" spans="2:5" ht="22.5" customHeight="1" x14ac:dyDescent="0.3">
      <c r="B14" s="290"/>
      <c r="C14" s="291"/>
      <c r="D14" s="290"/>
      <c r="E14" s="292"/>
    </row>
    <row r="15" spans="2:5" ht="22.5" customHeight="1" x14ac:dyDescent="0.3">
      <c r="B15" s="290"/>
      <c r="C15" s="291"/>
      <c r="D15" s="290"/>
      <c r="E15" s="292"/>
    </row>
    <row r="16" spans="2:5" ht="22.5" customHeight="1" x14ac:dyDescent="0.3">
      <c r="B16" s="290"/>
      <c r="C16" s="291"/>
      <c r="D16" s="290"/>
      <c r="E16" s="292"/>
    </row>
    <row r="17" spans="2:5" ht="22.5" customHeight="1" x14ac:dyDescent="0.3">
      <c r="B17" s="290"/>
      <c r="C17" s="291"/>
      <c r="D17" s="290"/>
      <c r="E17" s="292"/>
    </row>
    <row r="18" spans="2:5" ht="22.5" customHeight="1" x14ac:dyDescent="0.3">
      <c r="B18" s="290"/>
      <c r="C18" s="291"/>
      <c r="D18" s="290"/>
      <c r="E18" s="292"/>
    </row>
    <row r="19" spans="2:5" ht="22.5" customHeight="1" x14ac:dyDescent="0.3">
      <c r="B19" s="290"/>
      <c r="C19" s="291"/>
      <c r="D19" s="290"/>
      <c r="E19" s="292"/>
    </row>
    <row r="20" spans="2:5" ht="22.5" customHeight="1" x14ac:dyDescent="0.3">
      <c r="B20" s="290"/>
      <c r="C20" s="291"/>
      <c r="D20" s="290"/>
      <c r="E20" s="292"/>
    </row>
    <row r="21" spans="2:5" ht="22.5" customHeight="1" x14ac:dyDescent="0.3">
      <c r="B21" s="290"/>
      <c r="C21" s="291"/>
      <c r="D21" s="290"/>
      <c r="E21" s="292"/>
    </row>
    <row r="22" spans="2:5" ht="22.5" customHeight="1" x14ac:dyDescent="0.3">
      <c r="B22" s="290"/>
      <c r="C22" s="291"/>
      <c r="D22" s="290"/>
      <c r="E22" s="292"/>
    </row>
    <row r="23" spans="2:5" ht="22.5" customHeight="1" x14ac:dyDescent="0.3">
      <c r="B23" s="290"/>
      <c r="C23" s="291"/>
      <c r="D23" s="290"/>
      <c r="E23" s="292"/>
    </row>
    <row r="24" spans="2:5" ht="22.5" customHeight="1" x14ac:dyDescent="0.3">
      <c r="B24" s="290"/>
      <c r="C24" s="291"/>
      <c r="D24" s="290"/>
      <c r="E24" s="292"/>
    </row>
    <row r="25" spans="2:5" ht="22.5" customHeight="1" x14ac:dyDescent="0.3">
      <c r="B25" s="290"/>
      <c r="C25" s="291"/>
      <c r="D25" s="290"/>
      <c r="E25" s="292"/>
    </row>
    <row r="26" spans="2:5" ht="22.5" customHeight="1" x14ac:dyDescent="0.3">
      <c r="B26" s="290"/>
      <c r="C26" s="291"/>
      <c r="D26" s="290"/>
      <c r="E26" s="292"/>
    </row>
    <row r="27" spans="2:5" ht="22.5" customHeight="1" x14ac:dyDescent="0.3">
      <c r="B27" s="290"/>
      <c r="C27" s="291"/>
      <c r="D27" s="290"/>
      <c r="E27" s="292"/>
    </row>
    <row r="28" spans="2:5" ht="22.5" customHeight="1" x14ac:dyDescent="0.3">
      <c r="B28" s="290"/>
      <c r="C28" s="291"/>
      <c r="D28" s="290"/>
      <c r="E28" s="292"/>
    </row>
    <row r="29" spans="2:5" ht="22.5" customHeight="1" x14ac:dyDescent="0.3">
      <c r="C29" s="286"/>
      <c r="E29" s="289"/>
    </row>
    <row r="30" spans="2:5" ht="22.5" customHeight="1" x14ac:dyDescent="0.3">
      <c r="C30" s="286"/>
      <c r="E30" s="289"/>
    </row>
    <row r="31" spans="2:5" ht="22.5" customHeight="1" x14ac:dyDescent="0.3">
      <c r="C31" s="286"/>
      <c r="E31" s="289"/>
    </row>
    <row r="32" spans="2:5" ht="22.5" customHeight="1" x14ac:dyDescent="0.3">
      <c r="C32" s="287"/>
      <c r="E32" s="289"/>
    </row>
    <row r="33" spans="3:5" ht="22.5" customHeight="1" x14ac:dyDescent="0.3">
      <c r="C33" s="287"/>
      <c r="E33" s="289"/>
    </row>
    <row r="34" spans="3:5" ht="22.5" customHeight="1" x14ac:dyDescent="0.3">
      <c r="C34" s="287"/>
      <c r="E34" s="289"/>
    </row>
    <row r="35" spans="3:5" ht="22.5" customHeight="1" x14ac:dyDescent="0.3">
      <c r="E35" s="289"/>
    </row>
    <row r="36" spans="3:5" ht="22.5" customHeight="1" x14ac:dyDescent="0.3">
      <c r="E36" s="289"/>
    </row>
    <row r="37" spans="3:5" ht="22.5" customHeight="1" x14ac:dyDescent="0.3">
      <c r="E37" s="289"/>
    </row>
    <row r="38" spans="3:5" ht="22.5" customHeight="1" x14ac:dyDescent="0.3">
      <c r="E38" s="289"/>
    </row>
    <row r="39" spans="3:5" ht="22.5" customHeight="1" x14ac:dyDescent="0.3">
      <c r="E39" s="289"/>
    </row>
    <row r="40" spans="3:5" ht="22.5" customHeight="1" x14ac:dyDescent="0.3">
      <c r="E40" s="289"/>
    </row>
    <row r="41" spans="3:5" ht="22.5" customHeight="1" x14ac:dyDescent="0.3">
      <c r="E41" s="289"/>
    </row>
    <row r="42" spans="3:5" ht="22.5" customHeight="1" x14ac:dyDescent="0.3">
      <c r="E42" s="289"/>
    </row>
    <row r="43" spans="3:5" ht="22.5" customHeight="1" x14ac:dyDescent="0.3">
      <c r="E43" s="289"/>
    </row>
    <row r="44" spans="3:5" ht="22.5" customHeight="1" x14ac:dyDescent="0.3">
      <c r="E44" s="289"/>
    </row>
    <row r="45" spans="3:5" ht="22.5" customHeight="1" x14ac:dyDescent="0.3">
      <c r="E45" s="289"/>
    </row>
    <row r="46" spans="3:5" ht="22.5" customHeight="1" x14ac:dyDescent="0.3">
      <c r="E46" s="289"/>
    </row>
    <row r="47" spans="3:5" ht="22.5" customHeight="1" x14ac:dyDescent="0.3">
      <c r="E47" s="289"/>
    </row>
    <row r="48" spans="3:5" ht="22.5" customHeight="1" x14ac:dyDescent="0.3"/>
    <row r="49" ht="22.5" customHeight="1" x14ac:dyDescent="0.3"/>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3C14E-C2BC-425F-8A1E-554630126E15}">
  <sheetPr codeName="Sheet11">
    <tabColor theme="8" tint="-0.249977111117893"/>
  </sheetPr>
  <dimension ref="B1:X180"/>
  <sheetViews>
    <sheetView showGridLines="0" topLeftCell="A88" zoomScale="110" zoomScaleNormal="110" workbookViewId="0">
      <selection activeCell="N9" sqref="N9"/>
    </sheetView>
  </sheetViews>
  <sheetFormatPr defaultRowHeight="14.4" x14ac:dyDescent="0.3"/>
  <cols>
    <col min="1" max="1" width="4" customWidth="1"/>
    <col min="2" max="2" width="4.88671875" customWidth="1"/>
    <col min="21" max="22" width="0" hidden="1" customWidth="1"/>
    <col min="23" max="23" width="37.44140625" hidden="1" customWidth="1"/>
    <col min="24" max="35" width="0" hidden="1" customWidth="1"/>
  </cols>
  <sheetData>
    <row r="1" spans="2:14" ht="13.5" customHeight="1" x14ac:dyDescent="0.3"/>
    <row r="2" spans="2:14" ht="18" x14ac:dyDescent="0.35">
      <c r="B2" s="167" t="s">
        <v>363</v>
      </c>
      <c r="C2" s="168"/>
      <c r="D2" s="168"/>
      <c r="E2" s="168"/>
      <c r="F2" s="168"/>
      <c r="G2" s="168"/>
      <c r="H2" s="168"/>
      <c r="I2" s="168"/>
      <c r="J2" s="168"/>
      <c r="K2" s="168"/>
      <c r="L2" s="169"/>
    </row>
    <row r="3" spans="2:14" ht="6" customHeight="1" x14ac:dyDescent="0.3">
      <c r="B3" s="170"/>
      <c r="L3" s="171"/>
    </row>
    <row r="4" spans="2:14" ht="54.75" customHeight="1" x14ac:dyDescent="0.3">
      <c r="B4" s="407" t="s">
        <v>364</v>
      </c>
      <c r="C4" s="408"/>
      <c r="D4" s="408"/>
      <c r="E4" s="408"/>
      <c r="F4" s="408"/>
      <c r="G4" s="408"/>
      <c r="H4" s="408"/>
      <c r="I4" s="408"/>
      <c r="J4" s="408"/>
      <c r="K4" s="408"/>
      <c r="L4" s="409"/>
    </row>
    <row r="5" spans="2:14" x14ac:dyDescent="0.3">
      <c r="B5" s="172" t="s">
        <v>365</v>
      </c>
      <c r="C5" s="406" t="s">
        <v>366</v>
      </c>
      <c r="D5" s="406"/>
      <c r="E5" s="406"/>
      <c r="L5" s="171"/>
    </row>
    <row r="6" spans="2:14" x14ac:dyDescent="0.3">
      <c r="B6" s="172" t="s">
        <v>367</v>
      </c>
      <c r="C6" s="406" t="s">
        <v>368</v>
      </c>
      <c r="D6" s="406"/>
      <c r="L6" s="171"/>
    </row>
    <row r="7" spans="2:14" x14ac:dyDescent="0.3">
      <c r="B7" s="172" t="s">
        <v>369</v>
      </c>
      <c r="C7" s="406" t="s">
        <v>370</v>
      </c>
      <c r="D7" s="406"/>
      <c r="L7" s="171"/>
    </row>
    <row r="8" spans="2:14" x14ac:dyDescent="0.3">
      <c r="B8" s="172" t="s">
        <v>371</v>
      </c>
      <c r="C8" s="406" t="s">
        <v>372</v>
      </c>
      <c r="D8" s="406"/>
      <c r="E8" s="406"/>
      <c r="L8" s="171"/>
    </row>
    <row r="9" spans="2:14" x14ac:dyDescent="0.3">
      <c r="B9" s="172" t="s">
        <v>373</v>
      </c>
      <c r="C9" s="406" t="s">
        <v>374</v>
      </c>
      <c r="D9" s="406"/>
      <c r="E9" s="406"/>
      <c r="F9" s="406"/>
      <c r="L9" s="171"/>
    </row>
    <row r="10" spans="2:14" x14ac:dyDescent="0.3">
      <c r="B10" s="173"/>
      <c r="C10" s="174"/>
      <c r="D10" s="174"/>
      <c r="E10" s="174"/>
      <c r="F10" s="174"/>
      <c r="G10" s="174"/>
      <c r="H10" s="174"/>
      <c r="I10" s="174"/>
      <c r="J10" s="174"/>
      <c r="K10" s="174"/>
      <c r="L10" s="175"/>
    </row>
    <row r="11" spans="2:14" x14ac:dyDescent="0.3">
      <c r="B11" s="150"/>
    </row>
    <row r="15" spans="2:14" ht="18" x14ac:dyDescent="0.35">
      <c r="B15" s="176" t="s">
        <v>365</v>
      </c>
      <c r="C15" s="149" t="s">
        <v>375</v>
      </c>
      <c r="N15" s="177" t="s">
        <v>376</v>
      </c>
    </row>
    <row r="88" spans="2:14" ht="18" x14ac:dyDescent="0.35">
      <c r="B88" s="176" t="s">
        <v>367</v>
      </c>
      <c r="C88" s="149" t="s">
        <v>377</v>
      </c>
      <c r="N88" s="177" t="s">
        <v>376</v>
      </c>
    </row>
    <row r="95" spans="2:14" ht="18" x14ac:dyDescent="0.35">
      <c r="L95" s="149"/>
    </row>
    <row r="117" spans="12:12" ht="18" x14ac:dyDescent="0.35">
      <c r="L117" s="149"/>
    </row>
    <row r="135" spans="2:14" ht="18" x14ac:dyDescent="0.35">
      <c r="B135" s="176" t="s">
        <v>369</v>
      </c>
      <c r="C135" s="178" t="s">
        <v>378</v>
      </c>
      <c r="N135" s="177" t="s">
        <v>376</v>
      </c>
    </row>
    <row r="156" spans="2:24" ht="18" x14ac:dyDescent="0.35">
      <c r="B156" s="176" t="s">
        <v>371</v>
      </c>
      <c r="C156" s="178" t="s">
        <v>379</v>
      </c>
      <c r="N156" s="177" t="s">
        <v>376</v>
      </c>
      <c r="V156" t="s">
        <v>380</v>
      </c>
    </row>
    <row r="157" spans="2:24" x14ac:dyDescent="0.3">
      <c r="V157" t="s">
        <v>381</v>
      </c>
      <c r="W157" t="s">
        <v>382</v>
      </c>
      <c r="X157" t="s">
        <v>383</v>
      </c>
    </row>
    <row r="158" spans="2:24" x14ac:dyDescent="0.3">
      <c r="V158" t="s">
        <v>260</v>
      </c>
      <c r="W158" t="s">
        <v>384</v>
      </c>
      <c r="X158" t="s">
        <v>385</v>
      </c>
    </row>
    <row r="159" spans="2:24" x14ac:dyDescent="0.3">
      <c r="X159" t="s">
        <v>386</v>
      </c>
    </row>
    <row r="160" spans="2:24" x14ac:dyDescent="0.3">
      <c r="X160" t="s">
        <v>387</v>
      </c>
    </row>
    <row r="161" spans="22:24" x14ac:dyDescent="0.3">
      <c r="X161" t="s">
        <v>388</v>
      </c>
    </row>
    <row r="162" spans="22:24" x14ac:dyDescent="0.3">
      <c r="X162" t="s">
        <v>389</v>
      </c>
    </row>
    <row r="163" spans="22:24" x14ac:dyDescent="0.3">
      <c r="X163" t="s">
        <v>390</v>
      </c>
    </row>
    <row r="164" spans="22:24" x14ac:dyDescent="0.3">
      <c r="V164" t="s">
        <v>263</v>
      </c>
      <c r="W164" t="s">
        <v>391</v>
      </c>
      <c r="X164" t="s">
        <v>392</v>
      </c>
    </row>
    <row r="165" spans="22:24" x14ac:dyDescent="0.3">
      <c r="X165" t="s">
        <v>393</v>
      </c>
    </row>
    <row r="166" spans="22:24" x14ac:dyDescent="0.3">
      <c r="X166" t="s">
        <v>388</v>
      </c>
    </row>
    <row r="167" spans="22:24" x14ac:dyDescent="0.3">
      <c r="X167" t="s">
        <v>389</v>
      </c>
    </row>
    <row r="168" spans="22:24" x14ac:dyDescent="0.3">
      <c r="X168" t="s">
        <v>390</v>
      </c>
    </row>
    <row r="169" spans="22:24" x14ac:dyDescent="0.3">
      <c r="V169" t="s">
        <v>266</v>
      </c>
      <c r="W169" t="s">
        <v>394</v>
      </c>
      <c r="X169" t="s">
        <v>395</v>
      </c>
    </row>
    <row r="171" spans="22:24" x14ac:dyDescent="0.3">
      <c r="V171" t="s">
        <v>269</v>
      </c>
      <c r="W171" t="s">
        <v>396</v>
      </c>
      <c r="X171" t="s">
        <v>397</v>
      </c>
    </row>
    <row r="172" spans="22:24" x14ac:dyDescent="0.3">
      <c r="X172" t="s">
        <v>398</v>
      </c>
    </row>
    <row r="173" spans="22:24" x14ac:dyDescent="0.3">
      <c r="V173" t="s">
        <v>272</v>
      </c>
      <c r="W173" t="s">
        <v>399</v>
      </c>
      <c r="X173" t="s">
        <v>400</v>
      </c>
    </row>
    <row r="174" spans="22:24" x14ac:dyDescent="0.3">
      <c r="V174" t="s">
        <v>274</v>
      </c>
      <c r="W174" t="s">
        <v>401</v>
      </c>
      <c r="X174" t="s">
        <v>402</v>
      </c>
    </row>
    <row r="175" spans="22:24" x14ac:dyDescent="0.3">
      <c r="V175" t="s">
        <v>403</v>
      </c>
      <c r="W175" t="s">
        <v>404</v>
      </c>
      <c r="X175" t="s">
        <v>405</v>
      </c>
    </row>
    <row r="180" spans="2:14" ht="18" x14ac:dyDescent="0.35">
      <c r="B180" s="176" t="s">
        <v>373</v>
      </c>
      <c r="C180" s="178" t="s">
        <v>406</v>
      </c>
      <c r="N180" s="177" t="s">
        <v>376</v>
      </c>
    </row>
  </sheetData>
  <sheetProtection algorithmName="SHA-512" hashValue="PSc1ZpI13a34UeeIOzuqV1jUagDBRGprBDxdRYlwQV63XTxyH1k+cY9RlBi/UIwTBT7ukv5A+/BvRD2TFVOTlw==" saltValue="TGjq1C0Q24f5fi12+lE+AA==" spinCount="100000" sheet="1" objects="1" scenarios="1"/>
  <mergeCells count="6">
    <mergeCell ref="C9:F9"/>
    <mergeCell ref="B4:L4"/>
    <mergeCell ref="C5:E5"/>
    <mergeCell ref="C6:D6"/>
    <mergeCell ref="C7:D7"/>
    <mergeCell ref="C8:E8"/>
  </mergeCells>
  <hyperlinks>
    <hyperlink ref="B5" location="Guide!B15" display="1.0" xr:uid="{5206EEFF-DB64-4367-B971-715A19C9793E}"/>
    <hyperlink ref="C5" location="Guide!B15" display="Risk Process Flow Chart" xr:uid="{49555C48-926E-4E03-9791-78D08FEAB0F4}"/>
    <hyperlink ref="B6:C6" location="Guide!B53" display="2.0" xr:uid="{627E64E9-E7A5-4497-82E6-23638B903CDC}"/>
    <hyperlink ref="B7:C7" location="Guide!B100" display="3.0" xr:uid="{E7E5DB8F-080F-4923-9193-54672C07BD68}"/>
    <hyperlink ref="B9:C9" location="Guide!B163" display="5.0" xr:uid="{01DB19F5-07ED-44F2-85E6-2ECD55424450}"/>
    <hyperlink ref="N180" location="Guide!B2" display="Home" xr:uid="{A649E051-054F-493E-8F80-F475C2F33D47}"/>
    <hyperlink ref="N156" location="Guide!B2" display="Home" xr:uid="{5DEB1CF6-B1D2-4255-9ADD-C96E56BD512A}"/>
    <hyperlink ref="N135" location="Guide!B2" display="Home" xr:uid="{D2D050AD-C1CD-440C-A0C9-CE44C1E162B6}"/>
    <hyperlink ref="N88" location="Guide!B2" display="Home" xr:uid="{63AEF750-B846-4568-8563-CF2EB1BF1754}"/>
    <hyperlink ref="N15" location="Guide!B2" display="Home" xr:uid="{4A84C8AE-5F37-4924-968B-EC976CE751F1}"/>
    <hyperlink ref="B8:C8" location="Guide!B121" display="4.0" xr:uid="{832255E8-160B-46A2-8C3E-0A1E3342AAC0}"/>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16385" r:id="rId4">
          <objectPr defaultSize="0" autoPict="0" r:id="rId5">
            <anchor moveWithCells="1" sizeWithCells="1">
              <from>
                <xdr:col>1</xdr:col>
                <xdr:colOff>312420</xdr:colOff>
                <xdr:row>17</xdr:row>
                <xdr:rowOff>182880</xdr:rowOff>
              </from>
              <to>
                <xdr:col>13</xdr:col>
                <xdr:colOff>487680</xdr:colOff>
                <xdr:row>80</xdr:row>
                <xdr:rowOff>182880</xdr:rowOff>
              </to>
            </anchor>
          </objectPr>
        </oleObject>
      </mc:Choice>
      <mc:Fallback>
        <oleObject progId="Visio.Drawing.11" shapeId="16385"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175C3-385C-4E2E-8149-686B034640CF}">
  <sheetPr codeName="Sheet5">
    <tabColor theme="0" tint="-0.499984740745262"/>
    <pageSetUpPr fitToPage="1"/>
  </sheetPr>
  <dimension ref="C5:FT345"/>
  <sheetViews>
    <sheetView showGridLines="0" view="pageBreakPreview" topLeftCell="A7" zoomScale="90" zoomScaleNormal="85" zoomScaleSheetLayoutView="90" workbookViewId="0">
      <selection activeCell="AC5" sqref="AC1:AC1048576"/>
    </sheetView>
  </sheetViews>
  <sheetFormatPr defaultColWidth="10.44140625" defaultRowHeight="11.4" outlineLevelRow="1" outlineLevelCol="1" x14ac:dyDescent="0.3"/>
  <cols>
    <col min="1" max="2" width="2.109375" style="1" customWidth="1"/>
    <col min="3" max="3" width="5" style="1" customWidth="1"/>
    <col min="4" max="4" width="0.88671875" style="1" customWidth="1"/>
    <col min="5" max="5" width="12.88671875" style="1" customWidth="1"/>
    <col min="6" max="6" width="1" style="1" customWidth="1"/>
    <col min="7" max="7" width="12.88671875" style="1" customWidth="1"/>
    <col min="8" max="8" width="1" style="1" customWidth="1"/>
    <col min="9" max="9" width="12.88671875" style="1" customWidth="1"/>
    <col min="10" max="10" width="1" style="1" customWidth="1"/>
    <col min="11" max="11" width="12.88671875" style="1" customWidth="1"/>
    <col min="12" max="12" width="1" style="1" customWidth="1"/>
    <col min="13" max="13" width="12.88671875" style="1" customWidth="1"/>
    <col min="14" max="14" width="1" style="1" customWidth="1"/>
    <col min="15" max="15" width="12.88671875" style="1" customWidth="1"/>
    <col min="16" max="16" width="1" style="1" customWidth="1"/>
    <col min="17" max="17" width="12.88671875" style="1" customWidth="1"/>
    <col min="18" max="18" width="1" style="1" customWidth="1"/>
    <col min="19" max="19" width="12.88671875" style="1" customWidth="1"/>
    <col min="20" max="20" width="1" style="1" customWidth="1"/>
    <col min="21" max="21" width="12.88671875" style="1" customWidth="1"/>
    <col min="22" max="22" width="1" style="1" customWidth="1"/>
    <col min="23" max="23" width="12.88671875" style="1" customWidth="1"/>
    <col min="24" max="24" width="1" style="1" customWidth="1"/>
    <col min="25" max="25" width="12.88671875" style="1" customWidth="1"/>
    <col min="26" max="26" width="1" style="1" customWidth="1"/>
    <col min="27" max="27" width="12.88671875" style="1" customWidth="1"/>
    <col min="28" max="28" width="1" style="1" customWidth="1"/>
    <col min="29" max="29" width="12.88671875" style="1" customWidth="1"/>
    <col min="30" max="30" width="1" style="1" customWidth="1"/>
    <col min="31" max="31" width="12.88671875" style="1" customWidth="1"/>
    <col min="32" max="32" width="1" style="1" customWidth="1"/>
    <col min="33" max="33" width="12.88671875" style="1" customWidth="1"/>
    <col min="34" max="34" width="20" style="1" customWidth="1"/>
    <col min="35" max="35" width="49.5546875" style="1" hidden="1" customWidth="1" outlineLevel="1"/>
    <col min="36" max="36" width="10.44140625" style="1" hidden="1" customWidth="1" outlineLevel="1"/>
    <col min="37" max="37" width="17.5546875" style="8" hidden="1" customWidth="1" outlineLevel="1"/>
    <col min="38" max="38" width="28.109375" style="8" hidden="1" customWidth="1" outlineLevel="1"/>
    <col min="39" max="39" width="12" style="8" hidden="1" customWidth="1" outlineLevel="1"/>
    <col min="40" max="41" width="10.44140625" style="1" hidden="1" customWidth="1" outlineLevel="1"/>
    <col min="42" max="42" width="18.109375" style="1" hidden="1" customWidth="1" outlineLevel="1"/>
    <col min="43" max="43" width="14.88671875" style="1" hidden="1" customWidth="1" outlineLevel="1"/>
    <col min="44" max="44" width="8.109375" style="1" hidden="1" customWidth="1" outlineLevel="1"/>
    <col min="45" max="45" width="26.109375" style="8" hidden="1" customWidth="1" outlineLevel="1"/>
    <col min="46" max="46" width="19.44140625" style="8" hidden="1" customWidth="1" outlineLevel="1"/>
    <col min="47" max="47" width="15.44140625" style="8" hidden="1" customWidth="1" outlineLevel="1"/>
    <col min="48" max="48" width="28.44140625" style="8" hidden="1" customWidth="1" outlineLevel="1"/>
    <col min="49" max="49" width="19.88671875" style="8" hidden="1" customWidth="1" outlineLevel="1"/>
    <col min="50" max="50" width="25.5546875" style="8" hidden="1" customWidth="1" outlineLevel="1"/>
    <col min="51" max="51" width="24.88671875" style="8" hidden="1" customWidth="1" outlineLevel="1"/>
    <col min="52" max="52" width="23.109375" style="8" hidden="1" customWidth="1" outlineLevel="1"/>
    <col min="53" max="53" width="23.44140625" style="8" hidden="1" customWidth="1" outlineLevel="1"/>
    <col min="54" max="54" width="24.88671875" style="8" hidden="1" customWidth="1" outlineLevel="1"/>
    <col min="55" max="55" width="16.109375" style="8" hidden="1" customWidth="1" outlineLevel="1"/>
    <col min="56" max="56" width="26" style="8" hidden="1" customWidth="1" outlineLevel="1"/>
    <col min="57" max="57" width="28.109375" style="8" hidden="1" customWidth="1" outlineLevel="1"/>
    <col min="58" max="58" width="22.88671875" style="8" hidden="1" customWidth="1" outlineLevel="1"/>
    <col min="59" max="59" width="22.109375" style="8" hidden="1" customWidth="1" outlineLevel="1"/>
    <col min="60" max="60" width="10.44140625" style="8" hidden="1" customWidth="1" outlineLevel="1"/>
    <col min="61" max="61" width="47.44140625" style="8" hidden="1" customWidth="1" outlineLevel="1"/>
    <col min="62" max="122" width="55" style="1" hidden="1" customWidth="1" outlineLevel="1"/>
    <col min="123" max="123" width="74.109375" style="1" hidden="1" customWidth="1" outlineLevel="1"/>
    <col min="124" max="175" width="55" style="1" hidden="1" customWidth="1" outlineLevel="1"/>
    <col min="176" max="176" width="55" style="1" customWidth="1" collapsed="1"/>
    <col min="177" max="226" width="55" style="1" customWidth="1"/>
    <col min="227" max="2381" width="86.44140625" style="1" customWidth="1"/>
    <col min="2382" max="16384" width="10.44140625" style="1"/>
  </cols>
  <sheetData>
    <row r="5" spans="3:61" ht="24" customHeight="1" x14ac:dyDescent="0.25">
      <c r="C5" s="72" t="s">
        <v>407</v>
      </c>
    </row>
    <row r="7" spans="3:61" ht="20.399999999999999" outlineLevel="1" x14ac:dyDescent="0.3">
      <c r="C7" s="27" t="s">
        <v>408</v>
      </c>
      <c r="E7" s="412" t="s">
        <v>409</v>
      </c>
      <c r="F7" s="413"/>
      <c r="G7" s="413"/>
      <c r="H7" s="413"/>
      <c r="I7" s="413"/>
      <c r="J7" s="413"/>
      <c r="K7" s="413"/>
      <c r="L7" s="413"/>
      <c r="M7" s="413"/>
      <c r="N7" s="413"/>
      <c r="O7" s="413"/>
      <c r="P7" s="413"/>
      <c r="Q7" s="413"/>
      <c r="R7" s="413"/>
      <c r="S7" s="413"/>
      <c r="T7" s="413"/>
      <c r="U7" s="413"/>
      <c r="V7" s="2"/>
      <c r="W7" s="414" t="s">
        <v>410</v>
      </c>
      <c r="X7" s="414"/>
      <c r="Y7" s="414"/>
      <c r="Z7" s="414"/>
      <c r="AA7" s="414"/>
      <c r="AB7" s="414"/>
      <c r="AC7" s="414"/>
      <c r="AD7" s="414"/>
      <c r="AE7" s="414"/>
      <c r="AF7" s="414"/>
      <c r="AG7" s="414"/>
    </row>
    <row r="8" spans="3:61" outlineLevel="1" x14ac:dyDescent="0.3"/>
    <row r="9" spans="3:61" s="71" customFormat="1" ht="20.399999999999999" outlineLevel="1" x14ac:dyDescent="0.3">
      <c r="C9" s="27" t="s">
        <v>411</v>
      </c>
      <c r="E9" s="3" t="s">
        <v>412</v>
      </c>
      <c r="G9" s="3" t="s">
        <v>344</v>
      </c>
      <c r="I9" s="3" t="s">
        <v>413</v>
      </c>
      <c r="K9" s="3" t="s">
        <v>347</v>
      </c>
      <c r="M9" s="3" t="s">
        <v>342</v>
      </c>
      <c r="O9" s="3" t="s">
        <v>414</v>
      </c>
      <c r="Q9" s="3" t="s">
        <v>415</v>
      </c>
      <c r="S9" s="3" t="s">
        <v>416</v>
      </c>
      <c r="U9" s="3" t="s">
        <v>346</v>
      </c>
      <c r="W9" s="4" t="s">
        <v>345</v>
      </c>
      <c r="Y9" s="4" t="s">
        <v>417</v>
      </c>
      <c r="AA9" s="4" t="s">
        <v>418</v>
      </c>
      <c r="AC9" s="4" t="s">
        <v>419</v>
      </c>
      <c r="AE9" s="4" t="s">
        <v>420</v>
      </c>
      <c r="AG9" s="4" t="s">
        <v>343</v>
      </c>
      <c r="AK9" s="7"/>
      <c r="AL9" s="7"/>
      <c r="AM9" s="7"/>
      <c r="AS9" s="7"/>
      <c r="AT9" s="7"/>
      <c r="AU9" s="7"/>
      <c r="AV9" s="7"/>
      <c r="AW9" s="7"/>
      <c r="AX9" s="7"/>
      <c r="AY9" s="7"/>
      <c r="AZ9" s="7"/>
      <c r="BA9" s="7"/>
      <c r="BB9" s="7"/>
      <c r="BC9" s="7"/>
      <c r="BD9" s="7"/>
      <c r="BE9" s="7"/>
      <c r="BF9" s="7"/>
      <c r="BG9" s="7"/>
      <c r="BH9" s="7"/>
      <c r="BI9" s="7"/>
    </row>
    <row r="10" spans="3:61" outlineLevel="1" x14ac:dyDescent="0.3"/>
    <row r="11" spans="3:61" outlineLevel="1" x14ac:dyDescent="0.3">
      <c r="C11" s="415" t="s">
        <v>421</v>
      </c>
      <c r="E11" s="5" t="s">
        <v>422</v>
      </c>
      <c r="G11" s="5" t="s">
        <v>423</v>
      </c>
      <c r="I11" s="5" t="s">
        <v>424</v>
      </c>
      <c r="K11" s="5" t="s">
        <v>425</v>
      </c>
      <c r="M11" s="5" t="s">
        <v>426</v>
      </c>
      <c r="O11" s="5" t="s">
        <v>427</v>
      </c>
      <c r="Q11" s="5" t="s">
        <v>428</v>
      </c>
      <c r="S11" s="5" t="s">
        <v>429</v>
      </c>
      <c r="U11" s="5" t="s">
        <v>430</v>
      </c>
      <c r="W11" s="5" t="s">
        <v>431</v>
      </c>
      <c r="Y11" s="5" t="s">
        <v>432</v>
      </c>
      <c r="AA11" s="5" t="s">
        <v>433</v>
      </c>
      <c r="AC11" s="5" t="s">
        <v>434</v>
      </c>
      <c r="AE11" s="5" t="s">
        <v>435</v>
      </c>
      <c r="AG11" s="5" t="s">
        <v>436</v>
      </c>
    </row>
    <row r="12" spans="3:61" s="71" customFormat="1" ht="20.399999999999999" outlineLevel="1" x14ac:dyDescent="0.3">
      <c r="C12" s="416"/>
      <c r="E12" s="6" t="s">
        <v>437</v>
      </c>
      <c r="G12" s="6" t="s">
        <v>438</v>
      </c>
      <c r="I12" s="6" t="s">
        <v>439</v>
      </c>
      <c r="K12" s="6" t="s">
        <v>440</v>
      </c>
      <c r="M12" s="6" t="s">
        <v>441</v>
      </c>
      <c r="O12" s="6" t="s">
        <v>442</v>
      </c>
      <c r="Q12" s="6" t="s">
        <v>443</v>
      </c>
      <c r="S12" s="6" t="s">
        <v>444</v>
      </c>
      <c r="U12" s="6" t="s">
        <v>445</v>
      </c>
      <c r="W12" s="6" t="s">
        <v>446</v>
      </c>
      <c r="Y12" s="6" t="s">
        <v>447</v>
      </c>
      <c r="AA12" s="6" t="s">
        <v>448</v>
      </c>
      <c r="AC12" s="6" t="s">
        <v>449</v>
      </c>
      <c r="AE12" s="6" t="s">
        <v>450</v>
      </c>
      <c r="AG12" s="6" t="s">
        <v>451</v>
      </c>
      <c r="AK12" s="7" t="s">
        <v>452</v>
      </c>
      <c r="AL12" s="7"/>
      <c r="AM12" s="7"/>
      <c r="AS12" s="7"/>
      <c r="AT12" s="7"/>
      <c r="AU12" s="7"/>
      <c r="AV12" s="7"/>
      <c r="AW12" s="7"/>
      <c r="AX12" s="7"/>
      <c r="AY12" s="7"/>
      <c r="AZ12" s="7"/>
      <c r="BA12" s="7"/>
      <c r="BB12" s="7"/>
      <c r="BC12" s="7"/>
      <c r="BD12" s="7"/>
      <c r="BE12" s="7"/>
      <c r="BF12" s="7"/>
      <c r="BG12" s="7"/>
      <c r="BH12" s="7"/>
      <c r="BI12" s="7"/>
    </row>
    <row r="13" spans="3:61" outlineLevel="1" x14ac:dyDescent="0.3">
      <c r="C13" s="416"/>
    </row>
    <row r="14" spans="3:61" outlineLevel="1" x14ac:dyDescent="0.3">
      <c r="C14" s="416"/>
      <c r="E14" s="5" t="s">
        <v>453</v>
      </c>
      <c r="G14" s="5" t="s">
        <v>454</v>
      </c>
      <c r="I14" s="5" t="s">
        <v>455</v>
      </c>
      <c r="K14" s="5" t="s">
        <v>456</v>
      </c>
      <c r="M14" s="5" t="s">
        <v>457</v>
      </c>
      <c r="O14" s="5" t="s">
        <v>458</v>
      </c>
      <c r="Q14" s="5" t="s">
        <v>459</v>
      </c>
      <c r="S14" s="5" t="s">
        <v>460</v>
      </c>
      <c r="U14" s="5" t="s">
        <v>461</v>
      </c>
      <c r="W14" s="5" t="s">
        <v>462</v>
      </c>
      <c r="Y14" s="5" t="s">
        <v>463</v>
      </c>
      <c r="AA14" s="5" t="s">
        <v>464</v>
      </c>
      <c r="AC14" s="5" t="s">
        <v>465</v>
      </c>
      <c r="AE14" s="5" t="s">
        <v>466</v>
      </c>
      <c r="AG14" s="5" t="s">
        <v>467</v>
      </c>
    </row>
    <row r="15" spans="3:61" s="71" customFormat="1" ht="30.6" outlineLevel="1" x14ac:dyDescent="0.3">
      <c r="C15" s="416"/>
      <c r="E15" s="6" t="s">
        <v>468</v>
      </c>
      <c r="G15" s="6" t="s">
        <v>469</v>
      </c>
      <c r="I15" s="6" t="s">
        <v>470</v>
      </c>
      <c r="K15" s="6" t="s">
        <v>471</v>
      </c>
      <c r="M15" s="6" t="s">
        <v>472</v>
      </c>
      <c r="O15" s="6" t="s">
        <v>473</v>
      </c>
      <c r="Q15" s="6" t="s">
        <v>474</v>
      </c>
      <c r="S15" s="6" t="s">
        <v>475</v>
      </c>
      <c r="U15" s="6" t="s">
        <v>476</v>
      </c>
      <c r="W15" s="6" t="s">
        <v>477</v>
      </c>
      <c r="Y15" s="6" t="s">
        <v>478</v>
      </c>
      <c r="AA15" s="6" t="s">
        <v>479</v>
      </c>
      <c r="AC15" s="6" t="s">
        <v>480</v>
      </c>
      <c r="AE15" s="6" t="s">
        <v>481</v>
      </c>
      <c r="AG15" s="6" t="s">
        <v>482</v>
      </c>
      <c r="AK15" s="7"/>
      <c r="AL15" s="7"/>
      <c r="AM15" s="7"/>
      <c r="AS15" s="7"/>
      <c r="AT15" s="7"/>
      <c r="AU15" s="7"/>
      <c r="AV15" s="7"/>
      <c r="AW15" s="7"/>
      <c r="AX15" s="7"/>
      <c r="AY15" s="7"/>
      <c r="AZ15" s="7"/>
      <c r="BA15" s="7"/>
      <c r="BB15" s="7"/>
      <c r="BC15" s="7"/>
      <c r="BD15" s="7"/>
      <c r="BE15" s="7"/>
      <c r="BF15" s="7"/>
      <c r="BG15" s="7"/>
      <c r="BH15" s="7"/>
      <c r="BI15" s="7"/>
    </row>
    <row r="16" spans="3:61" outlineLevel="1" x14ac:dyDescent="0.3">
      <c r="C16" s="416"/>
    </row>
    <row r="17" spans="3:61" outlineLevel="1" x14ac:dyDescent="0.3">
      <c r="C17" s="416"/>
      <c r="E17" s="5" t="s">
        <v>483</v>
      </c>
      <c r="G17" s="5" t="s">
        <v>484</v>
      </c>
      <c r="I17" s="5" t="s">
        <v>485</v>
      </c>
      <c r="K17" s="5" t="s">
        <v>486</v>
      </c>
      <c r="M17" s="5" t="s">
        <v>487</v>
      </c>
      <c r="O17" s="5" t="s">
        <v>488</v>
      </c>
      <c r="Q17" s="5" t="s">
        <v>489</v>
      </c>
      <c r="S17" s="5" t="s">
        <v>490</v>
      </c>
      <c r="U17" s="5" t="s">
        <v>491</v>
      </c>
      <c r="W17" s="5" t="s">
        <v>492</v>
      </c>
      <c r="Y17" s="5" t="s">
        <v>493</v>
      </c>
      <c r="AA17" s="5" t="s">
        <v>494</v>
      </c>
      <c r="AC17" s="5" t="s">
        <v>495</v>
      </c>
      <c r="AE17" s="5" t="s">
        <v>496</v>
      </c>
      <c r="AG17" s="5" t="s">
        <v>497</v>
      </c>
    </row>
    <row r="18" spans="3:61" s="71" customFormat="1" ht="30.6" outlineLevel="1" x14ac:dyDescent="0.3">
      <c r="C18" s="416"/>
      <c r="E18" s="6" t="s">
        <v>498</v>
      </c>
      <c r="G18" s="6" t="s">
        <v>499</v>
      </c>
      <c r="I18" s="6" t="s">
        <v>500</v>
      </c>
      <c r="K18" s="6" t="s">
        <v>501</v>
      </c>
      <c r="M18" s="6" t="s">
        <v>502</v>
      </c>
      <c r="O18" s="6" t="s">
        <v>503</v>
      </c>
      <c r="Q18" s="6" t="s">
        <v>504</v>
      </c>
      <c r="S18" s="6" t="s">
        <v>505</v>
      </c>
      <c r="U18" s="6" t="s">
        <v>506</v>
      </c>
      <c r="W18" s="6" t="s">
        <v>507</v>
      </c>
      <c r="Y18" s="6" t="s">
        <v>508</v>
      </c>
      <c r="AA18" s="6" t="s">
        <v>509</v>
      </c>
      <c r="AC18" s="6" t="s">
        <v>510</v>
      </c>
      <c r="AE18" s="6" t="s">
        <v>511</v>
      </c>
      <c r="AG18" s="6" t="s">
        <v>512</v>
      </c>
      <c r="AK18" s="7"/>
      <c r="AL18" s="7"/>
      <c r="AM18" s="7"/>
      <c r="AS18" s="7"/>
      <c r="AT18" s="7"/>
      <c r="AU18" s="7"/>
      <c r="AV18" s="7"/>
      <c r="AW18" s="7"/>
      <c r="AX18" s="7"/>
      <c r="AY18" s="7"/>
      <c r="AZ18" s="7"/>
      <c r="BA18" s="7"/>
      <c r="BB18" s="7"/>
      <c r="BC18" s="7"/>
      <c r="BD18" s="7"/>
      <c r="BE18" s="7"/>
      <c r="BF18" s="7"/>
      <c r="BG18" s="7"/>
      <c r="BH18" s="7"/>
      <c r="BI18" s="7"/>
    </row>
    <row r="19" spans="3:61" outlineLevel="1" x14ac:dyDescent="0.3">
      <c r="C19" s="416"/>
    </row>
    <row r="20" spans="3:61" outlineLevel="1" x14ac:dyDescent="0.3">
      <c r="C20" s="416"/>
      <c r="E20" s="5"/>
      <c r="G20" s="5" t="s">
        <v>513</v>
      </c>
      <c r="I20" s="5" t="s">
        <v>514</v>
      </c>
      <c r="K20" s="5" t="s">
        <v>515</v>
      </c>
      <c r="M20" s="5" t="s">
        <v>516</v>
      </c>
      <c r="O20" s="5" t="s">
        <v>517</v>
      </c>
      <c r="Q20" s="52" t="s">
        <v>489</v>
      </c>
      <c r="S20" s="5" t="s">
        <v>518</v>
      </c>
      <c r="U20" s="5" t="s">
        <v>519</v>
      </c>
      <c r="W20" s="5" t="s">
        <v>520</v>
      </c>
      <c r="Y20" s="5" t="s">
        <v>521</v>
      </c>
      <c r="AA20" s="5" t="s">
        <v>522</v>
      </c>
      <c r="AC20" s="5" t="s">
        <v>523</v>
      </c>
      <c r="AE20" s="5" t="s">
        <v>524</v>
      </c>
      <c r="AG20" s="5" t="s">
        <v>525</v>
      </c>
    </row>
    <row r="21" spans="3:61" s="71" customFormat="1" ht="30.6" outlineLevel="1" x14ac:dyDescent="0.3">
      <c r="C21" s="416"/>
      <c r="E21" s="6"/>
      <c r="G21" s="6" t="s">
        <v>526</v>
      </c>
      <c r="I21" s="6" t="s">
        <v>527</v>
      </c>
      <c r="K21" s="6" t="s">
        <v>528</v>
      </c>
      <c r="M21" s="6" t="s">
        <v>529</v>
      </c>
      <c r="O21" s="6" t="s">
        <v>530</v>
      </c>
      <c r="Q21" s="6" t="s">
        <v>531</v>
      </c>
      <c r="S21" s="6" t="s">
        <v>532</v>
      </c>
      <c r="U21" s="6" t="s">
        <v>533</v>
      </c>
      <c r="W21" s="6" t="s">
        <v>534</v>
      </c>
      <c r="Y21" s="6" t="s">
        <v>535</v>
      </c>
      <c r="AA21" s="6" t="s">
        <v>536</v>
      </c>
      <c r="AC21" s="6" t="s">
        <v>537</v>
      </c>
      <c r="AE21" s="6" t="s">
        <v>538</v>
      </c>
      <c r="AG21" s="6" t="s">
        <v>539</v>
      </c>
      <c r="AK21" s="7"/>
      <c r="AL21" s="7"/>
      <c r="AM21" s="7"/>
      <c r="AS21" s="7"/>
      <c r="AT21" s="7"/>
      <c r="AU21" s="7"/>
      <c r="AV21" s="7"/>
      <c r="AW21" s="7"/>
      <c r="AX21" s="7"/>
      <c r="AY21" s="7"/>
      <c r="AZ21" s="7"/>
      <c r="BA21" s="7"/>
      <c r="BB21" s="7"/>
      <c r="BC21" s="7"/>
      <c r="BD21" s="7"/>
      <c r="BE21" s="7"/>
      <c r="BF21" s="7"/>
      <c r="BG21" s="7"/>
      <c r="BH21" s="7"/>
      <c r="BI21" s="7"/>
    </row>
    <row r="22" spans="3:61" outlineLevel="1" x14ac:dyDescent="0.3">
      <c r="C22" s="416"/>
    </row>
    <row r="23" spans="3:61" outlineLevel="1" x14ac:dyDescent="0.3">
      <c r="C23" s="416"/>
      <c r="E23" s="5"/>
      <c r="G23" s="5" t="s">
        <v>540</v>
      </c>
      <c r="I23" s="5"/>
      <c r="K23" s="5" t="s">
        <v>541</v>
      </c>
      <c r="M23" s="5" t="s">
        <v>542</v>
      </c>
      <c r="O23" s="5" t="s">
        <v>543</v>
      </c>
      <c r="Q23" s="52" t="s">
        <v>489</v>
      </c>
      <c r="S23" s="5" t="s">
        <v>544</v>
      </c>
      <c r="U23" s="5" t="s">
        <v>545</v>
      </c>
      <c r="W23" s="5" t="s">
        <v>546</v>
      </c>
      <c r="Y23" s="5" t="s">
        <v>547</v>
      </c>
      <c r="AA23" s="5" t="s">
        <v>548</v>
      </c>
      <c r="AC23" s="5" t="s">
        <v>549</v>
      </c>
      <c r="AE23" s="5" t="s">
        <v>550</v>
      </c>
      <c r="AG23" s="5" t="s">
        <v>551</v>
      </c>
    </row>
    <row r="24" spans="3:61" s="71" customFormat="1" ht="20.399999999999999" outlineLevel="1" x14ac:dyDescent="0.3">
      <c r="C24" s="416"/>
      <c r="E24" s="6"/>
      <c r="G24" s="6" t="s">
        <v>552</v>
      </c>
      <c r="I24" s="6"/>
      <c r="K24" s="6" t="s">
        <v>553</v>
      </c>
      <c r="M24" s="6" t="s">
        <v>554</v>
      </c>
      <c r="O24" s="6" t="s">
        <v>555</v>
      </c>
      <c r="Q24" s="6" t="s">
        <v>556</v>
      </c>
      <c r="S24" s="6" t="s">
        <v>557</v>
      </c>
      <c r="U24" s="6" t="s">
        <v>558</v>
      </c>
      <c r="W24" s="6" t="s">
        <v>559</v>
      </c>
      <c r="Y24" s="6" t="s">
        <v>560</v>
      </c>
      <c r="AA24" s="6" t="s">
        <v>561</v>
      </c>
      <c r="AC24" s="6" t="s">
        <v>562</v>
      </c>
      <c r="AE24" s="6" t="s">
        <v>563</v>
      </c>
      <c r="AG24" s="6" t="s">
        <v>564</v>
      </c>
      <c r="AK24" s="7"/>
      <c r="AL24" s="7"/>
      <c r="AM24" s="7"/>
      <c r="AS24" s="7"/>
      <c r="AT24" s="7"/>
      <c r="AU24" s="7"/>
      <c r="AV24" s="7"/>
      <c r="AW24" s="7"/>
      <c r="AX24" s="7"/>
      <c r="AY24" s="7"/>
      <c r="AZ24" s="7"/>
      <c r="BA24" s="7"/>
      <c r="BB24" s="7"/>
      <c r="BC24" s="7"/>
      <c r="BD24" s="7"/>
      <c r="BE24" s="7"/>
      <c r="BF24" s="7"/>
      <c r="BG24" s="7"/>
      <c r="BH24" s="7"/>
      <c r="BI24" s="7"/>
    </row>
    <row r="25" spans="3:61" outlineLevel="1" x14ac:dyDescent="0.3">
      <c r="C25" s="416"/>
    </row>
    <row r="26" spans="3:61" outlineLevel="1" x14ac:dyDescent="0.3">
      <c r="C26" s="416"/>
      <c r="E26" s="5"/>
      <c r="G26" s="5" t="s">
        <v>565</v>
      </c>
      <c r="I26" s="5"/>
      <c r="K26" s="5" t="s">
        <v>566</v>
      </c>
      <c r="M26" s="5" t="s">
        <v>567</v>
      </c>
      <c r="O26" s="5" t="s">
        <v>568</v>
      </c>
      <c r="Q26" s="52" t="s">
        <v>489</v>
      </c>
      <c r="S26" s="5" t="s">
        <v>569</v>
      </c>
      <c r="U26" s="5" t="s">
        <v>570</v>
      </c>
      <c r="W26" s="5" t="s">
        <v>571</v>
      </c>
      <c r="Y26" s="5" t="s">
        <v>572</v>
      </c>
      <c r="AA26" s="5" t="s">
        <v>573</v>
      </c>
      <c r="AC26" s="5" t="s">
        <v>574</v>
      </c>
      <c r="AE26" s="5" t="s">
        <v>575</v>
      </c>
      <c r="AG26" s="5" t="s">
        <v>576</v>
      </c>
    </row>
    <row r="27" spans="3:61" s="71" customFormat="1" ht="20.399999999999999" outlineLevel="1" x14ac:dyDescent="0.3">
      <c r="C27" s="416"/>
      <c r="E27" s="6"/>
      <c r="G27" s="6" t="s">
        <v>577</v>
      </c>
      <c r="I27" s="6"/>
      <c r="K27" s="6" t="s">
        <v>578</v>
      </c>
      <c r="M27" s="6" t="s">
        <v>114</v>
      </c>
      <c r="O27" s="6" t="s">
        <v>579</v>
      </c>
      <c r="Q27" s="6" t="s">
        <v>580</v>
      </c>
      <c r="S27" s="6" t="s">
        <v>581</v>
      </c>
      <c r="U27" s="6" t="s">
        <v>582</v>
      </c>
      <c r="W27" s="6" t="s">
        <v>583</v>
      </c>
      <c r="Y27" s="6" t="s">
        <v>584</v>
      </c>
      <c r="AA27" s="6" t="s">
        <v>585</v>
      </c>
      <c r="AC27" s="6" t="s">
        <v>586</v>
      </c>
      <c r="AE27" s="6" t="s">
        <v>587</v>
      </c>
      <c r="AG27" s="6" t="s">
        <v>588</v>
      </c>
      <c r="AK27" s="7"/>
      <c r="AL27" s="7"/>
      <c r="AM27" s="7"/>
      <c r="AS27" s="7"/>
      <c r="AT27" s="7"/>
      <c r="AU27" s="7"/>
      <c r="AV27" s="7"/>
      <c r="AW27" s="7"/>
      <c r="AX27" s="7"/>
      <c r="AY27" s="7"/>
      <c r="AZ27" s="7"/>
      <c r="BA27" s="7"/>
      <c r="BB27" s="7"/>
      <c r="BC27" s="7"/>
      <c r="BD27" s="7"/>
      <c r="BE27" s="7"/>
      <c r="BF27" s="7"/>
      <c r="BG27" s="7"/>
      <c r="BH27" s="7"/>
      <c r="BI27" s="7"/>
    </row>
    <row r="28" spans="3:61" outlineLevel="1" x14ac:dyDescent="0.3">
      <c r="C28" s="416"/>
      <c r="AM28" s="8" t="s">
        <v>589</v>
      </c>
    </row>
    <row r="29" spans="3:61" outlineLevel="1" x14ac:dyDescent="0.3">
      <c r="C29" s="416"/>
      <c r="E29" s="5"/>
      <c r="G29" s="5" t="s">
        <v>590</v>
      </c>
      <c r="I29" s="5"/>
      <c r="K29" s="5" t="s">
        <v>591</v>
      </c>
      <c r="M29" s="5"/>
      <c r="O29" s="5" t="s">
        <v>592</v>
      </c>
      <c r="Q29" s="52" t="s">
        <v>489</v>
      </c>
      <c r="S29" s="5"/>
      <c r="U29" s="5" t="s">
        <v>593</v>
      </c>
      <c r="W29" s="5" t="s">
        <v>594</v>
      </c>
      <c r="Y29" s="5" t="s">
        <v>595</v>
      </c>
      <c r="AA29" s="5" t="s">
        <v>596</v>
      </c>
      <c r="AC29" s="5" t="s">
        <v>597</v>
      </c>
      <c r="AE29" s="5" t="s">
        <v>598</v>
      </c>
      <c r="AG29" s="5" t="s">
        <v>599</v>
      </c>
    </row>
    <row r="30" spans="3:61" s="71" customFormat="1" ht="30.6" outlineLevel="1" x14ac:dyDescent="0.3">
      <c r="C30" s="416"/>
      <c r="E30" s="6"/>
      <c r="G30" s="6" t="s">
        <v>600</v>
      </c>
      <c r="I30" s="6"/>
      <c r="K30" s="6" t="s">
        <v>601</v>
      </c>
      <c r="M30" s="6"/>
      <c r="O30" s="6" t="s">
        <v>602</v>
      </c>
      <c r="Q30" s="6" t="s">
        <v>603</v>
      </c>
      <c r="S30" s="6"/>
      <c r="U30" s="6" t="s">
        <v>604</v>
      </c>
      <c r="W30" s="6" t="s">
        <v>605</v>
      </c>
      <c r="Y30" s="6" t="s">
        <v>606</v>
      </c>
      <c r="AA30" s="6" t="s">
        <v>607</v>
      </c>
      <c r="AC30" s="6" t="s">
        <v>608</v>
      </c>
      <c r="AE30" s="6" t="s">
        <v>470</v>
      </c>
      <c r="AG30" s="6" t="s">
        <v>609</v>
      </c>
      <c r="AK30" s="7"/>
      <c r="AL30" s="7"/>
      <c r="AM30" s="7"/>
      <c r="AS30" s="7"/>
      <c r="AT30" s="7"/>
      <c r="AU30" s="7"/>
      <c r="AV30" s="7"/>
      <c r="AW30" s="7"/>
      <c r="AX30" s="7"/>
      <c r="AY30" s="7"/>
      <c r="AZ30" s="7"/>
      <c r="BA30" s="7"/>
      <c r="BB30" s="7"/>
      <c r="BC30" s="7"/>
      <c r="BD30" s="7"/>
      <c r="BE30" s="7"/>
      <c r="BF30" s="7"/>
      <c r="BG30" s="7"/>
      <c r="BH30" s="7"/>
      <c r="BI30" s="7"/>
    </row>
    <row r="31" spans="3:61" outlineLevel="1" x14ac:dyDescent="0.3">
      <c r="C31" s="416"/>
    </row>
    <row r="32" spans="3:61" outlineLevel="1" x14ac:dyDescent="0.3">
      <c r="C32" s="416"/>
      <c r="E32" s="5"/>
      <c r="G32" s="5" t="s">
        <v>610</v>
      </c>
      <c r="I32" s="5"/>
      <c r="K32" s="5" t="s">
        <v>611</v>
      </c>
      <c r="M32" s="5"/>
      <c r="O32" s="5"/>
      <c r="Q32" s="52" t="s">
        <v>489</v>
      </c>
      <c r="S32" s="5"/>
      <c r="U32" s="5"/>
      <c r="W32" s="5" t="s">
        <v>612</v>
      </c>
      <c r="Y32" s="5" t="s">
        <v>613</v>
      </c>
      <c r="AA32" s="5" t="s">
        <v>614</v>
      </c>
      <c r="AC32" s="5" t="s">
        <v>615</v>
      </c>
      <c r="AE32" s="5" t="s">
        <v>616</v>
      </c>
      <c r="AG32" s="5" t="s">
        <v>617</v>
      </c>
    </row>
    <row r="33" spans="3:61" s="71" customFormat="1" ht="20.399999999999999" outlineLevel="1" x14ac:dyDescent="0.3">
      <c r="C33" s="416"/>
      <c r="E33" s="6"/>
      <c r="G33" s="6" t="s">
        <v>618</v>
      </c>
      <c r="I33" s="6"/>
      <c r="K33" s="6" t="s">
        <v>619</v>
      </c>
      <c r="M33" s="6"/>
      <c r="O33" s="6"/>
      <c r="Q33" s="6" t="s">
        <v>620</v>
      </c>
      <c r="S33" s="6"/>
      <c r="U33" s="6"/>
      <c r="W33" s="6" t="s">
        <v>621</v>
      </c>
      <c r="Y33" s="6" t="s">
        <v>622</v>
      </c>
      <c r="AA33" s="6" t="s">
        <v>623</v>
      </c>
      <c r="AC33" s="6" t="s">
        <v>624</v>
      </c>
      <c r="AE33" s="6" t="s">
        <v>625</v>
      </c>
      <c r="AG33" s="6" t="s">
        <v>626</v>
      </c>
      <c r="AK33" s="7"/>
      <c r="AL33" s="7"/>
      <c r="AM33" s="7"/>
      <c r="AS33" s="7"/>
      <c r="AT33" s="7"/>
      <c r="AU33" s="7"/>
      <c r="AV33" s="7"/>
      <c r="AW33" s="7"/>
      <c r="AX33" s="7"/>
      <c r="AY33" s="7"/>
      <c r="AZ33" s="7"/>
      <c r="BA33" s="7"/>
      <c r="BB33" s="7"/>
      <c r="BC33" s="7"/>
      <c r="BD33" s="7"/>
      <c r="BE33" s="7"/>
      <c r="BF33" s="7"/>
      <c r="BG33" s="7"/>
      <c r="BH33" s="7"/>
      <c r="BI33" s="7"/>
    </row>
    <row r="34" spans="3:61" outlineLevel="1" x14ac:dyDescent="0.3">
      <c r="C34" s="416"/>
    </row>
    <row r="35" spans="3:61" outlineLevel="1" x14ac:dyDescent="0.3">
      <c r="C35" s="416"/>
      <c r="E35" s="5"/>
      <c r="G35" s="5" t="s">
        <v>627</v>
      </c>
      <c r="I35" s="5"/>
      <c r="K35" s="5" t="s">
        <v>628</v>
      </c>
      <c r="M35" s="5"/>
      <c r="O35" s="5"/>
      <c r="Q35" s="52" t="s">
        <v>489</v>
      </c>
      <c r="S35" s="5"/>
      <c r="U35" s="5"/>
      <c r="W35" s="5"/>
      <c r="Y35" s="5"/>
      <c r="AA35" s="5"/>
      <c r="AC35" s="5" t="s">
        <v>629</v>
      </c>
      <c r="AE35" s="5"/>
      <c r="AG35" s="5" t="s">
        <v>630</v>
      </c>
    </row>
    <row r="36" spans="3:61" s="71" customFormat="1" ht="20.399999999999999" outlineLevel="1" x14ac:dyDescent="0.3">
      <c r="C36" s="416"/>
      <c r="E36" s="6"/>
      <c r="G36" s="6" t="s">
        <v>631</v>
      </c>
      <c r="I36" s="6"/>
      <c r="K36" s="6" t="s">
        <v>632</v>
      </c>
      <c r="M36" s="6"/>
      <c r="O36" s="6"/>
      <c r="Q36" s="6" t="s">
        <v>633</v>
      </c>
      <c r="S36" s="6"/>
      <c r="U36" s="6"/>
      <c r="W36" s="6"/>
      <c r="Y36" s="6"/>
      <c r="AA36" s="6"/>
      <c r="AC36" s="6" t="s">
        <v>634</v>
      </c>
      <c r="AE36" s="6"/>
      <c r="AG36" s="6" t="s">
        <v>635</v>
      </c>
      <c r="AK36" s="7"/>
      <c r="AL36" s="7"/>
      <c r="AM36" s="7"/>
      <c r="AS36" s="7"/>
      <c r="AT36" s="7"/>
      <c r="AU36" s="7"/>
      <c r="AV36" s="7"/>
      <c r="AW36" s="7"/>
      <c r="AX36" s="7"/>
      <c r="AY36" s="7"/>
      <c r="AZ36" s="7"/>
      <c r="BA36" s="7"/>
      <c r="BB36" s="7"/>
      <c r="BC36" s="7"/>
      <c r="BD36" s="7"/>
      <c r="BE36" s="7"/>
      <c r="BF36" s="7"/>
      <c r="BG36" s="7"/>
      <c r="BH36" s="7"/>
      <c r="BI36" s="7"/>
    </row>
    <row r="37" spans="3:61" outlineLevel="1" x14ac:dyDescent="0.3">
      <c r="C37" s="416"/>
    </row>
    <row r="38" spans="3:61" outlineLevel="1" x14ac:dyDescent="0.3">
      <c r="C38" s="416"/>
      <c r="E38" s="5"/>
      <c r="G38" s="5"/>
      <c r="I38" s="5"/>
      <c r="K38" s="5" t="s">
        <v>636</v>
      </c>
      <c r="M38" s="5"/>
      <c r="O38" s="5"/>
      <c r="Q38" s="5"/>
      <c r="S38" s="5"/>
      <c r="U38" s="5"/>
      <c r="W38" s="5"/>
      <c r="Y38" s="5"/>
      <c r="AA38" s="5"/>
      <c r="AC38" s="5" t="s">
        <v>637</v>
      </c>
      <c r="AE38" s="5"/>
      <c r="AG38" s="5" t="s">
        <v>638</v>
      </c>
    </row>
    <row r="39" spans="3:61" s="71" customFormat="1" ht="30.6" outlineLevel="1" x14ac:dyDescent="0.3">
      <c r="C39" s="416"/>
      <c r="E39" s="6"/>
      <c r="G39" s="6"/>
      <c r="I39" s="6"/>
      <c r="K39" s="6" t="s">
        <v>639</v>
      </c>
      <c r="M39" s="6"/>
      <c r="O39" s="6"/>
      <c r="Q39" s="6"/>
      <c r="S39" s="6"/>
      <c r="U39" s="6"/>
      <c r="W39" s="6"/>
      <c r="Y39" s="6"/>
      <c r="AA39" s="6"/>
      <c r="AC39" s="6" t="s">
        <v>640</v>
      </c>
      <c r="AE39" s="6"/>
      <c r="AG39" s="6" t="s">
        <v>641</v>
      </c>
      <c r="AK39" s="7"/>
      <c r="AL39" s="7"/>
      <c r="AM39" s="7"/>
      <c r="AS39" s="7"/>
      <c r="AT39" s="7"/>
      <c r="AU39" s="7"/>
      <c r="AV39" s="7"/>
      <c r="AW39" s="7"/>
      <c r="AX39" s="7"/>
      <c r="AY39" s="7"/>
      <c r="AZ39" s="7"/>
      <c r="BA39" s="7"/>
      <c r="BB39" s="7"/>
      <c r="BC39" s="7"/>
      <c r="BD39" s="7"/>
      <c r="BE39" s="7"/>
      <c r="BF39" s="7"/>
      <c r="BG39" s="7"/>
      <c r="BH39" s="7"/>
      <c r="BI39" s="7"/>
    </row>
    <row r="40" spans="3:61" outlineLevel="1" x14ac:dyDescent="0.3">
      <c r="C40" s="416"/>
    </row>
    <row r="41" spans="3:61" outlineLevel="1" x14ac:dyDescent="0.3">
      <c r="C41" s="416"/>
      <c r="E41" s="5"/>
      <c r="G41" s="5"/>
      <c r="I41" s="5"/>
      <c r="K41" s="5" t="s">
        <v>642</v>
      </c>
      <c r="M41" s="5"/>
      <c r="O41" s="5"/>
      <c r="Q41" s="5"/>
      <c r="S41" s="5"/>
      <c r="U41" s="5"/>
      <c r="W41" s="5"/>
      <c r="Y41" s="5"/>
      <c r="AA41" s="5"/>
      <c r="AC41" s="5" t="s">
        <v>643</v>
      </c>
      <c r="AE41" s="5"/>
      <c r="AG41" s="5"/>
    </row>
    <row r="42" spans="3:61" s="71" customFormat="1" ht="30.6" outlineLevel="1" x14ac:dyDescent="0.3">
      <c r="C42" s="417"/>
      <c r="E42" s="6"/>
      <c r="G42" s="6"/>
      <c r="I42" s="6"/>
      <c r="K42" s="6" t="s">
        <v>644</v>
      </c>
      <c r="M42" s="6"/>
      <c r="O42" s="6"/>
      <c r="Q42" s="6"/>
      <c r="S42" s="6"/>
      <c r="U42" s="6"/>
      <c r="W42" s="6"/>
      <c r="Y42" s="6"/>
      <c r="AA42" s="6"/>
      <c r="AC42" s="6" t="s">
        <v>645</v>
      </c>
      <c r="AE42" s="6"/>
      <c r="AG42" s="6"/>
      <c r="AK42" s="7"/>
      <c r="AL42" s="7"/>
      <c r="AM42" s="7"/>
      <c r="AS42" s="7"/>
      <c r="AT42" s="7"/>
      <c r="AU42" s="7"/>
      <c r="AV42" s="7"/>
      <c r="AW42" s="7"/>
      <c r="AX42" s="7"/>
      <c r="AY42" s="7"/>
      <c r="AZ42" s="7"/>
      <c r="BA42" s="7"/>
      <c r="BB42" s="7"/>
      <c r="BC42" s="7"/>
      <c r="BD42" s="7"/>
      <c r="BE42" s="7"/>
      <c r="BF42" s="7"/>
      <c r="BG42" s="7"/>
      <c r="BH42" s="7"/>
      <c r="BI42" s="7"/>
    </row>
    <row r="43" spans="3:61" ht="12" x14ac:dyDescent="0.3">
      <c r="AS43" s="410" t="s">
        <v>646</v>
      </c>
      <c r="AT43" s="410"/>
      <c r="AU43" s="410"/>
      <c r="AV43" s="410"/>
      <c r="AW43" s="410"/>
      <c r="AX43" s="410"/>
      <c r="AY43" s="410"/>
      <c r="AZ43" s="410"/>
      <c r="BA43" s="410"/>
      <c r="BB43" s="411" t="s">
        <v>647</v>
      </c>
      <c r="BC43" s="411"/>
      <c r="BD43" s="411"/>
      <c r="BE43" s="411"/>
      <c r="BF43" s="411"/>
      <c r="BG43" s="411"/>
    </row>
    <row r="44" spans="3:61" ht="12.6" thickBot="1" x14ac:dyDescent="0.35">
      <c r="AI44" s="122" t="s">
        <v>648</v>
      </c>
      <c r="AJ44" s="142" t="s">
        <v>649</v>
      </c>
      <c r="AK44" s="142" t="s">
        <v>650</v>
      </c>
      <c r="AL44" s="142" t="s">
        <v>651</v>
      </c>
      <c r="AM44" s="142" t="s">
        <v>652</v>
      </c>
      <c r="AO44" s="25" t="s">
        <v>649</v>
      </c>
      <c r="AP44" s="25" t="s">
        <v>646</v>
      </c>
      <c r="AQ44" s="25" t="s">
        <v>647</v>
      </c>
      <c r="AS44" s="105" t="s">
        <v>412</v>
      </c>
      <c r="AT44" s="105" t="s">
        <v>344</v>
      </c>
      <c r="AU44" s="105" t="s">
        <v>653</v>
      </c>
      <c r="AV44" s="105" t="s">
        <v>347</v>
      </c>
      <c r="AW44" s="105" t="s">
        <v>342</v>
      </c>
      <c r="AX44" s="105" t="s">
        <v>654</v>
      </c>
      <c r="AY44" s="105" t="s">
        <v>415</v>
      </c>
      <c r="AZ44" s="105" t="s">
        <v>416</v>
      </c>
      <c r="BA44" s="105" t="s">
        <v>346</v>
      </c>
      <c r="BB44" s="106" t="s">
        <v>345</v>
      </c>
      <c r="BC44" s="106" t="s">
        <v>417</v>
      </c>
      <c r="BD44" s="106" t="s">
        <v>418</v>
      </c>
      <c r="BE44" s="106" t="s">
        <v>419</v>
      </c>
      <c r="BF44" s="106" t="s">
        <v>420</v>
      </c>
      <c r="BG44" s="106" t="s">
        <v>343</v>
      </c>
    </row>
    <row r="45" spans="3:61" x14ac:dyDescent="0.3">
      <c r="AI45" s="21" t="str">
        <f>AJ45&amp;" "&amp;AK45&amp;" "&amp;AL45</f>
        <v>Internal Executive Project.Support</v>
      </c>
      <c r="AJ45" s="22" t="s">
        <v>646</v>
      </c>
      <c r="AK45" s="22" t="s">
        <v>412</v>
      </c>
      <c r="AL45" s="115" t="s">
        <v>655</v>
      </c>
      <c r="AM45" s="22" t="s">
        <v>422</v>
      </c>
      <c r="AO45" s="22" t="s">
        <v>646</v>
      </c>
      <c r="AP45" s="22" t="s">
        <v>412</v>
      </c>
      <c r="AQ45" s="22" t="s">
        <v>345</v>
      </c>
      <c r="AS45" s="22" t="s">
        <v>655</v>
      </c>
      <c r="AT45" s="8" t="s">
        <v>656</v>
      </c>
      <c r="AU45" s="22" t="s">
        <v>439</v>
      </c>
      <c r="AV45" s="22" t="s">
        <v>657</v>
      </c>
      <c r="AW45" s="22" t="s">
        <v>441</v>
      </c>
      <c r="AX45" s="22" t="s">
        <v>658</v>
      </c>
      <c r="AY45" s="22" t="s">
        <v>659</v>
      </c>
      <c r="AZ45" s="22" t="s">
        <v>660</v>
      </c>
      <c r="BA45" s="22" t="s">
        <v>661</v>
      </c>
      <c r="BB45" s="22" t="s">
        <v>662</v>
      </c>
      <c r="BC45" s="22" t="s">
        <v>447</v>
      </c>
      <c r="BD45" s="22" t="s">
        <v>448</v>
      </c>
      <c r="BE45" s="22" t="s">
        <v>663</v>
      </c>
      <c r="BF45" s="22" t="s">
        <v>450</v>
      </c>
      <c r="BG45" s="22" t="s">
        <v>451</v>
      </c>
    </row>
    <row r="46" spans="3:61" x14ac:dyDescent="0.3">
      <c r="AI46" s="21" t="str">
        <f t="shared" ref="AI46:AI110" si="0">AJ46&amp;" "&amp;AK46&amp;" "&amp;AL46</f>
        <v>Internal Executive Executive.Stakeholder.Conflicts</v>
      </c>
      <c r="AJ46" s="22" t="s">
        <v>646</v>
      </c>
      <c r="AK46" s="22" t="s">
        <v>412</v>
      </c>
      <c r="AL46" s="116" t="s">
        <v>664</v>
      </c>
      <c r="AM46" s="22" t="s">
        <v>453</v>
      </c>
      <c r="AO46" s="22" t="s">
        <v>647</v>
      </c>
      <c r="AP46" s="22" t="s">
        <v>344</v>
      </c>
      <c r="AQ46" s="22" t="s">
        <v>417</v>
      </c>
      <c r="AS46" s="22" t="s">
        <v>664</v>
      </c>
      <c r="AT46" s="22" t="s">
        <v>665</v>
      </c>
      <c r="AU46" s="22" t="s">
        <v>470</v>
      </c>
      <c r="AV46" s="22" t="s">
        <v>471</v>
      </c>
      <c r="AW46" s="22" t="s">
        <v>472</v>
      </c>
      <c r="AX46" s="22" t="s">
        <v>666</v>
      </c>
      <c r="AY46" s="22" t="s">
        <v>667</v>
      </c>
      <c r="AZ46" s="22" t="s">
        <v>668</v>
      </c>
      <c r="BA46" s="22" t="s">
        <v>669</v>
      </c>
      <c r="BB46" s="22" t="s">
        <v>670</v>
      </c>
      <c r="BC46" s="22" t="s">
        <v>671</v>
      </c>
      <c r="BD46" s="22" t="s">
        <v>672</v>
      </c>
      <c r="BE46" s="22" t="s">
        <v>673</v>
      </c>
      <c r="BF46" s="22" t="s">
        <v>481</v>
      </c>
      <c r="BG46" s="22" t="s">
        <v>674</v>
      </c>
    </row>
    <row r="47" spans="3:61" ht="12" thickBot="1" x14ac:dyDescent="0.35">
      <c r="AI47" s="21" t="str">
        <f t="shared" si="0"/>
        <v>Internal Executive Executive.Turnover</v>
      </c>
      <c r="AJ47" s="22" t="s">
        <v>646</v>
      </c>
      <c r="AK47" s="22" t="s">
        <v>412</v>
      </c>
      <c r="AL47" s="117" t="s">
        <v>675</v>
      </c>
      <c r="AM47" s="22" t="s">
        <v>483</v>
      </c>
      <c r="AO47" s="21"/>
      <c r="AP47" s="22" t="s">
        <v>653</v>
      </c>
      <c r="AQ47" s="22" t="s">
        <v>418</v>
      </c>
      <c r="AS47" s="22" t="s">
        <v>675</v>
      </c>
      <c r="AT47" s="22" t="s">
        <v>676</v>
      </c>
      <c r="AU47" s="22" t="s">
        <v>500</v>
      </c>
      <c r="AV47" s="22" t="s">
        <v>677</v>
      </c>
      <c r="AW47" s="22" t="s">
        <v>678</v>
      </c>
      <c r="AX47" s="22" t="s">
        <v>679</v>
      </c>
      <c r="AY47" s="22" t="s">
        <v>680</v>
      </c>
      <c r="AZ47" s="22" t="s">
        <v>681</v>
      </c>
      <c r="BA47" s="22" t="s">
        <v>682</v>
      </c>
      <c r="BB47" s="22" t="s">
        <v>683</v>
      </c>
      <c r="BC47" s="22" t="s">
        <v>684</v>
      </c>
      <c r="BD47" s="22" t="s">
        <v>685</v>
      </c>
      <c r="BE47" s="22" t="s">
        <v>686</v>
      </c>
      <c r="BF47" s="22" t="s">
        <v>511</v>
      </c>
      <c r="BG47" s="22" t="s">
        <v>687</v>
      </c>
    </row>
    <row r="48" spans="3:61" x14ac:dyDescent="0.3">
      <c r="AI48" s="21" t="str">
        <f t="shared" si="0"/>
        <v>Internal Operation Business.Interruption</v>
      </c>
      <c r="AJ48" s="22" t="s">
        <v>646</v>
      </c>
      <c r="AK48" s="22" t="s">
        <v>344</v>
      </c>
      <c r="AL48" s="115" t="s">
        <v>656</v>
      </c>
      <c r="AM48" s="22" t="s">
        <v>423</v>
      </c>
      <c r="AO48" s="21"/>
      <c r="AP48" s="22" t="s">
        <v>347</v>
      </c>
      <c r="AQ48" s="22" t="s">
        <v>419</v>
      </c>
      <c r="AS48" s="22"/>
      <c r="AT48" s="22" t="s">
        <v>688</v>
      </c>
      <c r="AU48" s="22" t="s">
        <v>527</v>
      </c>
      <c r="AV48" s="22" t="s">
        <v>689</v>
      </c>
      <c r="AW48" s="22" t="s">
        <v>690</v>
      </c>
      <c r="AX48" s="22" t="s">
        <v>691</v>
      </c>
      <c r="AY48" s="22" t="s">
        <v>692</v>
      </c>
      <c r="AZ48" s="22" t="s">
        <v>693</v>
      </c>
      <c r="BA48" s="22" t="s">
        <v>694</v>
      </c>
      <c r="BB48" s="22" t="s">
        <v>695</v>
      </c>
      <c r="BC48" s="22" t="s">
        <v>696</v>
      </c>
      <c r="BD48" s="22" t="s">
        <v>536</v>
      </c>
      <c r="BE48" s="22" t="s">
        <v>697</v>
      </c>
      <c r="BF48" s="22" t="s">
        <v>538</v>
      </c>
      <c r="BG48" s="22" t="s">
        <v>698</v>
      </c>
    </row>
    <row r="49" spans="5:59" x14ac:dyDescent="0.3">
      <c r="E49" s="8"/>
      <c r="AI49" s="21" t="str">
        <f t="shared" si="0"/>
        <v>Internal Operation Human.Factor</v>
      </c>
      <c r="AJ49" s="22" t="s">
        <v>646</v>
      </c>
      <c r="AK49" s="22" t="s">
        <v>344</v>
      </c>
      <c r="AL49" s="116" t="s">
        <v>665</v>
      </c>
      <c r="AM49" s="22" t="s">
        <v>454</v>
      </c>
      <c r="AO49" s="21"/>
      <c r="AP49" s="22" t="s">
        <v>342</v>
      </c>
      <c r="AQ49" s="22" t="s">
        <v>420</v>
      </c>
      <c r="AS49" s="22"/>
      <c r="AT49" s="22" t="s">
        <v>699</v>
      </c>
      <c r="AU49" s="22"/>
      <c r="AV49" s="22" t="s">
        <v>700</v>
      </c>
      <c r="AW49" s="22" t="s">
        <v>701</v>
      </c>
      <c r="AX49" s="22" t="s">
        <v>702</v>
      </c>
      <c r="AY49" s="22" t="s">
        <v>703</v>
      </c>
      <c r="AZ49" s="22" t="s">
        <v>704</v>
      </c>
      <c r="BA49" s="22" t="s">
        <v>705</v>
      </c>
      <c r="BB49" s="22" t="s">
        <v>706</v>
      </c>
      <c r="BC49" s="22" t="s">
        <v>707</v>
      </c>
      <c r="BD49" s="22" t="s">
        <v>561</v>
      </c>
      <c r="BE49" s="22" t="s">
        <v>708</v>
      </c>
      <c r="BF49" s="22" t="s">
        <v>709</v>
      </c>
      <c r="BG49" s="22" t="s">
        <v>710</v>
      </c>
    </row>
    <row r="50" spans="5:59" x14ac:dyDescent="0.3">
      <c r="E50" s="8"/>
      <c r="AI50" s="21" t="str">
        <f t="shared" si="0"/>
        <v>Internal Operation Equipment.Failure</v>
      </c>
      <c r="AJ50" s="22" t="s">
        <v>646</v>
      </c>
      <c r="AK50" s="22" t="s">
        <v>344</v>
      </c>
      <c r="AL50" s="116" t="s">
        <v>676</v>
      </c>
      <c r="AM50" s="22" t="s">
        <v>484</v>
      </c>
      <c r="AO50" s="21"/>
      <c r="AP50" s="22" t="s">
        <v>654</v>
      </c>
      <c r="AQ50" s="22" t="s">
        <v>343</v>
      </c>
      <c r="AS50" s="22"/>
      <c r="AT50" s="22" t="s">
        <v>577</v>
      </c>
      <c r="AU50" s="22"/>
      <c r="AV50" s="22" t="s">
        <v>711</v>
      </c>
      <c r="AW50" s="22" t="s">
        <v>712</v>
      </c>
      <c r="AX50" s="22" t="s">
        <v>713</v>
      </c>
      <c r="AY50" s="22" t="s">
        <v>714</v>
      </c>
      <c r="AZ50" s="22" t="s">
        <v>715</v>
      </c>
      <c r="BA50" s="22" t="s">
        <v>582</v>
      </c>
      <c r="BB50" s="22" t="s">
        <v>716</v>
      </c>
      <c r="BC50" s="22" t="s">
        <v>717</v>
      </c>
      <c r="BD50" s="22" t="s">
        <v>718</v>
      </c>
      <c r="BE50" s="22" t="s">
        <v>719</v>
      </c>
      <c r="BF50" s="22" t="s">
        <v>720</v>
      </c>
      <c r="BG50" s="22" t="s">
        <v>721</v>
      </c>
    </row>
    <row r="51" spans="5:59" x14ac:dyDescent="0.3">
      <c r="E51" s="8"/>
      <c r="AI51" s="21" t="str">
        <f t="shared" si="0"/>
        <v>Internal Operation Health.Safety</v>
      </c>
      <c r="AJ51" s="22" t="s">
        <v>646</v>
      </c>
      <c r="AK51" s="22" t="s">
        <v>344</v>
      </c>
      <c r="AL51" s="116" t="s">
        <v>688</v>
      </c>
      <c r="AM51" s="22" t="s">
        <v>513</v>
      </c>
      <c r="AO51" s="21"/>
      <c r="AP51" s="22" t="s">
        <v>415</v>
      </c>
      <c r="AQ51" s="24"/>
      <c r="AS51" s="22"/>
      <c r="AT51" s="22" t="s">
        <v>722</v>
      </c>
      <c r="AU51" s="22"/>
      <c r="AV51" s="22" t="s">
        <v>723</v>
      </c>
      <c r="AW51" s="22"/>
      <c r="AX51" s="22" t="s">
        <v>724</v>
      </c>
      <c r="AY51" s="22" t="s">
        <v>725</v>
      </c>
      <c r="AZ51" s="22"/>
      <c r="BA51" s="22" t="s">
        <v>726</v>
      </c>
      <c r="BB51" s="22" t="s">
        <v>727</v>
      </c>
      <c r="BC51" s="22" t="s">
        <v>728</v>
      </c>
      <c r="BD51" s="22" t="s">
        <v>729</v>
      </c>
      <c r="BE51" s="22" t="s">
        <v>730</v>
      </c>
      <c r="BF51" s="22" t="s">
        <v>731</v>
      </c>
      <c r="BG51" s="22" t="s">
        <v>609</v>
      </c>
    </row>
    <row r="52" spans="5:59" x14ac:dyDescent="0.3">
      <c r="E52" s="8"/>
      <c r="AI52" s="21" t="str">
        <f t="shared" si="0"/>
        <v>Internal Operation System.Failure</v>
      </c>
      <c r="AJ52" s="22" t="s">
        <v>646</v>
      </c>
      <c r="AK52" s="22" t="s">
        <v>344</v>
      </c>
      <c r="AL52" s="116" t="s">
        <v>699</v>
      </c>
      <c r="AM52" s="22" t="s">
        <v>540</v>
      </c>
      <c r="AO52" s="21"/>
      <c r="AP52" s="22" t="s">
        <v>416</v>
      </c>
      <c r="AQ52" s="24"/>
      <c r="AS52" s="22"/>
      <c r="AT52" s="22" t="s">
        <v>732</v>
      </c>
      <c r="AU52" s="22"/>
      <c r="AV52" s="22" t="s">
        <v>619</v>
      </c>
      <c r="AW52" s="22"/>
      <c r="AX52" s="22"/>
      <c r="AY52" s="22" t="s">
        <v>733</v>
      </c>
      <c r="AZ52" s="22"/>
      <c r="BA52" s="22"/>
      <c r="BB52" s="22" t="s">
        <v>734</v>
      </c>
      <c r="BC52" s="22" t="s">
        <v>622</v>
      </c>
      <c r="BD52" s="22" t="s">
        <v>735</v>
      </c>
      <c r="BE52" s="22" t="s">
        <v>736</v>
      </c>
      <c r="BF52" s="22" t="s">
        <v>737</v>
      </c>
      <c r="BG52" s="22" t="s">
        <v>626</v>
      </c>
    </row>
    <row r="53" spans="5:59" x14ac:dyDescent="0.3">
      <c r="E53" s="8"/>
      <c r="AI53" s="21" t="str">
        <f t="shared" si="0"/>
        <v>Internal Operation Outsourcing</v>
      </c>
      <c r="AJ53" s="22" t="s">
        <v>646</v>
      </c>
      <c r="AK53" s="22" t="s">
        <v>344</v>
      </c>
      <c r="AL53" s="116" t="s">
        <v>577</v>
      </c>
      <c r="AM53" s="22" t="s">
        <v>565</v>
      </c>
      <c r="AO53" s="21"/>
      <c r="AP53" s="22" t="s">
        <v>346</v>
      </c>
      <c r="AQ53" s="24"/>
      <c r="AS53" s="22"/>
      <c r="AT53" s="22" t="s">
        <v>738</v>
      </c>
      <c r="AU53" s="22"/>
      <c r="AV53" s="22" t="s">
        <v>739</v>
      </c>
      <c r="AW53" s="22"/>
      <c r="AX53" s="22"/>
      <c r="AY53" s="22" t="s">
        <v>740</v>
      </c>
      <c r="AZ53" s="22"/>
      <c r="BA53" s="22"/>
      <c r="BB53" s="22"/>
      <c r="BC53" s="22"/>
      <c r="BD53" s="22"/>
      <c r="BE53" s="22" t="s">
        <v>741</v>
      </c>
      <c r="BF53" s="22"/>
      <c r="BG53" s="22" t="s">
        <v>742</v>
      </c>
    </row>
    <row r="54" spans="5:59" x14ac:dyDescent="0.3">
      <c r="E54" s="8"/>
      <c r="AI54" s="21" t="str">
        <f t="shared" si="0"/>
        <v>Internal Operation Insufficient.Process</v>
      </c>
      <c r="AJ54" s="22" t="s">
        <v>646</v>
      </c>
      <c r="AK54" s="22" t="s">
        <v>344</v>
      </c>
      <c r="AL54" s="116" t="s">
        <v>722</v>
      </c>
      <c r="AM54" s="22" t="s">
        <v>590</v>
      </c>
      <c r="AS54" s="22"/>
      <c r="AT54" s="22"/>
      <c r="AU54" s="22"/>
      <c r="AV54" s="22" t="s">
        <v>743</v>
      </c>
      <c r="AW54" s="22"/>
      <c r="AX54" s="22"/>
      <c r="AY54" s="22"/>
      <c r="AZ54" s="22"/>
      <c r="BA54" s="22"/>
      <c r="BB54" s="22"/>
      <c r="BC54" s="22"/>
      <c r="BD54" s="22"/>
      <c r="BE54" s="22" t="s">
        <v>744</v>
      </c>
      <c r="BF54" s="22"/>
      <c r="BG54" s="22" t="s">
        <v>745</v>
      </c>
    </row>
    <row r="55" spans="5:59" x14ac:dyDescent="0.3">
      <c r="E55" s="8"/>
      <c r="AI55" s="21" t="str">
        <f t="shared" si="0"/>
        <v>Internal Operation Process.Failure</v>
      </c>
      <c r="AJ55" s="22" t="s">
        <v>646</v>
      </c>
      <c r="AK55" s="22" t="s">
        <v>344</v>
      </c>
      <c r="AL55" s="116" t="s">
        <v>732</v>
      </c>
      <c r="AM55" s="22" t="s">
        <v>610</v>
      </c>
      <c r="AS55" s="22"/>
      <c r="AT55" s="22"/>
      <c r="AU55" s="22"/>
      <c r="AV55" s="22" t="s">
        <v>644</v>
      </c>
      <c r="AW55" s="22"/>
      <c r="AX55" s="22"/>
      <c r="AY55" s="22"/>
      <c r="AZ55" s="22"/>
      <c r="BA55" s="22"/>
      <c r="BB55" s="22"/>
      <c r="BC55" s="22"/>
      <c r="BD55" s="22"/>
      <c r="BE55" s="22" t="s">
        <v>746</v>
      </c>
      <c r="BF55" s="22"/>
      <c r="BG55" s="22"/>
    </row>
    <row r="56" spans="5:59" ht="12" thickBot="1" x14ac:dyDescent="0.35">
      <c r="E56" s="8"/>
      <c r="AI56" s="21" t="str">
        <f t="shared" si="0"/>
        <v>Internal Operation System.Quality</v>
      </c>
      <c r="AJ56" s="22" t="s">
        <v>646</v>
      </c>
      <c r="AK56" s="22" t="s">
        <v>344</v>
      </c>
      <c r="AL56" s="117" t="s">
        <v>738</v>
      </c>
      <c r="AM56" s="22" t="s">
        <v>627</v>
      </c>
    </row>
    <row r="57" spans="5:59" x14ac:dyDescent="0.3">
      <c r="E57" s="8"/>
      <c r="AI57" s="21" t="str">
        <f t="shared" si="0"/>
        <v>Internal Human.Resource Strategic</v>
      </c>
      <c r="AJ57" s="22" t="s">
        <v>646</v>
      </c>
      <c r="AK57" s="22" t="s">
        <v>653</v>
      </c>
      <c r="AL57" s="115" t="s">
        <v>439</v>
      </c>
      <c r="AM57" s="22" t="s">
        <v>424</v>
      </c>
      <c r="AO57" s="23" t="s">
        <v>747</v>
      </c>
    </row>
    <row r="58" spans="5:59" x14ac:dyDescent="0.3">
      <c r="E58" s="8"/>
      <c r="AI58" s="21" t="str">
        <f t="shared" si="0"/>
        <v>Internal Human.Resource Compliance</v>
      </c>
      <c r="AJ58" s="22" t="s">
        <v>646</v>
      </c>
      <c r="AK58" s="22" t="s">
        <v>653</v>
      </c>
      <c r="AL58" s="116" t="s">
        <v>470</v>
      </c>
      <c r="AM58" s="22" t="s">
        <v>455</v>
      </c>
      <c r="AO58" s="21">
        <v>1</v>
      </c>
    </row>
    <row r="59" spans="5:59" x14ac:dyDescent="0.3">
      <c r="E59" s="8"/>
      <c r="AI59" s="21" t="str">
        <f t="shared" si="0"/>
        <v>Internal Human.Resource Operational</v>
      </c>
      <c r="AJ59" s="22" t="s">
        <v>646</v>
      </c>
      <c r="AK59" s="22" t="s">
        <v>653</v>
      </c>
      <c r="AL59" s="116" t="s">
        <v>500</v>
      </c>
      <c r="AM59" s="22" t="s">
        <v>485</v>
      </c>
      <c r="AO59" s="21">
        <v>2</v>
      </c>
    </row>
    <row r="60" spans="5:59" ht="12" thickBot="1" x14ac:dyDescent="0.35">
      <c r="E60" s="8"/>
      <c r="AI60" s="21" t="str">
        <f t="shared" si="0"/>
        <v>Internal Human.Resource Financial</v>
      </c>
      <c r="AJ60" s="22" t="s">
        <v>646</v>
      </c>
      <c r="AK60" s="22" t="s">
        <v>653</v>
      </c>
      <c r="AL60" s="117" t="s">
        <v>527</v>
      </c>
      <c r="AM60" s="22" t="s">
        <v>514</v>
      </c>
      <c r="AO60" s="21">
        <v>3</v>
      </c>
    </row>
    <row r="61" spans="5:59" x14ac:dyDescent="0.3">
      <c r="E61" s="8"/>
      <c r="AI61" s="21" t="str">
        <f t="shared" si="0"/>
        <v>Internal Procurement Needs.Analysis.Planning</v>
      </c>
      <c r="AJ61" s="22" t="s">
        <v>646</v>
      </c>
      <c r="AK61" s="22" t="s">
        <v>347</v>
      </c>
      <c r="AL61" s="118" t="s">
        <v>657</v>
      </c>
      <c r="AM61" s="22" t="s">
        <v>425</v>
      </c>
    </row>
    <row r="62" spans="5:59" x14ac:dyDescent="0.3">
      <c r="E62" s="8"/>
      <c r="AI62" s="21" t="str">
        <f t="shared" si="0"/>
        <v>Internal Procurement Specifications</v>
      </c>
      <c r="AJ62" s="22" t="s">
        <v>646</v>
      </c>
      <c r="AK62" s="22" t="s">
        <v>347</v>
      </c>
      <c r="AL62" s="116" t="s">
        <v>471</v>
      </c>
      <c r="AM62" s="22" t="s">
        <v>456</v>
      </c>
    </row>
    <row r="63" spans="5:59" x14ac:dyDescent="0.3">
      <c r="E63" s="8"/>
      <c r="AI63" s="21" t="str">
        <f t="shared" si="0"/>
        <v>Internal Procurement Purchasing.Method</v>
      </c>
      <c r="AJ63" s="22" t="s">
        <v>646</v>
      </c>
      <c r="AK63" s="22" t="s">
        <v>347</v>
      </c>
      <c r="AL63" s="116" t="s">
        <v>677</v>
      </c>
      <c r="AM63" s="22" t="s">
        <v>486</v>
      </c>
    </row>
    <row r="64" spans="5:59" x14ac:dyDescent="0.3">
      <c r="E64" s="8"/>
      <c r="AI64" s="21" t="str">
        <f t="shared" si="0"/>
        <v>Internal Procurement Purchasing.Documentation</v>
      </c>
      <c r="AJ64" s="22" t="s">
        <v>646</v>
      </c>
      <c r="AK64" s="22" t="s">
        <v>347</v>
      </c>
      <c r="AL64" s="116" t="s">
        <v>689</v>
      </c>
      <c r="AM64" s="22" t="s">
        <v>515</v>
      </c>
      <c r="AS64" s="44" t="s">
        <v>748</v>
      </c>
      <c r="AT64" s="45"/>
      <c r="AU64" s="45"/>
      <c r="AV64" s="45"/>
      <c r="AW64" s="45"/>
      <c r="AX64" s="46"/>
    </row>
    <row r="65" spans="5:61" x14ac:dyDescent="0.3">
      <c r="E65" s="8"/>
      <c r="AI65" s="21" t="str">
        <f t="shared" si="0"/>
        <v>Internal Procurement Inviting.Clarifying.Closing.Offers</v>
      </c>
      <c r="AJ65" s="22" t="s">
        <v>646</v>
      </c>
      <c r="AK65" s="22" t="s">
        <v>347</v>
      </c>
      <c r="AL65" s="116" t="s">
        <v>700</v>
      </c>
      <c r="AM65" s="22" t="s">
        <v>541</v>
      </c>
      <c r="AS65" s="47" t="s">
        <v>749</v>
      </c>
      <c r="AX65" s="48"/>
    </row>
    <row r="66" spans="5:61" x14ac:dyDescent="0.3">
      <c r="E66" s="8"/>
      <c r="AI66" s="21" t="str">
        <f t="shared" si="0"/>
        <v>Internal Procurement Evaluating.Offers</v>
      </c>
      <c r="AJ66" s="22" t="s">
        <v>646</v>
      </c>
      <c r="AK66" s="22" t="s">
        <v>347</v>
      </c>
      <c r="AL66" s="116" t="s">
        <v>711</v>
      </c>
      <c r="AM66" s="22" t="s">
        <v>566</v>
      </c>
      <c r="AS66" s="47" t="s">
        <v>750</v>
      </c>
      <c r="AX66" s="48"/>
    </row>
    <row r="67" spans="5:61" x14ac:dyDescent="0.3">
      <c r="E67" s="8"/>
      <c r="AI67" s="21" t="str">
        <f t="shared" si="0"/>
        <v>Internal Procurement Selection.Successful.Tenderer</v>
      </c>
      <c r="AJ67" s="22" t="s">
        <v>646</v>
      </c>
      <c r="AK67" s="22" t="s">
        <v>347</v>
      </c>
      <c r="AL67" s="116" t="s">
        <v>723</v>
      </c>
      <c r="AM67" s="22" t="s">
        <v>591</v>
      </c>
      <c r="AS67" s="47" t="s">
        <v>751</v>
      </c>
      <c r="AX67" s="48"/>
    </row>
    <row r="68" spans="5:61" x14ac:dyDescent="0.3">
      <c r="E68" s="8"/>
      <c r="AI68" s="21" t="str">
        <f t="shared" si="0"/>
        <v>Internal Procurement Negotiations</v>
      </c>
      <c r="AJ68" s="22" t="s">
        <v>646</v>
      </c>
      <c r="AK68" s="22" t="s">
        <v>347</v>
      </c>
      <c r="AL68" s="116" t="s">
        <v>619</v>
      </c>
      <c r="AM68" s="22" t="s">
        <v>611</v>
      </c>
      <c r="AS68" s="47" t="s">
        <v>752</v>
      </c>
      <c r="AX68" s="48"/>
    </row>
    <row r="69" spans="5:61" x14ac:dyDescent="0.3">
      <c r="E69" s="8"/>
      <c r="AI69" s="21" t="str">
        <f t="shared" si="0"/>
        <v>Internal Procurement Contract.Management</v>
      </c>
      <c r="AJ69" s="22" t="s">
        <v>646</v>
      </c>
      <c r="AK69" s="22" t="s">
        <v>347</v>
      </c>
      <c r="AL69" s="116" t="s">
        <v>739</v>
      </c>
      <c r="AM69" s="22" t="s">
        <v>628</v>
      </c>
      <c r="AS69" s="47" t="s">
        <v>753</v>
      </c>
      <c r="AX69" s="48"/>
    </row>
    <row r="70" spans="5:61" x14ac:dyDescent="0.3">
      <c r="E70" s="8"/>
      <c r="AI70" s="21" t="str">
        <f t="shared" si="0"/>
        <v>Internal Procurement Procurement.Process.Evaluation</v>
      </c>
      <c r="AJ70" s="22" t="s">
        <v>646</v>
      </c>
      <c r="AK70" s="22" t="s">
        <v>347</v>
      </c>
      <c r="AL70" s="116" t="s">
        <v>743</v>
      </c>
      <c r="AM70" s="22" t="s">
        <v>636</v>
      </c>
      <c r="AS70" s="47" t="s">
        <v>754</v>
      </c>
      <c r="AX70" s="48"/>
    </row>
    <row r="71" spans="5:61" ht="12" thickBot="1" x14ac:dyDescent="0.35">
      <c r="E71" s="8"/>
      <c r="AI71" s="21" t="str">
        <f t="shared" si="0"/>
        <v>Internal Procurement Disposals</v>
      </c>
      <c r="AJ71" s="22" t="s">
        <v>646</v>
      </c>
      <c r="AK71" s="22" t="s">
        <v>347</v>
      </c>
      <c r="AL71" s="117" t="s">
        <v>644</v>
      </c>
      <c r="AM71" s="22" t="s">
        <v>642</v>
      </c>
      <c r="AS71" s="49" t="s">
        <v>755</v>
      </c>
      <c r="AT71" s="50"/>
      <c r="AU71" s="50"/>
      <c r="AV71" s="50"/>
      <c r="AW71" s="50"/>
      <c r="AX71" s="51"/>
    </row>
    <row r="72" spans="5:61" x14ac:dyDescent="0.3">
      <c r="E72" s="8"/>
      <c r="AI72" s="21" t="str">
        <f t="shared" si="0"/>
        <v>Internal Engineering Scope</v>
      </c>
      <c r="AJ72" s="22" t="s">
        <v>646</v>
      </c>
      <c r="AK72" s="22" t="s">
        <v>342</v>
      </c>
      <c r="AL72" s="115" t="s">
        <v>441</v>
      </c>
      <c r="AM72" s="22" t="s">
        <v>426</v>
      </c>
    </row>
    <row r="73" spans="5:61" x14ac:dyDescent="0.3">
      <c r="E73" s="8"/>
      <c r="AI73" s="21" t="str">
        <f t="shared" si="0"/>
        <v>Internal Engineering Design</v>
      </c>
      <c r="AJ73" s="22" t="s">
        <v>646</v>
      </c>
      <c r="AK73" s="22" t="s">
        <v>342</v>
      </c>
      <c r="AL73" s="116" t="s">
        <v>472</v>
      </c>
      <c r="AM73" s="22" t="s">
        <v>457</v>
      </c>
    </row>
    <row r="74" spans="5:61" x14ac:dyDescent="0.3">
      <c r="E74" s="8"/>
      <c r="AI74" s="21" t="str">
        <f t="shared" si="0"/>
        <v>Internal Engineering Technology.Adoption</v>
      </c>
      <c r="AJ74" s="22" t="s">
        <v>646</v>
      </c>
      <c r="AK74" s="22" t="s">
        <v>342</v>
      </c>
      <c r="AL74" s="116" t="s">
        <v>678</v>
      </c>
      <c r="AM74" s="22" t="s">
        <v>487</v>
      </c>
    </row>
    <row r="75" spans="5:61" x14ac:dyDescent="0.3">
      <c r="E75" s="8"/>
      <c r="AI75" s="21" t="str">
        <f t="shared" si="0"/>
        <v>Internal Engineering Quality.Systems</v>
      </c>
      <c r="AJ75" s="22" t="s">
        <v>646</v>
      </c>
      <c r="AK75" s="22" t="s">
        <v>342</v>
      </c>
      <c r="AL75" s="116" t="s">
        <v>690</v>
      </c>
      <c r="AM75" s="22" t="s">
        <v>516</v>
      </c>
      <c r="BI75" s="1"/>
    </row>
    <row r="76" spans="5:61" x14ac:dyDescent="0.3">
      <c r="E76" s="8"/>
      <c r="AI76" s="21" t="str">
        <f t="shared" si="0"/>
        <v>Internal Engineering Cost.Estimate</v>
      </c>
      <c r="AJ76" s="22" t="s">
        <v>646</v>
      </c>
      <c r="AK76" s="22" t="s">
        <v>342</v>
      </c>
      <c r="AL76" s="116" t="s">
        <v>701</v>
      </c>
      <c r="AM76" s="22" t="s">
        <v>542</v>
      </c>
      <c r="BI76" s="1"/>
    </row>
    <row r="77" spans="5:61" ht="12" thickBot="1" x14ac:dyDescent="0.35">
      <c r="E77" s="8"/>
      <c r="AI77" s="21" t="str">
        <f t="shared" si="0"/>
        <v>Internal Engineering Project.Timeline</v>
      </c>
      <c r="AJ77" s="22" t="s">
        <v>646</v>
      </c>
      <c r="AK77" s="22" t="s">
        <v>342</v>
      </c>
      <c r="AL77" s="117" t="s">
        <v>712</v>
      </c>
      <c r="AM77" s="22" t="s">
        <v>567</v>
      </c>
      <c r="BI77" s="1"/>
    </row>
    <row r="78" spans="5:61" x14ac:dyDescent="0.3">
      <c r="E78" s="8"/>
      <c r="AI78" s="21" t="str">
        <f t="shared" si="0"/>
        <v>Internal Work.Health.Safety Chemicals.Substance.Hazard</v>
      </c>
      <c r="AJ78" s="22" t="s">
        <v>646</v>
      </c>
      <c r="AK78" s="22" t="s">
        <v>654</v>
      </c>
      <c r="AL78" s="115" t="s">
        <v>658</v>
      </c>
      <c r="AM78" s="22" t="s">
        <v>427</v>
      </c>
      <c r="BI78" s="1"/>
    </row>
    <row r="79" spans="5:61" x14ac:dyDescent="0.3">
      <c r="E79" s="8"/>
      <c r="AI79" s="21" t="str">
        <f t="shared" si="0"/>
        <v>Internal Work.Health.Safety Flammable.Substances</v>
      </c>
      <c r="AJ79" s="22" t="s">
        <v>646</v>
      </c>
      <c r="AK79" s="22" t="s">
        <v>654</v>
      </c>
      <c r="AL79" s="116" t="s">
        <v>666</v>
      </c>
      <c r="AM79" s="22" t="s">
        <v>458</v>
      </c>
      <c r="BI79" s="1"/>
    </row>
    <row r="80" spans="5:61" x14ac:dyDescent="0.3">
      <c r="E80" s="8"/>
      <c r="AI80" s="21" t="str">
        <f t="shared" si="0"/>
        <v>Internal Work.Health.Safety Biological.Infectious.Diseases</v>
      </c>
      <c r="AJ80" s="22" t="s">
        <v>646</v>
      </c>
      <c r="AK80" s="22" t="s">
        <v>654</v>
      </c>
      <c r="AL80" s="116" t="s">
        <v>679</v>
      </c>
      <c r="AM80" s="22" t="s">
        <v>488</v>
      </c>
      <c r="BI80" s="1"/>
    </row>
    <row r="81" spans="5:61" x14ac:dyDescent="0.3">
      <c r="E81" s="8"/>
      <c r="AI81" s="21" t="str">
        <f t="shared" si="0"/>
        <v>Internal Work.Health.Safety Physical.Hazards</v>
      </c>
      <c r="AJ81" s="22" t="s">
        <v>646</v>
      </c>
      <c r="AK81" s="22" t="s">
        <v>654</v>
      </c>
      <c r="AL81" s="116" t="s">
        <v>691</v>
      </c>
      <c r="AM81" s="22" t="s">
        <v>517</v>
      </c>
      <c r="BI81" s="1"/>
    </row>
    <row r="82" spans="5:61" x14ac:dyDescent="0.3">
      <c r="E82" s="8"/>
      <c r="AI82" s="21" t="str">
        <f t="shared" si="0"/>
        <v>Internal Work.Health.Safety Manual.Tasks.Hazards</v>
      </c>
      <c r="AJ82" s="22" t="s">
        <v>646</v>
      </c>
      <c r="AK82" s="22" t="s">
        <v>654</v>
      </c>
      <c r="AL82" s="116" t="s">
        <v>702</v>
      </c>
      <c r="AM82" s="22" t="s">
        <v>543</v>
      </c>
      <c r="BI82" s="1"/>
    </row>
    <row r="83" spans="5:61" x14ac:dyDescent="0.3">
      <c r="E83" s="8"/>
      <c r="AI83" s="21" t="str">
        <f t="shared" si="0"/>
        <v>Internal Work.Health.Safety Environmental.Hazards</v>
      </c>
      <c r="AJ83" s="22" t="s">
        <v>646</v>
      </c>
      <c r="AK83" s="22" t="s">
        <v>654</v>
      </c>
      <c r="AL83" s="116" t="s">
        <v>713</v>
      </c>
      <c r="AM83" s="22" t="s">
        <v>568</v>
      </c>
      <c r="BI83" s="1"/>
    </row>
    <row r="84" spans="5:61" ht="12" thickBot="1" x14ac:dyDescent="0.35">
      <c r="AI84" s="21" t="str">
        <f t="shared" si="0"/>
        <v>Internal Work.Health.Safety Psychosocial.Hazards</v>
      </c>
      <c r="AJ84" s="22" t="s">
        <v>646</v>
      </c>
      <c r="AK84" s="22" t="s">
        <v>654</v>
      </c>
      <c r="AL84" s="117" t="s">
        <v>724</v>
      </c>
      <c r="AM84" s="22" t="s">
        <v>592</v>
      </c>
      <c r="BI84" s="1"/>
    </row>
    <row r="85" spans="5:61" x14ac:dyDescent="0.3">
      <c r="AI85" s="21" t="str">
        <f t="shared" si="0"/>
        <v>Internal Organization Company.Culture</v>
      </c>
      <c r="AJ85" s="22" t="s">
        <v>646</v>
      </c>
      <c r="AK85" s="22" t="s">
        <v>415</v>
      </c>
      <c r="AL85" s="115" t="s">
        <v>659</v>
      </c>
      <c r="AM85" s="22" t="s">
        <v>428</v>
      </c>
      <c r="BI85" s="1"/>
    </row>
    <row r="86" spans="5:61" x14ac:dyDescent="0.3">
      <c r="AI86" s="21" t="str">
        <f t="shared" si="0"/>
        <v>Internal Organization Change.Management</v>
      </c>
      <c r="AJ86" s="22" t="s">
        <v>646</v>
      </c>
      <c r="AK86" s="22" t="s">
        <v>415</v>
      </c>
      <c r="AL86" s="116" t="s">
        <v>667</v>
      </c>
      <c r="AM86" s="22" t="s">
        <v>459</v>
      </c>
      <c r="BI86" s="1"/>
    </row>
    <row r="87" spans="5:61" x14ac:dyDescent="0.3">
      <c r="AI87" s="21" t="str">
        <f t="shared" si="0"/>
        <v>Internal Organization Joint.Ventures</v>
      </c>
      <c r="AJ87" s="22" t="s">
        <v>646</v>
      </c>
      <c r="AK87" s="22" t="s">
        <v>415</v>
      </c>
      <c r="AL87" s="116" t="s">
        <v>680</v>
      </c>
      <c r="AM87" s="22" t="s">
        <v>489</v>
      </c>
      <c r="BI87" s="1"/>
    </row>
    <row r="88" spans="5:61" x14ac:dyDescent="0.3">
      <c r="AI88" s="21" t="str">
        <f t="shared" si="0"/>
        <v>Internal Organization Mission.Vision</v>
      </c>
      <c r="AJ88" s="22" t="s">
        <v>646</v>
      </c>
      <c r="AK88" s="22" t="s">
        <v>415</v>
      </c>
      <c r="AL88" s="116" t="s">
        <v>692</v>
      </c>
      <c r="AM88" s="22" t="s">
        <v>756</v>
      </c>
      <c r="BI88" s="1"/>
    </row>
    <row r="89" spans="5:61" x14ac:dyDescent="0.3">
      <c r="AI89" s="21" t="str">
        <f t="shared" si="0"/>
        <v>Internal Organization Coordination.Communication</v>
      </c>
      <c r="AJ89" s="22" t="s">
        <v>646</v>
      </c>
      <c r="AK89" s="22" t="s">
        <v>415</v>
      </c>
      <c r="AL89" s="116" t="s">
        <v>703</v>
      </c>
      <c r="AM89" s="22" t="s">
        <v>757</v>
      </c>
      <c r="BI89" s="1"/>
    </row>
    <row r="90" spans="5:61" x14ac:dyDescent="0.3">
      <c r="AI90" s="21" t="str">
        <f t="shared" si="0"/>
        <v>Internal Organization Leadership.Issues</v>
      </c>
      <c r="AJ90" s="22" t="s">
        <v>646</v>
      </c>
      <c r="AK90" s="22" t="s">
        <v>415</v>
      </c>
      <c r="AL90" s="116" t="s">
        <v>714</v>
      </c>
      <c r="AM90" s="22" t="s">
        <v>758</v>
      </c>
      <c r="BI90" s="1"/>
    </row>
    <row r="91" spans="5:61" x14ac:dyDescent="0.3">
      <c r="AI91" s="21" t="str">
        <f t="shared" si="0"/>
        <v>Internal Organization Resource.Optimization</v>
      </c>
      <c r="AJ91" s="22" t="s">
        <v>646</v>
      </c>
      <c r="AK91" s="22" t="s">
        <v>415</v>
      </c>
      <c r="AL91" s="116" t="s">
        <v>725</v>
      </c>
      <c r="AM91" s="22" t="s">
        <v>759</v>
      </c>
      <c r="BI91" s="1"/>
    </row>
    <row r="92" spans="5:61" x14ac:dyDescent="0.3">
      <c r="AI92" s="21" t="str">
        <f t="shared" si="0"/>
        <v>Internal Organization Program.Services.Collaboration</v>
      </c>
      <c r="AJ92" s="22" t="s">
        <v>646</v>
      </c>
      <c r="AK92" s="22" t="s">
        <v>415</v>
      </c>
      <c r="AL92" s="116" t="s">
        <v>733</v>
      </c>
      <c r="AM92" s="22" t="s">
        <v>760</v>
      </c>
      <c r="BI92" s="1"/>
    </row>
    <row r="93" spans="5:61" ht="12" thickBot="1" x14ac:dyDescent="0.35">
      <c r="AI93" s="21" t="str">
        <f t="shared" si="0"/>
        <v>Internal Organization Business.Continuity</v>
      </c>
      <c r="AJ93" s="22" t="s">
        <v>646</v>
      </c>
      <c r="AK93" s="22" t="s">
        <v>415</v>
      </c>
      <c r="AL93" s="117" t="s">
        <v>740</v>
      </c>
      <c r="AM93" s="22" t="s">
        <v>761</v>
      </c>
      <c r="BI93" s="1"/>
    </row>
    <row r="94" spans="5:61" x14ac:dyDescent="0.3">
      <c r="AI94" s="21" t="str">
        <f t="shared" si="0"/>
        <v>Internal Strategy Project.Concept.Strategy</v>
      </c>
      <c r="AJ94" s="22" t="s">
        <v>646</v>
      </c>
      <c r="AK94" s="22" t="s">
        <v>416</v>
      </c>
      <c r="AL94" s="115" t="s">
        <v>660</v>
      </c>
      <c r="AM94" s="22" t="s">
        <v>429</v>
      </c>
      <c r="BI94" s="1"/>
    </row>
    <row r="95" spans="5:61" x14ac:dyDescent="0.3">
      <c r="AI95" s="21" t="str">
        <f t="shared" si="0"/>
        <v>Internal Strategy Initial.Systems.Design</v>
      </c>
      <c r="AJ95" s="22" t="s">
        <v>646</v>
      </c>
      <c r="AK95" s="22" t="s">
        <v>416</v>
      </c>
      <c r="AL95" s="116" t="s">
        <v>668</v>
      </c>
      <c r="AM95" s="22" t="s">
        <v>460</v>
      </c>
      <c r="BI95" s="1"/>
    </row>
    <row r="96" spans="5:61" x14ac:dyDescent="0.3">
      <c r="AI96" s="21" t="str">
        <f t="shared" si="0"/>
        <v>Internal Strategy Initial.Scope.Budget.Time</v>
      </c>
      <c r="AJ96" s="22" t="s">
        <v>646</v>
      </c>
      <c r="AK96" s="22" t="s">
        <v>416</v>
      </c>
      <c r="AL96" s="116" t="s">
        <v>681</v>
      </c>
      <c r="AM96" s="22" t="s">
        <v>490</v>
      </c>
      <c r="BI96" s="1"/>
    </row>
    <row r="97" spans="35:61" x14ac:dyDescent="0.3">
      <c r="AI97" s="21" t="str">
        <f t="shared" si="0"/>
        <v>Internal Strategy Project.Pre_Charter.Review</v>
      </c>
      <c r="AJ97" s="22" t="s">
        <v>646</v>
      </c>
      <c r="AK97" s="22" t="s">
        <v>416</v>
      </c>
      <c r="AL97" s="116" t="s">
        <v>693</v>
      </c>
      <c r="AM97" s="22" t="s">
        <v>518</v>
      </c>
      <c r="BI97" s="1"/>
    </row>
    <row r="98" spans="35:61" x14ac:dyDescent="0.3">
      <c r="AI98" s="21" t="str">
        <f t="shared" si="0"/>
        <v>Internal Strategy Feasibility.Studies.Options</v>
      </c>
      <c r="AJ98" s="22" t="s">
        <v>646</v>
      </c>
      <c r="AK98" s="22" t="s">
        <v>416</v>
      </c>
      <c r="AL98" s="116" t="s">
        <v>704</v>
      </c>
      <c r="AM98" s="22" t="s">
        <v>544</v>
      </c>
      <c r="BI98" s="1"/>
    </row>
    <row r="99" spans="35:61" ht="12" thickBot="1" x14ac:dyDescent="0.35">
      <c r="AI99" s="21" t="str">
        <f t="shared" si="0"/>
        <v>Internal Strategy Contingency.Provisioning</v>
      </c>
      <c r="AJ99" s="22" t="s">
        <v>646</v>
      </c>
      <c r="AK99" s="22" t="s">
        <v>416</v>
      </c>
      <c r="AL99" s="117" t="s">
        <v>715</v>
      </c>
      <c r="AM99" s="22" t="s">
        <v>569</v>
      </c>
      <c r="BI99" s="1"/>
    </row>
    <row r="100" spans="35:61" x14ac:dyDescent="0.3">
      <c r="AI100" s="21" t="str">
        <f t="shared" si="0"/>
        <v>Internal PQM Scope.Cost.Time</v>
      </c>
      <c r="AJ100" s="22" t="s">
        <v>646</v>
      </c>
      <c r="AK100" s="22" t="s">
        <v>346</v>
      </c>
      <c r="AL100" s="115" t="s">
        <v>661</v>
      </c>
      <c r="AM100" s="22" t="s">
        <v>430</v>
      </c>
      <c r="BI100" s="1"/>
    </row>
    <row r="101" spans="35:61" x14ac:dyDescent="0.3">
      <c r="AI101" s="21" t="str">
        <f>AJ101&amp;" "&amp;AK101&amp;" "&amp;AL101</f>
        <v>Internal PQM Project.Acceptance</v>
      </c>
      <c r="AJ101" s="22" t="s">
        <v>646</v>
      </c>
      <c r="AK101" s="22" t="s">
        <v>346</v>
      </c>
      <c r="AL101" s="116" t="s">
        <v>669</v>
      </c>
      <c r="AM101" s="22" t="s">
        <v>461</v>
      </c>
      <c r="BI101" s="1"/>
    </row>
    <row r="102" spans="35:61" x14ac:dyDescent="0.3">
      <c r="AI102" s="21" t="str">
        <f t="shared" si="0"/>
        <v>Internal PQM Equipment.Quality.Issues</v>
      </c>
      <c r="AJ102" s="22" t="s">
        <v>646</v>
      </c>
      <c r="AK102" s="22" t="s">
        <v>346</v>
      </c>
      <c r="AL102" s="116" t="s">
        <v>682</v>
      </c>
      <c r="AM102" s="22" t="s">
        <v>491</v>
      </c>
      <c r="BI102" s="1"/>
    </row>
    <row r="103" spans="35:61" x14ac:dyDescent="0.3">
      <c r="AI103" s="21" t="str">
        <f t="shared" si="0"/>
        <v>Internal PQM Process.Quality.Issues</v>
      </c>
      <c r="AJ103" s="22" t="s">
        <v>646</v>
      </c>
      <c r="AK103" s="22" t="s">
        <v>346</v>
      </c>
      <c r="AL103" s="116" t="s">
        <v>694</v>
      </c>
      <c r="AM103" s="22" t="s">
        <v>519</v>
      </c>
      <c r="BI103" s="1"/>
    </row>
    <row r="104" spans="35:61" x14ac:dyDescent="0.3">
      <c r="AI104" s="21" t="str">
        <f t="shared" si="0"/>
        <v>Internal PQM Project.Change.Management</v>
      </c>
      <c r="AJ104" s="22" t="s">
        <v>646</v>
      </c>
      <c r="AK104" s="22" t="s">
        <v>346</v>
      </c>
      <c r="AL104" s="116" t="s">
        <v>705</v>
      </c>
      <c r="AM104" s="22" t="s">
        <v>545</v>
      </c>
      <c r="BI104" s="1"/>
    </row>
    <row r="105" spans="35:61" x14ac:dyDescent="0.3">
      <c r="AI105" s="21" t="str">
        <f t="shared" si="0"/>
        <v>Internal PQM Communication</v>
      </c>
      <c r="AJ105" s="22" t="s">
        <v>646</v>
      </c>
      <c r="AK105" s="22" t="s">
        <v>346</v>
      </c>
      <c r="AL105" s="116" t="s">
        <v>582</v>
      </c>
      <c r="AM105" s="22" t="s">
        <v>570</v>
      </c>
      <c r="BI105" s="1"/>
    </row>
    <row r="106" spans="35:61" ht="12" thickBot="1" x14ac:dyDescent="0.35">
      <c r="AI106" s="21" t="str">
        <f t="shared" si="0"/>
        <v>Internal PQM Project.Execution.Issues</v>
      </c>
      <c r="AJ106" s="22" t="s">
        <v>646</v>
      </c>
      <c r="AK106" s="22" t="s">
        <v>346</v>
      </c>
      <c r="AL106" s="117" t="s">
        <v>726</v>
      </c>
      <c r="AM106" s="22" t="s">
        <v>593</v>
      </c>
      <c r="BI106" s="1"/>
    </row>
    <row r="107" spans="35:61" x14ac:dyDescent="0.3">
      <c r="AI107" s="21" t="str">
        <f t="shared" si="0"/>
        <v>External Political Government.Stability</v>
      </c>
      <c r="AJ107" s="22" t="s">
        <v>647</v>
      </c>
      <c r="AK107" s="22" t="s">
        <v>345</v>
      </c>
      <c r="AL107" s="119" t="s">
        <v>662</v>
      </c>
      <c r="AM107" s="22" t="s">
        <v>431</v>
      </c>
      <c r="BI107" s="1"/>
    </row>
    <row r="108" spans="35:61" x14ac:dyDescent="0.3">
      <c r="AI108" s="21" t="str">
        <f t="shared" si="0"/>
        <v>External Political Employment.Operational.Laws</v>
      </c>
      <c r="AJ108" s="22" t="s">
        <v>647</v>
      </c>
      <c r="AK108" s="22" t="s">
        <v>345</v>
      </c>
      <c r="AL108" s="116" t="s">
        <v>670</v>
      </c>
      <c r="AM108" s="22" t="s">
        <v>462</v>
      </c>
      <c r="BI108" s="1"/>
    </row>
    <row r="109" spans="35:61" x14ac:dyDescent="0.3">
      <c r="AI109" s="21" t="str">
        <f t="shared" si="0"/>
        <v>External Political Government.Leadership</v>
      </c>
      <c r="AJ109" s="22" t="s">
        <v>647</v>
      </c>
      <c r="AK109" s="22" t="s">
        <v>345</v>
      </c>
      <c r="AL109" s="116" t="s">
        <v>683</v>
      </c>
      <c r="AM109" s="22" t="s">
        <v>492</v>
      </c>
      <c r="BI109" s="1"/>
    </row>
    <row r="110" spans="35:61" x14ac:dyDescent="0.3">
      <c r="AI110" s="21" t="str">
        <f t="shared" si="0"/>
        <v>External Political Trade.Restrictions.Reform</v>
      </c>
      <c r="AJ110" s="22" t="s">
        <v>647</v>
      </c>
      <c r="AK110" s="22" t="s">
        <v>345</v>
      </c>
      <c r="AL110" s="116" t="s">
        <v>695</v>
      </c>
      <c r="AM110" s="22" t="s">
        <v>520</v>
      </c>
      <c r="BI110" s="1"/>
    </row>
    <row r="111" spans="35:61" x14ac:dyDescent="0.3">
      <c r="AI111" s="21" t="str">
        <f t="shared" ref="AI111:AI145" si="1">AJ111&amp;" "&amp;AK111&amp;" "&amp;AL111</f>
        <v>External Political Tax.Regulations</v>
      </c>
      <c r="AJ111" s="22" t="s">
        <v>647</v>
      </c>
      <c r="AK111" s="22" t="s">
        <v>345</v>
      </c>
      <c r="AL111" s="116" t="s">
        <v>706</v>
      </c>
      <c r="AM111" s="22" t="s">
        <v>546</v>
      </c>
      <c r="BI111" s="1"/>
    </row>
    <row r="112" spans="35:61" x14ac:dyDescent="0.3">
      <c r="AI112" s="21" t="str">
        <f t="shared" si="1"/>
        <v>External Political Corruption.Levels</v>
      </c>
      <c r="AJ112" s="22" t="s">
        <v>647</v>
      </c>
      <c r="AK112" s="22" t="s">
        <v>345</v>
      </c>
      <c r="AL112" s="116" t="s">
        <v>716</v>
      </c>
      <c r="AM112" s="22" t="s">
        <v>571</v>
      </c>
      <c r="BI112" s="1"/>
    </row>
    <row r="113" spans="35:61" x14ac:dyDescent="0.3">
      <c r="AI113" s="21" t="str">
        <f t="shared" si="1"/>
        <v>External Political Bureaucracy.Issues</v>
      </c>
      <c r="AJ113" s="22" t="s">
        <v>647</v>
      </c>
      <c r="AK113" s="22" t="s">
        <v>345</v>
      </c>
      <c r="AL113" s="116" t="s">
        <v>727</v>
      </c>
      <c r="AM113" s="22" t="s">
        <v>594</v>
      </c>
      <c r="BI113" s="1"/>
    </row>
    <row r="114" spans="35:61" ht="12" thickBot="1" x14ac:dyDescent="0.35">
      <c r="AI114" s="21" t="str">
        <f t="shared" si="1"/>
        <v>External Political Stability.Neighbors</v>
      </c>
      <c r="AJ114" s="22" t="s">
        <v>647</v>
      </c>
      <c r="AK114" s="22" t="s">
        <v>345</v>
      </c>
      <c r="AL114" s="117" t="s">
        <v>734</v>
      </c>
      <c r="AM114" s="22" t="s">
        <v>612</v>
      </c>
      <c r="BI114" s="1"/>
    </row>
    <row r="115" spans="35:61" x14ac:dyDescent="0.3">
      <c r="AI115" s="21" t="str">
        <f t="shared" si="1"/>
        <v>External Economic Inflation</v>
      </c>
      <c r="AJ115" s="22" t="s">
        <v>647</v>
      </c>
      <c r="AK115" s="22" t="s">
        <v>417</v>
      </c>
      <c r="AL115" s="115" t="s">
        <v>447</v>
      </c>
      <c r="AM115" s="22" t="s">
        <v>432</v>
      </c>
      <c r="BI115" s="1"/>
    </row>
    <row r="116" spans="35:61" x14ac:dyDescent="0.3">
      <c r="AI116" s="21" t="str">
        <f t="shared" si="1"/>
        <v>External Economic Taxes.Duties</v>
      </c>
      <c r="AJ116" s="22" t="s">
        <v>647</v>
      </c>
      <c r="AK116" s="22" t="s">
        <v>417</v>
      </c>
      <c r="AL116" s="116" t="s">
        <v>671</v>
      </c>
      <c r="AM116" s="22" t="s">
        <v>463</v>
      </c>
      <c r="BI116" s="1"/>
    </row>
    <row r="117" spans="35:61" x14ac:dyDescent="0.3">
      <c r="AI117" s="21" t="str">
        <f t="shared" si="1"/>
        <v>External Economic Finance.Credit</v>
      </c>
      <c r="AJ117" s="22" t="s">
        <v>647</v>
      </c>
      <c r="AK117" s="22" t="s">
        <v>417</v>
      </c>
      <c r="AL117" s="116" t="s">
        <v>684</v>
      </c>
      <c r="AM117" s="22" t="s">
        <v>493</v>
      </c>
      <c r="BI117" s="1"/>
    </row>
    <row r="118" spans="35:61" x14ac:dyDescent="0.3">
      <c r="AI118" s="21" t="str">
        <f t="shared" si="1"/>
        <v>External Economic Working.Practices</v>
      </c>
      <c r="AJ118" s="22" t="s">
        <v>647</v>
      </c>
      <c r="AK118" s="22" t="s">
        <v>417</v>
      </c>
      <c r="AL118" s="116" t="s">
        <v>696</v>
      </c>
      <c r="AM118" s="22" t="s">
        <v>521</v>
      </c>
      <c r="BI118" s="1"/>
    </row>
    <row r="119" spans="35:61" x14ac:dyDescent="0.3">
      <c r="AI119" s="21" t="str">
        <f t="shared" si="1"/>
        <v>External Economic Exchange.Rates</v>
      </c>
      <c r="AJ119" s="22" t="s">
        <v>647</v>
      </c>
      <c r="AK119" s="22" t="s">
        <v>417</v>
      </c>
      <c r="AL119" s="116" t="s">
        <v>707</v>
      </c>
      <c r="AM119" s="22" t="s">
        <v>547</v>
      </c>
      <c r="BI119" s="1"/>
    </row>
    <row r="120" spans="35:61" x14ac:dyDescent="0.3">
      <c r="AI120" s="21" t="str">
        <f t="shared" si="1"/>
        <v>External Economic Cost.Living</v>
      </c>
      <c r="AJ120" s="22" t="s">
        <v>647</v>
      </c>
      <c r="AK120" s="22" t="s">
        <v>417</v>
      </c>
      <c r="AL120" s="116" t="s">
        <v>717</v>
      </c>
      <c r="AM120" s="22" t="s">
        <v>572</v>
      </c>
      <c r="BI120" s="1"/>
    </row>
    <row r="121" spans="35:61" x14ac:dyDescent="0.3">
      <c r="AI121" s="21" t="str">
        <f t="shared" si="1"/>
        <v>External Economic GDP.GNP</v>
      </c>
      <c r="AJ121" s="22" t="s">
        <v>647</v>
      </c>
      <c r="AK121" s="22" t="s">
        <v>417</v>
      </c>
      <c r="AL121" s="116" t="s">
        <v>728</v>
      </c>
      <c r="AM121" s="22" t="s">
        <v>595</v>
      </c>
      <c r="BI121" s="1"/>
    </row>
    <row r="122" spans="35:61" ht="12" thickBot="1" x14ac:dyDescent="0.35">
      <c r="AI122" s="21" t="str">
        <f t="shared" si="1"/>
        <v>External Economic Globalization</v>
      </c>
      <c r="AJ122" s="22" t="s">
        <v>647</v>
      </c>
      <c r="AK122" s="22" t="s">
        <v>417</v>
      </c>
      <c r="AL122" s="117" t="s">
        <v>622</v>
      </c>
      <c r="AM122" s="22" t="s">
        <v>613</v>
      </c>
      <c r="BI122" s="1"/>
    </row>
    <row r="123" spans="35:61" x14ac:dyDescent="0.3">
      <c r="AI123" s="21" t="str">
        <f t="shared" si="1"/>
        <v>External Social Lifestyle</v>
      </c>
      <c r="AJ123" s="22" t="s">
        <v>647</v>
      </c>
      <c r="AK123" s="22" t="s">
        <v>418</v>
      </c>
      <c r="AL123" s="115" t="s">
        <v>448</v>
      </c>
      <c r="AM123" s="22" t="s">
        <v>433</v>
      </c>
      <c r="BI123" s="1"/>
    </row>
    <row r="124" spans="35:61" x14ac:dyDescent="0.3">
      <c r="AI124" s="21" t="str">
        <f t="shared" si="1"/>
        <v>External Social Attitude.Beliefs</v>
      </c>
      <c r="AJ124" s="22" t="s">
        <v>647</v>
      </c>
      <c r="AK124" s="22" t="s">
        <v>418</v>
      </c>
      <c r="AL124" s="116" t="s">
        <v>672</v>
      </c>
      <c r="AM124" s="22" t="s">
        <v>464</v>
      </c>
      <c r="BI124" s="1"/>
    </row>
    <row r="125" spans="35:61" x14ac:dyDescent="0.3">
      <c r="AI125" s="21" t="str">
        <f t="shared" si="1"/>
        <v>External Social Social.Mobility</v>
      </c>
      <c r="AJ125" s="22" t="s">
        <v>647</v>
      </c>
      <c r="AK125" s="22" t="s">
        <v>418</v>
      </c>
      <c r="AL125" s="116" t="s">
        <v>685</v>
      </c>
      <c r="AM125" s="22" t="s">
        <v>494</v>
      </c>
      <c r="BI125" s="1"/>
    </row>
    <row r="126" spans="35:61" x14ac:dyDescent="0.3">
      <c r="AI126" s="21" t="str">
        <f t="shared" si="1"/>
        <v>External Social Education</v>
      </c>
      <c r="AJ126" s="22" t="s">
        <v>647</v>
      </c>
      <c r="AK126" s="22" t="s">
        <v>418</v>
      </c>
      <c r="AL126" s="116" t="s">
        <v>536</v>
      </c>
      <c r="AM126" s="22" t="s">
        <v>522</v>
      </c>
      <c r="BI126" s="1"/>
    </row>
    <row r="127" spans="35:61" x14ac:dyDescent="0.3">
      <c r="AI127" s="21" t="str">
        <f t="shared" si="1"/>
        <v>External Social Demographics</v>
      </c>
      <c r="AJ127" s="22" t="s">
        <v>647</v>
      </c>
      <c r="AK127" s="22" t="s">
        <v>418</v>
      </c>
      <c r="AL127" s="116" t="s">
        <v>561</v>
      </c>
      <c r="AM127" s="22" t="s">
        <v>548</v>
      </c>
      <c r="BI127" s="1"/>
    </row>
    <row r="128" spans="35:61" x14ac:dyDescent="0.3">
      <c r="AI128" s="21" t="str">
        <f t="shared" si="1"/>
        <v>External Social Ethics.Religion</v>
      </c>
      <c r="AJ128" s="22" t="s">
        <v>647</v>
      </c>
      <c r="AK128" s="22" t="s">
        <v>418</v>
      </c>
      <c r="AL128" s="116" t="s">
        <v>718</v>
      </c>
      <c r="AM128" s="22" t="s">
        <v>573</v>
      </c>
      <c r="BI128" s="1"/>
    </row>
    <row r="129" spans="35:61" x14ac:dyDescent="0.3">
      <c r="AI129" s="21" t="str">
        <f t="shared" si="1"/>
        <v>External Social Historical.Issues</v>
      </c>
      <c r="AJ129" s="22" t="s">
        <v>647</v>
      </c>
      <c r="AK129" s="22" t="s">
        <v>418</v>
      </c>
      <c r="AL129" s="116" t="s">
        <v>729</v>
      </c>
      <c r="AM129" s="22" t="s">
        <v>596</v>
      </c>
      <c r="BI129" s="1"/>
    </row>
    <row r="130" spans="35:61" ht="12" thickBot="1" x14ac:dyDescent="0.35">
      <c r="AI130" s="21" t="str">
        <f t="shared" si="1"/>
        <v>External Social Cross_Cultural.Communication</v>
      </c>
      <c r="AJ130" s="22" t="s">
        <v>647</v>
      </c>
      <c r="AK130" s="22" t="s">
        <v>418</v>
      </c>
      <c r="AL130" s="117" t="s">
        <v>735</v>
      </c>
      <c r="AM130" s="22" t="s">
        <v>614</v>
      </c>
      <c r="BI130" s="1"/>
    </row>
    <row r="131" spans="35:61" x14ac:dyDescent="0.3">
      <c r="AI131" s="21" t="str">
        <f t="shared" si="1"/>
        <v>External Technology Rate.of.Change</v>
      </c>
      <c r="AJ131" s="22" t="s">
        <v>647</v>
      </c>
      <c r="AK131" s="22" t="s">
        <v>419</v>
      </c>
      <c r="AL131" s="115" t="s">
        <v>663</v>
      </c>
      <c r="AM131" s="22" t="s">
        <v>434</v>
      </c>
      <c r="BI131" s="1"/>
    </row>
    <row r="132" spans="35:61" x14ac:dyDescent="0.3">
      <c r="AI132" s="21" t="str">
        <f t="shared" si="1"/>
        <v>External Technology Use.of.Outsourcing</v>
      </c>
      <c r="AJ132" s="22" t="s">
        <v>647</v>
      </c>
      <c r="AK132" s="22" t="s">
        <v>419</v>
      </c>
      <c r="AL132" s="116" t="s">
        <v>673</v>
      </c>
      <c r="AM132" s="22" t="s">
        <v>465</v>
      </c>
      <c r="BI132" s="1"/>
    </row>
    <row r="133" spans="35:61" x14ac:dyDescent="0.3">
      <c r="AI133" s="21" t="str">
        <f t="shared" si="1"/>
        <v>External Technology Research.Development</v>
      </c>
      <c r="AJ133" s="22" t="s">
        <v>647</v>
      </c>
      <c r="AK133" s="22" t="s">
        <v>419</v>
      </c>
      <c r="AL133" s="116" t="s">
        <v>686</v>
      </c>
      <c r="AM133" s="22" t="s">
        <v>495</v>
      </c>
      <c r="BI133" s="1"/>
    </row>
    <row r="134" spans="35:61" x14ac:dyDescent="0.3">
      <c r="AI134" s="21" t="str">
        <f t="shared" si="1"/>
        <v>External Technology Knowledge.Management.System</v>
      </c>
      <c r="AJ134" s="22" t="s">
        <v>647</v>
      </c>
      <c r="AK134" s="22" t="s">
        <v>419</v>
      </c>
      <c r="AL134" s="116" t="s">
        <v>697</v>
      </c>
      <c r="AM134" s="22" t="s">
        <v>523</v>
      </c>
      <c r="BI134" s="1"/>
    </row>
    <row r="135" spans="35:61" x14ac:dyDescent="0.3">
      <c r="AI135" s="21" t="str">
        <f t="shared" si="1"/>
        <v>External Technology Eliminate.Bottlenecks</v>
      </c>
      <c r="AJ135" s="22" t="s">
        <v>647</v>
      </c>
      <c r="AK135" s="22" t="s">
        <v>419</v>
      </c>
      <c r="AL135" s="116" t="s">
        <v>708</v>
      </c>
      <c r="AM135" s="22" t="s">
        <v>549</v>
      </c>
      <c r="BI135" s="1"/>
    </row>
    <row r="136" spans="35:61" x14ac:dyDescent="0.3">
      <c r="AI136" s="21" t="str">
        <f t="shared" si="1"/>
        <v>External Technology Network.Coverage</v>
      </c>
      <c r="AJ136" s="22" t="s">
        <v>647</v>
      </c>
      <c r="AK136" s="22" t="s">
        <v>419</v>
      </c>
      <c r="AL136" s="116" t="s">
        <v>719</v>
      </c>
      <c r="AM136" s="22" t="s">
        <v>574</v>
      </c>
      <c r="BI136" s="1"/>
    </row>
    <row r="137" spans="35:61" x14ac:dyDescent="0.3">
      <c r="AI137" s="21" t="str">
        <f t="shared" si="1"/>
        <v>External Technology Production.Efficiency</v>
      </c>
      <c r="AJ137" s="22" t="s">
        <v>647</v>
      </c>
      <c r="AK137" s="22" t="s">
        <v>419</v>
      </c>
      <c r="AL137" s="116" t="s">
        <v>730</v>
      </c>
      <c r="AM137" s="22" t="s">
        <v>597</v>
      </c>
      <c r="BI137" s="1"/>
    </row>
    <row r="138" spans="35:61" x14ac:dyDescent="0.3">
      <c r="AI138" s="21" t="str">
        <f t="shared" si="1"/>
        <v>External Technology Quality.Pricing</v>
      </c>
      <c r="AJ138" s="22" t="s">
        <v>647</v>
      </c>
      <c r="AK138" s="22" t="s">
        <v>419</v>
      </c>
      <c r="AL138" s="116" t="s">
        <v>736</v>
      </c>
      <c r="AM138" s="22" t="s">
        <v>615</v>
      </c>
      <c r="BI138" s="1"/>
    </row>
    <row r="139" spans="35:61" x14ac:dyDescent="0.3">
      <c r="AI139" s="21" t="str">
        <f t="shared" si="1"/>
        <v>External Technology Intellectual.Property</v>
      </c>
      <c r="AJ139" s="22" t="s">
        <v>647</v>
      </c>
      <c r="AK139" s="22" t="s">
        <v>419</v>
      </c>
      <c r="AL139" s="116" t="s">
        <v>741</v>
      </c>
      <c r="AM139" s="22" t="s">
        <v>629</v>
      </c>
      <c r="BI139" s="1"/>
    </row>
    <row r="140" spans="35:61" x14ac:dyDescent="0.3">
      <c r="AI140" s="21" t="str">
        <f t="shared" si="1"/>
        <v>External Technology Patents.Licenses</v>
      </c>
      <c r="AJ140" s="22" t="s">
        <v>647</v>
      </c>
      <c r="AK140" s="22" t="s">
        <v>419</v>
      </c>
      <c r="AL140" s="116" t="s">
        <v>744</v>
      </c>
      <c r="AM140" s="22" t="s">
        <v>637</v>
      </c>
      <c r="BI140" s="1"/>
    </row>
    <row r="141" spans="35:61" ht="12" thickBot="1" x14ac:dyDescent="0.35">
      <c r="AI141" s="21" t="str">
        <f t="shared" si="1"/>
        <v>External Technology Government.Activity.Legislation</v>
      </c>
      <c r="AJ141" s="22" t="s">
        <v>647</v>
      </c>
      <c r="AK141" s="22" t="s">
        <v>419</v>
      </c>
      <c r="AL141" s="117" t="s">
        <v>746</v>
      </c>
      <c r="AM141" s="22" t="s">
        <v>643</v>
      </c>
      <c r="BI141" s="1"/>
    </row>
    <row r="142" spans="35:61" x14ac:dyDescent="0.3">
      <c r="AI142" s="21" t="str">
        <f t="shared" si="1"/>
        <v>External Legal Taxation</v>
      </c>
      <c r="AJ142" s="22" t="s">
        <v>647</v>
      </c>
      <c r="AK142" s="22" t="s">
        <v>420</v>
      </c>
      <c r="AL142" s="115" t="s">
        <v>450</v>
      </c>
      <c r="AM142" s="22" t="s">
        <v>435</v>
      </c>
      <c r="BI142" s="1"/>
    </row>
    <row r="143" spans="35:61" x14ac:dyDescent="0.3">
      <c r="AI143" s="21" t="str">
        <f t="shared" si="1"/>
        <v>External Legal Employment</v>
      </c>
      <c r="AJ143" s="22" t="s">
        <v>647</v>
      </c>
      <c r="AK143" s="22" t="s">
        <v>420</v>
      </c>
      <c r="AL143" s="116" t="s">
        <v>481</v>
      </c>
      <c r="AM143" s="22" t="s">
        <v>466</v>
      </c>
      <c r="BI143" s="1"/>
    </row>
    <row r="144" spans="35:61" x14ac:dyDescent="0.3">
      <c r="AI144" s="21" t="str">
        <f t="shared" si="1"/>
        <v>External Legal Consumer</v>
      </c>
      <c r="AJ144" s="22" t="s">
        <v>647</v>
      </c>
      <c r="AK144" s="22" t="s">
        <v>420</v>
      </c>
      <c r="AL144" s="116" t="s">
        <v>511</v>
      </c>
      <c r="AM144" s="22" t="s">
        <v>496</v>
      </c>
      <c r="BI144" s="1"/>
    </row>
    <row r="145" spans="35:75" x14ac:dyDescent="0.3">
      <c r="AI145" s="21" t="str">
        <f t="shared" si="1"/>
        <v>External Legal Advertising</v>
      </c>
      <c r="AJ145" s="22" t="s">
        <v>647</v>
      </c>
      <c r="AK145" s="22" t="s">
        <v>420</v>
      </c>
      <c r="AL145" s="116" t="s">
        <v>538</v>
      </c>
      <c r="AM145" s="22" t="s">
        <v>524</v>
      </c>
      <c r="BI145" s="1"/>
    </row>
    <row r="146" spans="35:75" x14ac:dyDescent="0.3">
      <c r="AI146" s="21" t="str">
        <f t="shared" ref="AI146:AI158" si="2">AJ146&amp;" "&amp;AK146&amp;" "&amp;AL146</f>
        <v>External Legal Import.Export</v>
      </c>
      <c r="AJ146" s="22" t="s">
        <v>647</v>
      </c>
      <c r="AK146" s="22" t="s">
        <v>420</v>
      </c>
      <c r="AL146" s="116" t="s">
        <v>709</v>
      </c>
      <c r="AM146" s="22" t="s">
        <v>550</v>
      </c>
      <c r="BI146" s="1"/>
    </row>
    <row r="147" spans="35:75" x14ac:dyDescent="0.3">
      <c r="AI147" s="21" t="str">
        <f t="shared" si="2"/>
        <v>External Legal Occupational.Health.Safety</v>
      </c>
      <c r="AJ147" s="22" t="s">
        <v>647</v>
      </c>
      <c r="AK147" s="22" t="s">
        <v>420</v>
      </c>
      <c r="AL147" s="116" t="s">
        <v>720</v>
      </c>
      <c r="AM147" s="22" t="s">
        <v>575</v>
      </c>
      <c r="BI147" s="1"/>
    </row>
    <row r="148" spans="35:75" x14ac:dyDescent="0.3">
      <c r="AI148" s="21" t="str">
        <f t="shared" si="2"/>
        <v>External Legal Workplace.Compliance</v>
      </c>
      <c r="AJ148" s="22" t="s">
        <v>647</v>
      </c>
      <c r="AK148" s="22" t="s">
        <v>420</v>
      </c>
      <c r="AL148" s="116" t="s">
        <v>731</v>
      </c>
      <c r="AM148" s="22" t="s">
        <v>598</v>
      </c>
      <c r="BI148" s="1"/>
    </row>
    <row r="149" spans="35:75" ht="12" thickBot="1" x14ac:dyDescent="0.35">
      <c r="AI149" s="21" t="str">
        <f t="shared" si="2"/>
        <v>External Legal Regulatory.Bodies</v>
      </c>
      <c r="AJ149" s="22" t="s">
        <v>647</v>
      </c>
      <c r="AK149" s="22" t="s">
        <v>420</v>
      </c>
      <c r="AL149" s="117" t="s">
        <v>737</v>
      </c>
      <c r="AM149" s="22" t="s">
        <v>616</v>
      </c>
      <c r="BI149" s="1"/>
    </row>
    <row r="150" spans="35:75" x14ac:dyDescent="0.3">
      <c r="AI150" s="21" t="str">
        <f t="shared" si="2"/>
        <v>External Environmental Infrastructure</v>
      </c>
      <c r="AJ150" s="22" t="s">
        <v>647</v>
      </c>
      <c r="AK150" s="120" t="s">
        <v>343</v>
      </c>
      <c r="AL150" s="115" t="s">
        <v>451</v>
      </c>
      <c r="AM150" s="121" t="s">
        <v>436</v>
      </c>
      <c r="BI150" s="1"/>
    </row>
    <row r="151" spans="35:75" x14ac:dyDescent="0.3">
      <c r="AI151" s="21" t="str">
        <f t="shared" si="2"/>
        <v>External Environmental Cyclical.Weather</v>
      </c>
      <c r="AJ151" s="22" t="s">
        <v>647</v>
      </c>
      <c r="AK151" s="120" t="s">
        <v>343</v>
      </c>
      <c r="AL151" s="116" t="s">
        <v>674</v>
      </c>
      <c r="AM151" s="121" t="s">
        <v>467</v>
      </c>
      <c r="BI151" s="1"/>
    </row>
    <row r="152" spans="35:75" x14ac:dyDescent="0.3">
      <c r="AI152" s="21" t="str">
        <f t="shared" si="2"/>
        <v>External Environmental Energy.Availability.Cost</v>
      </c>
      <c r="AJ152" s="22" t="s">
        <v>647</v>
      </c>
      <c r="AK152" s="120" t="s">
        <v>343</v>
      </c>
      <c r="AL152" s="116" t="s">
        <v>687</v>
      </c>
      <c r="AM152" s="121" t="s">
        <v>497</v>
      </c>
      <c r="BI152" s="1"/>
    </row>
    <row r="153" spans="35:75" x14ac:dyDescent="0.3">
      <c r="AI153" s="21" t="str">
        <f t="shared" si="2"/>
        <v>External Environmental Social.Implications</v>
      </c>
      <c r="AJ153" s="22" t="s">
        <v>647</v>
      </c>
      <c r="AK153" s="120" t="s">
        <v>343</v>
      </c>
      <c r="AL153" s="116" t="s">
        <v>698</v>
      </c>
      <c r="AM153" s="121" t="s">
        <v>525</v>
      </c>
      <c r="BI153" s="1"/>
    </row>
    <row r="154" spans="35:75" x14ac:dyDescent="0.3">
      <c r="AI154" s="21" t="str">
        <f t="shared" si="2"/>
        <v>External Environmental Disposal.Materials</v>
      </c>
      <c r="AJ154" s="22" t="s">
        <v>647</v>
      </c>
      <c r="AK154" s="120" t="s">
        <v>343</v>
      </c>
      <c r="AL154" s="116" t="s">
        <v>710</v>
      </c>
      <c r="AM154" s="121" t="s">
        <v>551</v>
      </c>
      <c r="BI154" s="1"/>
    </row>
    <row r="155" spans="35:75" ht="12" x14ac:dyDescent="0.3">
      <c r="AI155" s="21" t="str">
        <f t="shared" si="2"/>
        <v>External Environmental Ecological.Consequences</v>
      </c>
      <c r="AJ155" s="22" t="s">
        <v>647</v>
      </c>
      <c r="AK155" s="120" t="s">
        <v>343</v>
      </c>
      <c r="AL155" s="116" t="s">
        <v>721</v>
      </c>
      <c r="AM155" s="121" t="s">
        <v>576</v>
      </c>
      <c r="BI155" s="410" t="s">
        <v>646</v>
      </c>
      <c r="BJ155" s="410"/>
      <c r="BK155" s="410"/>
      <c r="BL155" s="410"/>
      <c r="BM155" s="410"/>
      <c r="BN155" s="410"/>
      <c r="BO155" s="410"/>
      <c r="BP155" s="410"/>
      <c r="BQ155" s="410"/>
      <c r="BR155" s="411" t="s">
        <v>647</v>
      </c>
      <c r="BS155" s="411"/>
      <c r="BT155" s="411"/>
      <c r="BU155" s="411"/>
      <c r="BV155" s="411"/>
      <c r="BW155" s="411"/>
    </row>
    <row r="156" spans="35:75" ht="12" x14ac:dyDescent="0.3">
      <c r="AI156" s="21" t="str">
        <f t="shared" si="2"/>
        <v>External Environmental Legislation</v>
      </c>
      <c r="AJ156" s="22" t="s">
        <v>647</v>
      </c>
      <c r="AK156" s="120" t="s">
        <v>343</v>
      </c>
      <c r="AL156" s="116" t="s">
        <v>609</v>
      </c>
      <c r="AM156" s="121" t="s">
        <v>599</v>
      </c>
      <c r="BI156" s="105" t="s">
        <v>412</v>
      </c>
      <c r="BJ156" s="105" t="s">
        <v>344</v>
      </c>
      <c r="BK156" s="105" t="s">
        <v>653</v>
      </c>
      <c r="BL156" s="105" t="s">
        <v>347</v>
      </c>
      <c r="BM156" s="105" t="s">
        <v>342</v>
      </c>
      <c r="BN156" s="105" t="s">
        <v>654</v>
      </c>
      <c r="BO156" s="105" t="s">
        <v>415</v>
      </c>
      <c r="BP156" s="105" t="s">
        <v>416</v>
      </c>
      <c r="BQ156" s="105" t="s">
        <v>346</v>
      </c>
      <c r="BR156" s="106" t="s">
        <v>345</v>
      </c>
      <c r="BS156" s="106" t="s">
        <v>417</v>
      </c>
      <c r="BT156" s="106" t="s">
        <v>418</v>
      </c>
      <c r="BU156" s="106" t="s">
        <v>419</v>
      </c>
      <c r="BV156" s="106" t="s">
        <v>420</v>
      </c>
      <c r="BW156" s="106" t="s">
        <v>343</v>
      </c>
    </row>
    <row r="157" spans="35:75" x14ac:dyDescent="0.3">
      <c r="AI157" s="21" t="str">
        <f t="shared" si="2"/>
        <v>External Environmental Contamination</v>
      </c>
      <c r="AJ157" s="22" t="s">
        <v>647</v>
      </c>
      <c r="AK157" s="120" t="s">
        <v>343</v>
      </c>
      <c r="AL157" s="116" t="s">
        <v>626</v>
      </c>
      <c r="AM157" s="121" t="s">
        <v>617</v>
      </c>
      <c r="BI157" s="22" t="s">
        <v>655</v>
      </c>
      <c r="BJ157" s="8" t="s">
        <v>656</v>
      </c>
      <c r="BK157" s="22" t="s">
        <v>439</v>
      </c>
      <c r="BL157" s="22" t="s">
        <v>657</v>
      </c>
      <c r="BM157" s="22" t="s">
        <v>441</v>
      </c>
      <c r="BN157" s="22" t="s">
        <v>658</v>
      </c>
      <c r="BO157" s="22" t="s">
        <v>659</v>
      </c>
      <c r="BP157" s="22" t="s">
        <v>660</v>
      </c>
      <c r="BQ157" s="22" t="s">
        <v>661</v>
      </c>
      <c r="BR157" s="22" t="s">
        <v>662</v>
      </c>
      <c r="BS157" s="22" t="s">
        <v>447</v>
      </c>
      <c r="BT157" s="22" t="s">
        <v>448</v>
      </c>
      <c r="BU157" s="22" t="s">
        <v>663</v>
      </c>
      <c r="BV157" s="22" t="s">
        <v>450</v>
      </c>
      <c r="BW157" s="22" t="s">
        <v>451</v>
      </c>
    </row>
    <row r="158" spans="35:75" x14ac:dyDescent="0.3">
      <c r="AI158" s="21" t="str">
        <f t="shared" si="2"/>
        <v>External Environmental Geographic.Location</v>
      </c>
      <c r="AJ158" s="22" t="s">
        <v>647</v>
      </c>
      <c r="AK158" s="120" t="s">
        <v>343</v>
      </c>
      <c r="AL158" s="116" t="s">
        <v>742</v>
      </c>
      <c r="AM158" s="121" t="s">
        <v>630</v>
      </c>
      <c r="BI158" s="22" t="s">
        <v>664</v>
      </c>
      <c r="BJ158" s="22" t="s">
        <v>665</v>
      </c>
      <c r="BK158" s="22" t="s">
        <v>470</v>
      </c>
      <c r="BL158" s="22" t="s">
        <v>471</v>
      </c>
      <c r="BM158" s="22" t="s">
        <v>472</v>
      </c>
      <c r="BN158" s="22" t="s">
        <v>666</v>
      </c>
      <c r="BO158" s="22" t="s">
        <v>667</v>
      </c>
      <c r="BP158" s="22" t="s">
        <v>668</v>
      </c>
      <c r="BQ158" s="22" t="s">
        <v>669</v>
      </c>
      <c r="BR158" s="22" t="s">
        <v>762</v>
      </c>
      <c r="BS158" s="22" t="s">
        <v>763</v>
      </c>
      <c r="BT158" s="22" t="s">
        <v>764</v>
      </c>
      <c r="BU158" s="22" t="s">
        <v>673</v>
      </c>
      <c r="BV158" s="22" t="s">
        <v>481</v>
      </c>
      <c r="BW158" s="22" t="s">
        <v>674</v>
      </c>
    </row>
    <row r="159" spans="35:75" ht="12" thickBot="1" x14ac:dyDescent="0.35">
      <c r="AI159" s="21" t="str">
        <f>AJ159&amp;" "&amp;AK159&amp;" "&amp;AL159</f>
        <v>External Environmental Biohazard.Pandemic</v>
      </c>
      <c r="AJ159" s="22" t="s">
        <v>647</v>
      </c>
      <c r="AK159" s="120" t="s">
        <v>343</v>
      </c>
      <c r="AL159" s="117" t="s">
        <v>745</v>
      </c>
      <c r="AM159" s="121" t="s">
        <v>638</v>
      </c>
      <c r="BI159" s="22" t="s">
        <v>675</v>
      </c>
      <c r="BJ159" s="22" t="s">
        <v>676</v>
      </c>
      <c r="BK159" s="22" t="s">
        <v>500</v>
      </c>
      <c r="BL159" s="22" t="s">
        <v>677</v>
      </c>
      <c r="BM159" s="22" t="s">
        <v>678</v>
      </c>
      <c r="BN159" s="22" t="s">
        <v>679</v>
      </c>
      <c r="BO159" s="22" t="s">
        <v>680</v>
      </c>
      <c r="BP159" s="22" t="s">
        <v>681</v>
      </c>
      <c r="BQ159" s="22" t="s">
        <v>682</v>
      </c>
      <c r="BR159" s="22" t="s">
        <v>507</v>
      </c>
      <c r="BS159" s="22" t="s">
        <v>765</v>
      </c>
      <c r="BT159" s="22" t="s">
        <v>685</v>
      </c>
      <c r="BU159" s="22" t="s">
        <v>766</v>
      </c>
      <c r="BV159" s="22" t="s">
        <v>511</v>
      </c>
      <c r="BW159" s="22" t="s">
        <v>767</v>
      </c>
    </row>
    <row r="160" spans="35:75" x14ac:dyDescent="0.3">
      <c r="BI160" s="22"/>
      <c r="BJ160" s="22" t="s">
        <v>688</v>
      </c>
      <c r="BK160" s="22" t="s">
        <v>527</v>
      </c>
      <c r="BL160" s="22" t="s">
        <v>689</v>
      </c>
      <c r="BM160" s="22" t="s">
        <v>690</v>
      </c>
      <c r="BN160" s="22" t="s">
        <v>691</v>
      </c>
      <c r="BO160" s="22" t="s">
        <v>692</v>
      </c>
      <c r="BP160" s="22" t="s">
        <v>768</v>
      </c>
      <c r="BQ160" s="22" t="s">
        <v>694</v>
      </c>
      <c r="BR160" s="22" t="s">
        <v>769</v>
      </c>
      <c r="BS160" s="22" t="s">
        <v>696</v>
      </c>
      <c r="BT160" s="22" t="s">
        <v>536</v>
      </c>
      <c r="BU160" s="22" t="s">
        <v>697</v>
      </c>
      <c r="BV160" s="22" t="s">
        <v>538</v>
      </c>
      <c r="BW160" s="22" t="s">
        <v>698</v>
      </c>
    </row>
    <row r="161" spans="37:175" x14ac:dyDescent="0.3">
      <c r="BI161" s="22"/>
      <c r="BJ161" s="22" t="s">
        <v>699</v>
      </c>
      <c r="BK161" s="22"/>
      <c r="BL161" s="22" t="s">
        <v>700</v>
      </c>
      <c r="BM161" s="22" t="s">
        <v>701</v>
      </c>
      <c r="BN161" s="22" t="s">
        <v>702</v>
      </c>
      <c r="BO161" s="22" t="s">
        <v>770</v>
      </c>
      <c r="BP161" s="22" t="s">
        <v>704</v>
      </c>
      <c r="BQ161" s="22" t="s">
        <v>705</v>
      </c>
      <c r="BR161" s="22" t="s">
        <v>706</v>
      </c>
      <c r="BS161" s="22" t="s">
        <v>707</v>
      </c>
      <c r="BT161" s="22" t="s">
        <v>561</v>
      </c>
      <c r="BU161" s="22" t="s">
        <v>708</v>
      </c>
      <c r="BV161" s="22" t="s">
        <v>771</v>
      </c>
      <c r="BW161" s="22" t="s">
        <v>772</v>
      </c>
    </row>
    <row r="162" spans="37:175" x14ac:dyDescent="0.3">
      <c r="BI162" s="22"/>
      <c r="BJ162" s="22" t="s">
        <v>577</v>
      </c>
      <c r="BK162" s="22"/>
      <c r="BL162" s="22" t="s">
        <v>711</v>
      </c>
      <c r="BM162" s="22" t="s">
        <v>712</v>
      </c>
      <c r="BN162" s="22" t="s">
        <v>713</v>
      </c>
      <c r="BO162" s="22" t="s">
        <v>714</v>
      </c>
      <c r="BP162" s="22" t="s">
        <v>715</v>
      </c>
      <c r="BQ162" s="22" t="s">
        <v>582</v>
      </c>
      <c r="BR162" s="22" t="s">
        <v>716</v>
      </c>
      <c r="BS162" s="22" t="s">
        <v>773</v>
      </c>
      <c r="BT162" s="22" t="s">
        <v>774</v>
      </c>
      <c r="BU162" s="22" t="s">
        <v>719</v>
      </c>
      <c r="BV162" s="22" t="s">
        <v>775</v>
      </c>
      <c r="BW162" s="22" t="s">
        <v>721</v>
      </c>
    </row>
    <row r="163" spans="37:175" x14ac:dyDescent="0.3">
      <c r="BI163" s="22"/>
      <c r="BJ163" s="22" t="s">
        <v>722</v>
      </c>
      <c r="BK163" s="22"/>
      <c r="BL163" s="22" t="s">
        <v>723</v>
      </c>
      <c r="BM163" s="22"/>
      <c r="BN163" s="22" t="s">
        <v>724</v>
      </c>
      <c r="BO163" s="22" t="s">
        <v>725</v>
      </c>
      <c r="BP163" s="22"/>
      <c r="BQ163" s="22" t="s">
        <v>726</v>
      </c>
      <c r="BR163" s="22" t="s">
        <v>727</v>
      </c>
      <c r="BS163" s="22" t="s">
        <v>776</v>
      </c>
      <c r="BT163" s="22" t="s">
        <v>729</v>
      </c>
      <c r="BU163" s="22" t="s">
        <v>730</v>
      </c>
      <c r="BV163" s="22" t="s">
        <v>470</v>
      </c>
      <c r="BW163" s="22" t="s">
        <v>609</v>
      </c>
    </row>
    <row r="164" spans="37:175" x14ac:dyDescent="0.3">
      <c r="BI164" s="22"/>
      <c r="BJ164" s="22" t="s">
        <v>732</v>
      </c>
      <c r="BK164" s="22"/>
      <c r="BL164" s="22" t="s">
        <v>619</v>
      </c>
      <c r="BM164" s="22"/>
      <c r="BN164" s="22"/>
      <c r="BO164" s="22" t="s">
        <v>777</v>
      </c>
      <c r="BP164" s="22"/>
      <c r="BQ164" s="22"/>
      <c r="BR164" s="22" t="s">
        <v>778</v>
      </c>
      <c r="BS164" s="22" t="s">
        <v>622</v>
      </c>
      <c r="BT164" s="22" t="s">
        <v>779</v>
      </c>
      <c r="BU164" s="22" t="s">
        <v>780</v>
      </c>
      <c r="BV164" s="22" t="s">
        <v>737</v>
      </c>
      <c r="BW164" s="22" t="s">
        <v>626</v>
      </c>
    </row>
    <row r="165" spans="37:175" x14ac:dyDescent="0.3">
      <c r="BI165" s="22"/>
      <c r="BJ165" s="22" t="s">
        <v>738</v>
      </c>
      <c r="BK165" s="22"/>
      <c r="BL165" s="22" t="s">
        <v>739</v>
      </c>
      <c r="BM165" s="22"/>
      <c r="BN165" s="22"/>
      <c r="BO165" s="22" t="s">
        <v>740</v>
      </c>
      <c r="BP165" s="22"/>
      <c r="BQ165" s="22"/>
      <c r="BR165" s="22"/>
      <c r="BS165" s="22"/>
      <c r="BT165" s="22"/>
      <c r="BU165" s="22" t="s">
        <v>741</v>
      </c>
      <c r="BV165" s="22"/>
      <c r="BW165" s="22" t="s">
        <v>742</v>
      </c>
    </row>
    <row r="166" spans="37:175" x14ac:dyDescent="0.3">
      <c r="BI166" s="22"/>
      <c r="BJ166" s="22"/>
      <c r="BK166" s="22"/>
      <c r="BL166" s="22" t="s">
        <v>743</v>
      </c>
      <c r="BM166" s="22"/>
      <c r="BN166" s="22"/>
      <c r="BO166" s="22"/>
      <c r="BP166" s="22"/>
      <c r="BQ166" s="22"/>
      <c r="BR166" s="22"/>
      <c r="BS166" s="22"/>
      <c r="BT166" s="22"/>
      <c r="BU166" s="22" t="s">
        <v>781</v>
      </c>
      <c r="BV166" s="22"/>
      <c r="BW166" s="22" t="s">
        <v>745</v>
      </c>
    </row>
    <row r="167" spans="37:175" x14ac:dyDescent="0.3">
      <c r="BI167" s="22"/>
      <c r="BJ167" s="22"/>
      <c r="BK167" s="22"/>
      <c r="BL167" s="22" t="s">
        <v>644</v>
      </c>
      <c r="BM167" s="22"/>
      <c r="BN167" s="22"/>
      <c r="BO167" s="22"/>
      <c r="BP167" s="22"/>
      <c r="BQ167" s="22"/>
      <c r="BR167" s="22"/>
      <c r="BS167" s="22"/>
      <c r="BT167" s="22"/>
      <c r="BU167" s="22" t="s">
        <v>782</v>
      </c>
      <c r="BV167" s="22"/>
      <c r="BW167" s="22"/>
      <c r="DR167" s="8"/>
    </row>
    <row r="168" spans="37:175" x14ac:dyDescent="0.3">
      <c r="BI168" s="1"/>
      <c r="DR168" s="8"/>
    </row>
    <row r="169" spans="37:175" x14ac:dyDescent="0.3">
      <c r="BI169" s="1"/>
      <c r="DR169" s="8"/>
    </row>
    <row r="170" spans="37:175" x14ac:dyDescent="0.3">
      <c r="BI170" s="1"/>
      <c r="DR170" s="8"/>
    </row>
    <row r="171" spans="37:175" x14ac:dyDescent="0.3">
      <c r="BI171" s="1"/>
      <c r="DR171" s="8"/>
    </row>
    <row r="172" spans="37:175" x14ac:dyDescent="0.3">
      <c r="BI172" s="1"/>
    </row>
    <row r="173" spans="37:175" s="108" customFormat="1" ht="68.400000000000006" x14ac:dyDescent="0.3">
      <c r="AK173" s="107"/>
      <c r="AL173" s="107"/>
      <c r="AM173" s="107"/>
      <c r="AS173" s="107"/>
      <c r="AT173" s="107"/>
      <c r="AU173" s="107"/>
      <c r="AV173" s="107"/>
      <c r="AW173" s="107"/>
      <c r="AX173" s="107"/>
      <c r="AY173" s="107"/>
      <c r="AZ173" s="107"/>
      <c r="BA173" s="107"/>
      <c r="BB173" s="107"/>
      <c r="BC173" s="107"/>
      <c r="BD173" s="107"/>
      <c r="BE173" s="107"/>
      <c r="BF173" s="107"/>
      <c r="BG173" s="107"/>
      <c r="BH173" s="107"/>
      <c r="BI173" s="108" t="s">
        <v>783</v>
      </c>
      <c r="BJ173" s="108" t="s">
        <v>784</v>
      </c>
      <c r="BK173" s="108" t="s">
        <v>785</v>
      </c>
      <c r="BL173" s="109" t="s">
        <v>786</v>
      </c>
      <c r="BM173" s="108" t="s">
        <v>787</v>
      </c>
      <c r="BN173" s="108" t="s">
        <v>788</v>
      </c>
      <c r="BO173" s="108" t="s">
        <v>789</v>
      </c>
      <c r="BP173" s="108" t="s">
        <v>790</v>
      </c>
      <c r="BQ173" s="108" t="s">
        <v>791</v>
      </c>
      <c r="BR173" s="108" t="s">
        <v>792</v>
      </c>
      <c r="BS173" s="108" t="s">
        <v>793</v>
      </c>
      <c r="BT173" s="108" t="s">
        <v>794</v>
      </c>
      <c r="BU173" s="109" t="s">
        <v>795</v>
      </c>
      <c r="BV173" s="108" t="s">
        <v>796</v>
      </c>
      <c r="BW173" s="108" t="s">
        <v>797</v>
      </c>
      <c r="BX173" s="108" t="s">
        <v>798</v>
      </c>
      <c r="BY173" s="109" t="s">
        <v>799</v>
      </c>
      <c r="BZ173" s="108" t="s">
        <v>800</v>
      </c>
      <c r="CA173" s="108" t="s">
        <v>801</v>
      </c>
      <c r="CB173" s="108" t="s">
        <v>802</v>
      </c>
      <c r="CC173" s="108" t="s">
        <v>803</v>
      </c>
      <c r="CD173" s="108" t="s">
        <v>804</v>
      </c>
      <c r="CE173" s="108" t="s">
        <v>805</v>
      </c>
      <c r="CF173" s="108" t="s">
        <v>806</v>
      </c>
      <c r="CG173" s="108" t="s">
        <v>807</v>
      </c>
      <c r="CH173" s="108" t="s">
        <v>808</v>
      </c>
      <c r="CI173" s="108" t="s">
        <v>809</v>
      </c>
      <c r="CJ173" s="109" t="s">
        <v>810</v>
      </c>
      <c r="CK173" s="108" t="s">
        <v>811</v>
      </c>
      <c r="CL173" s="108" t="s">
        <v>812</v>
      </c>
      <c r="CM173" s="108" t="s">
        <v>813</v>
      </c>
      <c r="CN173" s="108" t="s">
        <v>814</v>
      </c>
      <c r="CO173" s="108" t="s">
        <v>815</v>
      </c>
      <c r="CP173" s="109" t="s">
        <v>816</v>
      </c>
      <c r="CQ173" s="108" t="s">
        <v>817</v>
      </c>
      <c r="CR173" s="108" t="s">
        <v>818</v>
      </c>
      <c r="CS173" s="108" t="s">
        <v>819</v>
      </c>
      <c r="CT173" s="108" t="s">
        <v>820</v>
      </c>
      <c r="CU173" s="108" t="s">
        <v>821</v>
      </c>
      <c r="CV173" s="108" t="s">
        <v>822</v>
      </c>
      <c r="CW173" s="109" t="s">
        <v>823</v>
      </c>
      <c r="CX173" s="108" t="s">
        <v>824</v>
      </c>
      <c r="CY173" s="108" t="s">
        <v>825</v>
      </c>
      <c r="CZ173" s="108" t="s">
        <v>826</v>
      </c>
      <c r="DA173" s="108" t="s">
        <v>827</v>
      </c>
      <c r="DB173" s="108" t="s">
        <v>828</v>
      </c>
      <c r="DC173" s="108" t="s">
        <v>829</v>
      </c>
      <c r="DD173" s="108" t="s">
        <v>830</v>
      </c>
      <c r="DE173" s="108" t="s">
        <v>831</v>
      </c>
      <c r="DF173" s="109" t="s">
        <v>832</v>
      </c>
      <c r="DG173" s="108" t="s">
        <v>833</v>
      </c>
      <c r="DH173" s="108" t="s">
        <v>834</v>
      </c>
      <c r="DI173" s="108" t="s">
        <v>835</v>
      </c>
      <c r="DJ173" s="108" t="s">
        <v>836</v>
      </c>
      <c r="DK173" s="108" t="s">
        <v>837</v>
      </c>
      <c r="DL173" s="109" t="s">
        <v>838</v>
      </c>
      <c r="DM173" s="108" t="s">
        <v>839</v>
      </c>
      <c r="DN173" s="108" t="s">
        <v>840</v>
      </c>
      <c r="DO173" s="108" t="s">
        <v>841</v>
      </c>
      <c r="DP173" s="108" t="s">
        <v>842</v>
      </c>
      <c r="DQ173" s="108" t="s">
        <v>843</v>
      </c>
      <c r="DR173" s="108" t="s">
        <v>844</v>
      </c>
      <c r="DS173" s="131" t="s">
        <v>845</v>
      </c>
      <c r="DT173" s="108" t="s">
        <v>846</v>
      </c>
      <c r="DU173" s="108" t="s">
        <v>847</v>
      </c>
      <c r="DV173" s="108" t="s">
        <v>848</v>
      </c>
      <c r="DW173" s="108" t="s">
        <v>849</v>
      </c>
      <c r="DX173" s="108" t="s">
        <v>850</v>
      </c>
      <c r="DY173" s="108" t="s">
        <v>851</v>
      </c>
      <c r="DZ173" s="108" t="s">
        <v>852</v>
      </c>
      <c r="EA173" s="109" t="s">
        <v>853</v>
      </c>
      <c r="EB173" s="108" t="s">
        <v>854</v>
      </c>
      <c r="EC173" s="108" t="s">
        <v>855</v>
      </c>
      <c r="ED173" s="108" t="s">
        <v>856</v>
      </c>
      <c r="EE173" s="108" t="s">
        <v>857</v>
      </c>
      <c r="EF173" s="108" t="s">
        <v>858</v>
      </c>
      <c r="EG173" s="108" t="s">
        <v>859</v>
      </c>
      <c r="EH173" s="108" t="s">
        <v>860</v>
      </c>
      <c r="EI173" s="109" t="s">
        <v>861</v>
      </c>
      <c r="EJ173" s="108" t="s">
        <v>862</v>
      </c>
      <c r="EK173" s="108" t="s">
        <v>863</v>
      </c>
      <c r="EL173" s="108" t="s">
        <v>864</v>
      </c>
      <c r="EM173" s="108" t="s">
        <v>865</v>
      </c>
      <c r="EN173" s="108" t="s">
        <v>866</v>
      </c>
      <c r="EO173" s="108" t="s">
        <v>867</v>
      </c>
      <c r="EP173" s="108" t="s">
        <v>868</v>
      </c>
      <c r="EQ173" s="109" t="s">
        <v>869</v>
      </c>
      <c r="ER173" s="108" t="s">
        <v>870</v>
      </c>
      <c r="ES173" s="108" t="s">
        <v>871</v>
      </c>
      <c r="ET173" s="108" t="s">
        <v>872</v>
      </c>
      <c r="EU173" s="108" t="s">
        <v>873</v>
      </c>
      <c r="EV173" s="108" t="s">
        <v>874</v>
      </c>
      <c r="EW173" s="108" t="s">
        <v>875</v>
      </c>
      <c r="EX173" s="108" t="s">
        <v>876</v>
      </c>
      <c r="EY173" s="108" t="s">
        <v>877</v>
      </c>
      <c r="EZ173" s="108" t="s">
        <v>878</v>
      </c>
      <c r="FA173" s="108" t="s">
        <v>879</v>
      </c>
      <c r="FB173" s="109" t="s">
        <v>880</v>
      </c>
      <c r="FC173" s="108" t="s">
        <v>881</v>
      </c>
      <c r="FD173" s="108" t="s">
        <v>882</v>
      </c>
      <c r="FE173" s="108" t="s">
        <v>883</v>
      </c>
      <c r="FF173" s="108" t="s">
        <v>884</v>
      </c>
      <c r="FG173" s="108" t="s">
        <v>885</v>
      </c>
      <c r="FH173" s="108" t="s">
        <v>886</v>
      </c>
      <c r="FI173" s="108" t="s">
        <v>887</v>
      </c>
      <c r="FJ173" s="109" t="s">
        <v>888</v>
      </c>
      <c r="FK173" s="108" t="s">
        <v>889</v>
      </c>
      <c r="FL173" s="108" t="s">
        <v>890</v>
      </c>
      <c r="FM173" s="108" t="s">
        <v>891</v>
      </c>
      <c r="FN173" s="108" t="s">
        <v>892</v>
      </c>
      <c r="FO173" s="108" t="s">
        <v>893</v>
      </c>
      <c r="FP173" s="108" t="s">
        <v>894</v>
      </c>
      <c r="FQ173" s="108" t="s">
        <v>895</v>
      </c>
      <c r="FR173" s="108" t="s">
        <v>896</v>
      </c>
      <c r="FS173" s="108" t="s">
        <v>897</v>
      </c>
    </row>
    <row r="174" spans="37:175" x14ac:dyDescent="0.3">
      <c r="BI174" s="1"/>
      <c r="BL174" s="110"/>
      <c r="BU174" s="110"/>
      <c r="BY174" s="110"/>
      <c r="CJ174" s="110"/>
      <c r="CP174" s="110"/>
      <c r="CW174" s="110"/>
      <c r="DF174" s="110"/>
      <c r="DL174" s="110"/>
      <c r="DS174" s="132"/>
      <c r="EA174" s="110"/>
      <c r="EI174" s="110"/>
      <c r="EQ174" s="110"/>
      <c r="FB174" s="110"/>
      <c r="FJ174" s="110"/>
    </row>
    <row r="175" spans="37:175" x14ac:dyDescent="0.3">
      <c r="BI175" s="1"/>
      <c r="BL175" s="110"/>
      <c r="BU175" s="110"/>
      <c r="BY175" s="110"/>
      <c r="CJ175" s="110"/>
      <c r="CP175" s="110"/>
      <c r="CW175" s="110"/>
      <c r="DF175" s="110"/>
      <c r="DL175" s="110"/>
      <c r="DS175" s="132"/>
      <c r="EA175" s="110"/>
      <c r="EI175" s="110"/>
      <c r="EQ175" s="110"/>
      <c r="FB175" s="110"/>
      <c r="FJ175" s="110"/>
    </row>
    <row r="176" spans="37:175" x14ac:dyDescent="0.3">
      <c r="BI176" s="1"/>
      <c r="BL176" s="110"/>
      <c r="BU176" s="110"/>
      <c r="BY176" s="110"/>
      <c r="CJ176" s="110"/>
      <c r="CP176" s="110"/>
      <c r="CW176" s="110"/>
      <c r="DF176" s="110"/>
      <c r="DL176" s="110"/>
      <c r="DS176" s="132"/>
      <c r="EA176" s="110"/>
      <c r="EI176" s="110"/>
      <c r="EQ176" s="110"/>
      <c r="FB176" s="110"/>
      <c r="FJ176" s="110"/>
    </row>
    <row r="177" spans="37:175" x14ac:dyDescent="0.3">
      <c r="BI177" s="1"/>
      <c r="BL177" s="110"/>
      <c r="BU177" s="110"/>
      <c r="BY177" s="110"/>
      <c r="CJ177" s="110"/>
      <c r="CP177" s="110"/>
      <c r="CW177" s="110"/>
      <c r="DF177" s="110"/>
      <c r="DL177" s="110"/>
      <c r="DS177" s="132"/>
      <c r="EA177" s="110"/>
      <c r="EI177" s="110"/>
      <c r="EQ177" s="110"/>
      <c r="FB177" s="110"/>
      <c r="FJ177" s="110"/>
    </row>
    <row r="178" spans="37:175" ht="12" x14ac:dyDescent="0.3">
      <c r="AK178" s="1"/>
      <c r="AL178" s="1"/>
      <c r="AM178" s="1"/>
      <c r="AS178" s="1"/>
      <c r="AT178" s="1"/>
      <c r="AU178" s="1"/>
      <c r="AV178" s="1"/>
      <c r="AW178" s="1"/>
      <c r="AX178" s="1"/>
      <c r="AY178" s="1"/>
      <c r="AZ178" s="1"/>
      <c r="BA178" s="1"/>
      <c r="BB178" s="1"/>
      <c r="BC178" s="1"/>
      <c r="BD178" s="1"/>
      <c r="BE178" s="1"/>
      <c r="BF178" s="1"/>
      <c r="BG178" s="1"/>
      <c r="BH178" s="1"/>
      <c r="BI178" s="127" t="s">
        <v>655</v>
      </c>
      <c r="BJ178" s="127" t="s">
        <v>664</v>
      </c>
      <c r="BK178" s="127" t="s">
        <v>675</v>
      </c>
      <c r="BL178" s="127" t="s">
        <v>656</v>
      </c>
      <c r="BM178" s="127" t="s">
        <v>665</v>
      </c>
      <c r="BN178" s="127" t="s">
        <v>676</v>
      </c>
      <c r="BO178" s="127" t="s">
        <v>688</v>
      </c>
      <c r="BP178" s="127" t="s">
        <v>699</v>
      </c>
      <c r="BQ178" s="127" t="s">
        <v>577</v>
      </c>
      <c r="BR178" s="127" t="s">
        <v>722</v>
      </c>
      <c r="BS178" s="127" t="s">
        <v>732</v>
      </c>
      <c r="BT178" s="127" t="s">
        <v>738</v>
      </c>
      <c r="BU178" s="127" t="s">
        <v>439</v>
      </c>
      <c r="BV178" s="127" t="s">
        <v>470</v>
      </c>
      <c r="BW178" s="127" t="s">
        <v>500</v>
      </c>
      <c r="BX178" s="127" t="s">
        <v>527</v>
      </c>
      <c r="BY178" s="127" t="s">
        <v>657</v>
      </c>
      <c r="BZ178" s="127" t="s">
        <v>471</v>
      </c>
      <c r="CA178" s="127" t="s">
        <v>677</v>
      </c>
      <c r="CB178" s="127" t="s">
        <v>689</v>
      </c>
      <c r="CC178" s="127" t="s">
        <v>700</v>
      </c>
      <c r="CD178" s="127" t="s">
        <v>711</v>
      </c>
      <c r="CE178" s="127" t="s">
        <v>723</v>
      </c>
      <c r="CF178" s="127" t="s">
        <v>619</v>
      </c>
      <c r="CG178" s="127" t="s">
        <v>739</v>
      </c>
      <c r="CH178" s="127" t="s">
        <v>743</v>
      </c>
      <c r="CI178" s="127" t="s">
        <v>644</v>
      </c>
      <c r="CJ178" s="127" t="s">
        <v>441</v>
      </c>
      <c r="CK178" s="127" t="s">
        <v>472</v>
      </c>
      <c r="CL178" s="127" t="s">
        <v>678</v>
      </c>
      <c r="CM178" s="127" t="s">
        <v>690</v>
      </c>
      <c r="CN178" s="127" t="s">
        <v>701</v>
      </c>
      <c r="CO178" s="127" t="s">
        <v>712</v>
      </c>
      <c r="CP178" s="130" t="s">
        <v>658</v>
      </c>
      <c r="CQ178" s="127" t="s">
        <v>666</v>
      </c>
      <c r="CR178" s="127" t="s">
        <v>679</v>
      </c>
      <c r="CS178" s="127" t="s">
        <v>691</v>
      </c>
      <c r="CT178" s="127" t="s">
        <v>702</v>
      </c>
      <c r="CU178" s="127" t="s">
        <v>713</v>
      </c>
      <c r="CV178" s="127" t="s">
        <v>724</v>
      </c>
      <c r="CW178" s="127" t="s">
        <v>659</v>
      </c>
      <c r="CX178" s="127" t="s">
        <v>667</v>
      </c>
      <c r="CY178" s="127" t="s">
        <v>680</v>
      </c>
      <c r="CZ178" s="127" t="s">
        <v>692</v>
      </c>
      <c r="DA178" s="127" t="s">
        <v>703</v>
      </c>
      <c r="DB178" s="127" t="s">
        <v>714</v>
      </c>
      <c r="DC178" s="127" t="s">
        <v>725</v>
      </c>
      <c r="DD178" s="127" t="s">
        <v>733</v>
      </c>
      <c r="DE178" s="127" t="s">
        <v>740</v>
      </c>
      <c r="DF178" s="127" t="s">
        <v>660</v>
      </c>
      <c r="DG178" s="127" t="s">
        <v>668</v>
      </c>
      <c r="DH178" s="127" t="s">
        <v>681</v>
      </c>
      <c r="DI178" s="127" t="s">
        <v>693</v>
      </c>
      <c r="DJ178" s="127" t="s">
        <v>704</v>
      </c>
      <c r="DK178" s="127" t="s">
        <v>715</v>
      </c>
      <c r="DL178" s="127" t="s">
        <v>661</v>
      </c>
      <c r="DM178" s="127" t="s">
        <v>669</v>
      </c>
      <c r="DN178" s="127" t="s">
        <v>682</v>
      </c>
      <c r="DO178" s="127" t="s">
        <v>694</v>
      </c>
      <c r="DP178" s="127" t="s">
        <v>705</v>
      </c>
      <c r="DQ178" s="127" t="s">
        <v>582</v>
      </c>
      <c r="DR178" s="127" t="s">
        <v>726</v>
      </c>
      <c r="DS178" s="127" t="s">
        <v>662</v>
      </c>
      <c r="DT178" s="127" t="s">
        <v>670</v>
      </c>
      <c r="DU178" s="127" t="s">
        <v>683</v>
      </c>
      <c r="DV178" s="127" t="s">
        <v>695</v>
      </c>
      <c r="DW178" s="127" t="s">
        <v>706</v>
      </c>
      <c r="DX178" s="127" t="s">
        <v>716</v>
      </c>
      <c r="DY178" s="127" t="s">
        <v>727</v>
      </c>
      <c r="DZ178" s="127" t="s">
        <v>734</v>
      </c>
      <c r="EA178" s="127" t="s">
        <v>447</v>
      </c>
      <c r="EB178" s="127" t="s">
        <v>671</v>
      </c>
      <c r="EC178" s="127" t="s">
        <v>684</v>
      </c>
      <c r="ED178" s="127" t="s">
        <v>696</v>
      </c>
      <c r="EE178" s="127" t="s">
        <v>707</v>
      </c>
      <c r="EF178" s="127" t="s">
        <v>717</v>
      </c>
      <c r="EG178" s="127" t="s">
        <v>728</v>
      </c>
      <c r="EH178" s="127" t="s">
        <v>622</v>
      </c>
      <c r="EI178" s="127" t="s">
        <v>448</v>
      </c>
      <c r="EJ178" s="127" t="s">
        <v>672</v>
      </c>
      <c r="EK178" s="127" t="s">
        <v>685</v>
      </c>
      <c r="EL178" s="127" t="s">
        <v>536</v>
      </c>
      <c r="EM178" s="127" t="s">
        <v>561</v>
      </c>
      <c r="EN178" s="127" t="s">
        <v>718</v>
      </c>
      <c r="EO178" s="127" t="s">
        <v>729</v>
      </c>
      <c r="EP178" s="127" t="s">
        <v>735</v>
      </c>
      <c r="EQ178" s="127" t="s">
        <v>663</v>
      </c>
      <c r="ER178" s="127" t="s">
        <v>673</v>
      </c>
      <c r="ES178" s="127" t="s">
        <v>686</v>
      </c>
      <c r="ET178" s="127" t="s">
        <v>697</v>
      </c>
      <c r="EU178" s="127" t="s">
        <v>708</v>
      </c>
      <c r="EV178" s="127" t="s">
        <v>719</v>
      </c>
      <c r="EW178" s="127" t="s">
        <v>730</v>
      </c>
      <c r="EX178" s="127" t="s">
        <v>736</v>
      </c>
      <c r="EY178" s="127" t="s">
        <v>741</v>
      </c>
      <c r="EZ178" s="127" t="s">
        <v>744</v>
      </c>
      <c r="FA178" s="127" t="s">
        <v>746</v>
      </c>
      <c r="FB178" s="127" t="s">
        <v>450</v>
      </c>
      <c r="FC178" s="127" t="s">
        <v>481</v>
      </c>
      <c r="FD178" s="127" t="s">
        <v>511</v>
      </c>
      <c r="FE178" s="127" t="s">
        <v>538</v>
      </c>
      <c r="FF178" s="127" t="s">
        <v>709</v>
      </c>
      <c r="FG178" s="127" t="s">
        <v>720</v>
      </c>
      <c r="FH178" s="127" t="s">
        <v>731</v>
      </c>
      <c r="FI178" s="127" t="s">
        <v>737</v>
      </c>
      <c r="FJ178" s="127" t="s">
        <v>451</v>
      </c>
      <c r="FK178" s="127" t="s">
        <v>674</v>
      </c>
      <c r="FL178" s="127" t="s">
        <v>687</v>
      </c>
      <c r="FM178" s="127" t="s">
        <v>698</v>
      </c>
      <c r="FN178" s="127" t="s">
        <v>710</v>
      </c>
      <c r="FO178" s="127" t="s">
        <v>721</v>
      </c>
      <c r="FP178" s="127" t="s">
        <v>609</v>
      </c>
      <c r="FQ178" s="127" t="s">
        <v>626</v>
      </c>
      <c r="FR178" s="127" t="s">
        <v>742</v>
      </c>
      <c r="FS178" s="127" t="s">
        <v>745</v>
      </c>
    </row>
    <row r="179" spans="37:175" s="8" customFormat="1" x14ac:dyDescent="0.3">
      <c r="BI179" s="128" t="s">
        <v>898</v>
      </c>
      <c r="BJ179" s="128" t="s">
        <v>899</v>
      </c>
      <c r="BK179" s="128" t="s">
        <v>900</v>
      </c>
      <c r="BL179" s="128" t="s">
        <v>901</v>
      </c>
      <c r="BM179" s="128" t="s">
        <v>902</v>
      </c>
      <c r="BN179" s="128" t="s">
        <v>903</v>
      </c>
      <c r="BO179" s="128" t="s">
        <v>904</v>
      </c>
      <c r="BP179" s="128" t="s">
        <v>905</v>
      </c>
      <c r="BQ179" s="128" t="s">
        <v>906</v>
      </c>
      <c r="BR179" s="128" t="s">
        <v>907</v>
      </c>
      <c r="BS179" s="128" t="s">
        <v>908</v>
      </c>
      <c r="BT179" s="128" t="s">
        <v>909</v>
      </c>
      <c r="BU179" s="128" t="s">
        <v>910</v>
      </c>
      <c r="BV179" s="128" t="s">
        <v>911</v>
      </c>
      <c r="BW179" s="128" t="s">
        <v>912</v>
      </c>
      <c r="BX179" s="128" t="s">
        <v>913</v>
      </c>
      <c r="BY179" s="128" t="s">
        <v>914</v>
      </c>
      <c r="BZ179" s="128" t="s">
        <v>915</v>
      </c>
      <c r="CA179" s="128" t="s">
        <v>916</v>
      </c>
      <c r="CB179" s="128" t="s">
        <v>917</v>
      </c>
      <c r="CC179" s="128" t="s">
        <v>918</v>
      </c>
      <c r="CD179" s="128" t="s">
        <v>919</v>
      </c>
      <c r="CE179" s="128" t="s">
        <v>920</v>
      </c>
      <c r="CF179" s="128" t="s">
        <v>921</v>
      </c>
      <c r="CG179" s="128" t="s">
        <v>922</v>
      </c>
      <c r="CH179" s="128" t="s">
        <v>923</v>
      </c>
      <c r="CI179" s="128" t="s">
        <v>924</v>
      </c>
      <c r="CJ179" s="128" t="s">
        <v>925</v>
      </c>
      <c r="CK179" s="128" t="s">
        <v>926</v>
      </c>
      <c r="CL179" s="128" t="s">
        <v>927</v>
      </c>
      <c r="CM179" s="128" t="s">
        <v>928</v>
      </c>
      <c r="CN179" s="128" t="s">
        <v>929</v>
      </c>
      <c r="CO179" s="128" t="s">
        <v>930</v>
      </c>
      <c r="CP179" s="128" t="s">
        <v>931</v>
      </c>
      <c r="CQ179" s="128" t="s">
        <v>932</v>
      </c>
      <c r="CR179" s="128" t="s">
        <v>933</v>
      </c>
      <c r="CS179" s="128" t="s">
        <v>934</v>
      </c>
      <c r="CT179" s="128" t="s">
        <v>935</v>
      </c>
      <c r="CU179" s="128" t="s">
        <v>936</v>
      </c>
      <c r="CV179" s="128" t="s">
        <v>937</v>
      </c>
      <c r="CW179" s="128" t="s">
        <v>938</v>
      </c>
      <c r="CX179" s="128" t="s">
        <v>939</v>
      </c>
      <c r="CY179" s="128" t="s">
        <v>940</v>
      </c>
      <c r="CZ179" s="128" t="s">
        <v>941</v>
      </c>
      <c r="DA179" s="128" t="s">
        <v>942</v>
      </c>
      <c r="DB179" s="128" t="s">
        <v>943</v>
      </c>
      <c r="DC179" s="128" t="s">
        <v>944</v>
      </c>
      <c r="DD179" s="128" t="s">
        <v>945</v>
      </c>
      <c r="DE179" s="128" t="s">
        <v>946</v>
      </c>
      <c r="DF179" s="128" t="s">
        <v>947</v>
      </c>
      <c r="DG179" s="128" t="s">
        <v>948</v>
      </c>
      <c r="DH179" s="128" t="s">
        <v>949</v>
      </c>
      <c r="DI179" s="128" t="s">
        <v>950</v>
      </c>
      <c r="DJ179" s="128" t="s">
        <v>951</v>
      </c>
      <c r="DK179" s="128" t="s">
        <v>952</v>
      </c>
      <c r="DL179" s="128" t="s">
        <v>953</v>
      </c>
      <c r="DM179" s="128" t="s">
        <v>954</v>
      </c>
      <c r="DN179" s="128" t="s">
        <v>955</v>
      </c>
      <c r="DO179" s="128" t="s">
        <v>956</v>
      </c>
      <c r="DP179" s="128" t="s">
        <v>957</v>
      </c>
      <c r="DQ179" s="128" t="s">
        <v>958</v>
      </c>
      <c r="DR179" s="128" t="s">
        <v>959</v>
      </c>
      <c r="DS179" s="133" t="s">
        <v>960</v>
      </c>
      <c r="DT179" s="128" t="s">
        <v>961</v>
      </c>
      <c r="DU179" s="128" t="s">
        <v>962</v>
      </c>
      <c r="DV179" s="128" t="s">
        <v>963</v>
      </c>
      <c r="DW179" s="128" t="s">
        <v>964</v>
      </c>
      <c r="DX179" s="128" t="s">
        <v>965</v>
      </c>
      <c r="DY179" s="128" t="s">
        <v>966</v>
      </c>
      <c r="DZ179" s="128" t="s">
        <v>967</v>
      </c>
      <c r="EA179" s="128" t="s">
        <v>968</v>
      </c>
      <c r="EB179" s="128" t="s">
        <v>969</v>
      </c>
      <c r="EC179" s="128" t="s">
        <v>970</v>
      </c>
      <c r="ED179" s="128" t="s">
        <v>971</v>
      </c>
      <c r="EE179" s="128" t="s">
        <v>972</v>
      </c>
      <c r="EF179" s="128" t="s">
        <v>973</v>
      </c>
      <c r="EG179" s="128" t="s">
        <v>974</v>
      </c>
      <c r="EH179" s="128" t="s">
        <v>975</v>
      </c>
      <c r="EI179" s="128" t="s">
        <v>976</v>
      </c>
      <c r="EJ179" s="128" t="s">
        <v>977</v>
      </c>
      <c r="EK179" s="128" t="s">
        <v>978</v>
      </c>
      <c r="EL179" s="128" t="s">
        <v>979</v>
      </c>
      <c r="EM179" s="128" t="s">
        <v>980</v>
      </c>
      <c r="EN179" s="128" t="s">
        <v>981</v>
      </c>
      <c r="EO179" s="128" t="s">
        <v>982</v>
      </c>
      <c r="EP179" s="128" t="s">
        <v>983</v>
      </c>
      <c r="EQ179" s="128" t="s">
        <v>984</v>
      </c>
      <c r="ER179" s="128" t="s">
        <v>985</v>
      </c>
      <c r="ES179" s="128" t="s">
        <v>986</v>
      </c>
      <c r="ET179" s="128" t="s">
        <v>987</v>
      </c>
      <c r="EU179" s="128" t="s">
        <v>988</v>
      </c>
      <c r="EV179" s="128" t="s">
        <v>989</v>
      </c>
      <c r="EW179" s="128" t="s">
        <v>990</v>
      </c>
      <c r="EX179" s="128" t="s">
        <v>991</v>
      </c>
      <c r="EY179" s="128" t="s">
        <v>992</v>
      </c>
      <c r="EZ179" s="128" t="s">
        <v>993</v>
      </c>
      <c r="FA179" s="128" t="s">
        <v>994</v>
      </c>
      <c r="FB179" s="128" t="s">
        <v>995</v>
      </c>
      <c r="FC179" s="128" t="s">
        <v>996</v>
      </c>
      <c r="FD179" s="128" t="s">
        <v>997</v>
      </c>
      <c r="FE179" s="128" t="s">
        <v>998</v>
      </c>
      <c r="FF179" s="128" t="s">
        <v>999</v>
      </c>
      <c r="FG179" s="128" t="s">
        <v>1000</v>
      </c>
      <c r="FH179" s="128" t="s">
        <v>1001</v>
      </c>
      <c r="FI179" s="128" t="s">
        <v>1002</v>
      </c>
      <c r="FJ179" s="128" t="s">
        <v>1003</v>
      </c>
      <c r="FK179" s="128" t="s">
        <v>1004</v>
      </c>
      <c r="FL179" s="128" t="s">
        <v>1005</v>
      </c>
      <c r="FM179" s="128" t="s">
        <v>977</v>
      </c>
      <c r="FN179" s="128" t="s">
        <v>1006</v>
      </c>
      <c r="FO179" s="128" t="s">
        <v>1007</v>
      </c>
      <c r="FP179" s="128" t="s">
        <v>1008</v>
      </c>
      <c r="FQ179" s="128" t="s">
        <v>1009</v>
      </c>
      <c r="FR179" s="128" t="s">
        <v>1010</v>
      </c>
      <c r="FS179" s="128" t="s">
        <v>1011</v>
      </c>
    </row>
    <row r="180" spans="37:175" s="8" customFormat="1" x14ac:dyDescent="0.3">
      <c r="BI180" s="128" t="s">
        <v>1012</v>
      </c>
      <c r="BJ180" s="128" t="s">
        <v>1013</v>
      </c>
      <c r="BK180" s="128" t="s">
        <v>1014</v>
      </c>
      <c r="BL180" s="128" t="s">
        <v>1015</v>
      </c>
      <c r="BM180" s="128" t="s">
        <v>1016</v>
      </c>
      <c r="BN180" s="128" t="s">
        <v>1017</v>
      </c>
      <c r="BO180" s="128" t="s">
        <v>1018</v>
      </c>
      <c r="BP180" s="128" t="s">
        <v>1019</v>
      </c>
      <c r="BQ180" s="128" t="s">
        <v>1020</v>
      </c>
      <c r="BR180" s="128" t="s">
        <v>1021</v>
      </c>
      <c r="BS180" s="128" t="s">
        <v>1022</v>
      </c>
      <c r="BT180" s="128" t="s">
        <v>1023</v>
      </c>
      <c r="BU180" s="128" t="s">
        <v>1024</v>
      </c>
      <c r="BV180" s="128" t="s">
        <v>1025</v>
      </c>
      <c r="BW180" s="128" t="s">
        <v>1026</v>
      </c>
      <c r="BX180" s="128" t="s">
        <v>1027</v>
      </c>
      <c r="BY180" s="128" t="s">
        <v>1028</v>
      </c>
      <c r="BZ180" s="128" t="s">
        <v>1029</v>
      </c>
      <c r="CA180" s="128" t="s">
        <v>1030</v>
      </c>
      <c r="CB180" s="128" t="s">
        <v>1031</v>
      </c>
      <c r="CC180" s="128" t="s">
        <v>1032</v>
      </c>
      <c r="CD180" s="128" t="s">
        <v>1033</v>
      </c>
      <c r="CE180" s="128" t="s">
        <v>1034</v>
      </c>
      <c r="CF180" s="128" t="s">
        <v>1035</v>
      </c>
      <c r="CG180" s="128" t="s">
        <v>1036</v>
      </c>
      <c r="CH180" s="128" t="s">
        <v>1037</v>
      </c>
      <c r="CI180" s="128" t="s">
        <v>1038</v>
      </c>
      <c r="CJ180" s="128" t="s">
        <v>1039</v>
      </c>
      <c r="CK180" s="128" t="s">
        <v>1040</v>
      </c>
      <c r="CL180" s="128" t="s">
        <v>1041</v>
      </c>
      <c r="CM180" s="128" t="s">
        <v>1042</v>
      </c>
      <c r="CN180" s="128" t="s">
        <v>1043</v>
      </c>
      <c r="CO180" s="128" t="s">
        <v>1044</v>
      </c>
      <c r="CP180" s="128" t="s">
        <v>1045</v>
      </c>
      <c r="CQ180" s="128" t="s">
        <v>1046</v>
      </c>
      <c r="CR180" s="128" t="s">
        <v>1047</v>
      </c>
      <c r="CS180" s="128" t="s">
        <v>1048</v>
      </c>
      <c r="CT180" s="128" t="s">
        <v>1049</v>
      </c>
      <c r="CU180" s="128" t="s">
        <v>1050</v>
      </c>
      <c r="CV180" s="128" t="s">
        <v>1051</v>
      </c>
      <c r="CW180" s="128" t="s">
        <v>1052</v>
      </c>
      <c r="CX180" s="128" t="s">
        <v>1053</v>
      </c>
      <c r="CY180" s="128" t="s">
        <v>1054</v>
      </c>
      <c r="CZ180" s="128" t="s">
        <v>1055</v>
      </c>
      <c r="DA180" s="128" t="s">
        <v>1056</v>
      </c>
      <c r="DB180" s="128" t="s">
        <v>1057</v>
      </c>
      <c r="DC180" s="128" t="s">
        <v>1058</v>
      </c>
      <c r="DD180" s="128" t="s">
        <v>1059</v>
      </c>
      <c r="DE180" s="128" t="s">
        <v>1060</v>
      </c>
      <c r="DF180" s="128" t="s">
        <v>1061</v>
      </c>
      <c r="DG180" s="128" t="s">
        <v>1062</v>
      </c>
      <c r="DH180" s="128" t="s">
        <v>1063</v>
      </c>
      <c r="DI180" s="128" t="s">
        <v>1064</v>
      </c>
      <c r="DJ180" s="128" t="s">
        <v>1065</v>
      </c>
      <c r="DK180" s="128" t="s">
        <v>1066</v>
      </c>
      <c r="DL180" s="128" t="s">
        <v>1067</v>
      </c>
      <c r="DM180" s="128" t="s">
        <v>1068</v>
      </c>
      <c r="DN180" s="128" t="s">
        <v>1069</v>
      </c>
      <c r="DO180" s="128" t="s">
        <v>1070</v>
      </c>
      <c r="DP180" s="128" t="s">
        <v>1071</v>
      </c>
      <c r="DQ180" s="128" t="s">
        <v>1072</v>
      </c>
      <c r="DR180" s="128" t="s">
        <v>1073</v>
      </c>
      <c r="DS180" s="133" t="s">
        <v>1074</v>
      </c>
      <c r="DT180" s="128" t="s">
        <v>1075</v>
      </c>
      <c r="DU180" s="128" t="s">
        <v>1076</v>
      </c>
      <c r="DV180" s="128" t="s">
        <v>1077</v>
      </c>
      <c r="DW180" s="128" t="s">
        <v>1078</v>
      </c>
      <c r="DX180" s="128" t="s">
        <v>1079</v>
      </c>
      <c r="DY180" s="128" t="s">
        <v>1080</v>
      </c>
      <c r="DZ180" s="128" t="s">
        <v>1081</v>
      </c>
      <c r="EA180" s="128" t="s">
        <v>1082</v>
      </c>
      <c r="EB180" s="128" t="s">
        <v>1083</v>
      </c>
      <c r="EC180" s="128" t="s">
        <v>1084</v>
      </c>
      <c r="ED180" s="128" t="s">
        <v>1085</v>
      </c>
      <c r="EE180" s="128" t="s">
        <v>1086</v>
      </c>
      <c r="EF180" s="128"/>
      <c r="EG180" s="128" t="s">
        <v>1087</v>
      </c>
      <c r="EH180" s="128" t="s">
        <v>1088</v>
      </c>
      <c r="EI180" s="128" t="s">
        <v>1089</v>
      </c>
      <c r="EJ180" s="128" t="s">
        <v>1090</v>
      </c>
      <c r="EK180" s="128"/>
      <c r="EL180" s="128" t="s">
        <v>1091</v>
      </c>
      <c r="EM180" s="128" t="s">
        <v>1092</v>
      </c>
      <c r="EN180" s="128" t="s">
        <v>1093</v>
      </c>
      <c r="EO180" s="128" t="s">
        <v>1094</v>
      </c>
      <c r="EP180" s="128" t="s">
        <v>1095</v>
      </c>
      <c r="EQ180" s="128" t="s">
        <v>1096</v>
      </c>
      <c r="ER180" s="128" t="s">
        <v>1097</v>
      </c>
      <c r="ES180" s="128" t="s">
        <v>1098</v>
      </c>
      <c r="ET180" s="128" t="s">
        <v>1099</v>
      </c>
      <c r="EU180" s="128" t="s">
        <v>1100</v>
      </c>
      <c r="EV180" s="128" t="s">
        <v>1101</v>
      </c>
      <c r="EW180" s="128" t="s">
        <v>1102</v>
      </c>
      <c r="EX180" s="128" t="s">
        <v>1103</v>
      </c>
      <c r="EY180" s="128" t="s">
        <v>1104</v>
      </c>
      <c r="EZ180" s="128" t="s">
        <v>1105</v>
      </c>
      <c r="FA180" s="128" t="s">
        <v>1106</v>
      </c>
      <c r="FB180" s="128" t="s">
        <v>1107</v>
      </c>
      <c r="FC180" s="128" t="s">
        <v>1108</v>
      </c>
      <c r="FD180" s="128" t="s">
        <v>1109</v>
      </c>
      <c r="FE180" s="128" t="s">
        <v>1110</v>
      </c>
      <c r="FF180" s="128" t="s">
        <v>1111</v>
      </c>
      <c r="FG180" s="128" t="s">
        <v>1112</v>
      </c>
      <c r="FH180" s="128" t="s">
        <v>1113</v>
      </c>
      <c r="FI180" s="128" t="s">
        <v>1114</v>
      </c>
      <c r="FJ180" s="128" t="s">
        <v>1115</v>
      </c>
      <c r="FK180" s="128" t="s">
        <v>1116</v>
      </c>
      <c r="FL180" s="128" t="s">
        <v>1117</v>
      </c>
      <c r="FM180" s="128" t="s">
        <v>1118</v>
      </c>
      <c r="FN180" s="128" t="s">
        <v>1119</v>
      </c>
      <c r="FO180" s="128" t="s">
        <v>1120</v>
      </c>
      <c r="FP180" s="128" t="s">
        <v>1121</v>
      </c>
      <c r="FQ180" s="128" t="s">
        <v>1122</v>
      </c>
      <c r="FR180" s="128" t="s">
        <v>1123</v>
      </c>
      <c r="FS180" s="128" t="s">
        <v>1124</v>
      </c>
    </row>
    <row r="181" spans="37:175" s="8" customFormat="1" x14ac:dyDescent="0.3">
      <c r="BI181" s="128"/>
      <c r="BJ181" s="128"/>
      <c r="BK181" s="128" t="s">
        <v>1125</v>
      </c>
      <c r="BL181" s="128" t="s">
        <v>1126</v>
      </c>
      <c r="BM181" s="128" t="s">
        <v>1127</v>
      </c>
      <c r="BN181" s="128" t="s">
        <v>1128</v>
      </c>
      <c r="BO181" s="128" t="s">
        <v>1129</v>
      </c>
      <c r="BP181" s="128" t="s">
        <v>1130</v>
      </c>
      <c r="BQ181" s="128" t="s">
        <v>1131</v>
      </c>
      <c r="BR181" s="128" t="s">
        <v>1132</v>
      </c>
      <c r="BS181" s="128" t="s">
        <v>1133</v>
      </c>
      <c r="BT181" s="128" t="s">
        <v>1134</v>
      </c>
      <c r="BU181" s="128" t="s">
        <v>1135</v>
      </c>
      <c r="BV181" s="128" t="s">
        <v>1136</v>
      </c>
      <c r="BW181" s="128" t="s">
        <v>1137</v>
      </c>
      <c r="BX181" s="128" t="s">
        <v>1138</v>
      </c>
      <c r="BY181" s="128" t="s">
        <v>1139</v>
      </c>
      <c r="BZ181" s="128" t="s">
        <v>1140</v>
      </c>
      <c r="CA181" s="128"/>
      <c r="CB181" s="128" t="s">
        <v>1141</v>
      </c>
      <c r="CC181" s="128" t="s">
        <v>1142</v>
      </c>
      <c r="CD181" s="128" t="s">
        <v>1143</v>
      </c>
      <c r="CE181" s="128" t="s">
        <v>1144</v>
      </c>
      <c r="CF181" s="128" t="s">
        <v>1145</v>
      </c>
      <c r="CG181" s="128" t="s">
        <v>1146</v>
      </c>
      <c r="CH181" s="128"/>
      <c r="CI181" s="128"/>
      <c r="CJ181" s="128" t="s">
        <v>1147</v>
      </c>
      <c r="CK181" s="128" t="s">
        <v>1148</v>
      </c>
      <c r="CL181" s="128" t="s">
        <v>1149</v>
      </c>
      <c r="CM181" s="128" t="s">
        <v>1150</v>
      </c>
      <c r="CN181" s="128" t="s">
        <v>1151</v>
      </c>
      <c r="CO181" s="128" t="s">
        <v>1152</v>
      </c>
      <c r="CP181" s="128" t="s">
        <v>1153</v>
      </c>
      <c r="CQ181" s="128" t="s">
        <v>1154</v>
      </c>
      <c r="CR181" s="128" t="s">
        <v>1155</v>
      </c>
      <c r="CS181" s="128" t="s">
        <v>1156</v>
      </c>
      <c r="CT181" s="128"/>
      <c r="CU181" s="128" t="s">
        <v>1157</v>
      </c>
      <c r="CV181" s="128" t="s">
        <v>1158</v>
      </c>
      <c r="CW181" s="128" t="s">
        <v>1159</v>
      </c>
      <c r="CX181" s="128" t="s">
        <v>1160</v>
      </c>
      <c r="CY181" s="128"/>
      <c r="CZ181" s="128" t="s">
        <v>1161</v>
      </c>
      <c r="DA181" s="128"/>
      <c r="DB181" s="128" t="s">
        <v>1162</v>
      </c>
      <c r="DC181" s="128"/>
      <c r="DD181" s="128"/>
      <c r="DE181" s="128" t="s">
        <v>1163</v>
      </c>
      <c r="DF181" s="128" t="s">
        <v>1164</v>
      </c>
      <c r="DG181" s="128" t="s">
        <v>1165</v>
      </c>
      <c r="DH181" s="128" t="s">
        <v>1166</v>
      </c>
      <c r="DI181" s="128" t="s">
        <v>1167</v>
      </c>
      <c r="DJ181" s="128" t="s">
        <v>1168</v>
      </c>
      <c r="DK181" s="128" t="s">
        <v>1169</v>
      </c>
      <c r="DL181" s="128" t="s">
        <v>1170</v>
      </c>
      <c r="DM181" s="128" t="s">
        <v>1171</v>
      </c>
      <c r="DN181" s="128" t="s">
        <v>1172</v>
      </c>
      <c r="DO181" s="128" t="s">
        <v>1173</v>
      </c>
      <c r="DP181" s="128" t="s">
        <v>1174</v>
      </c>
      <c r="DQ181" s="128" t="s">
        <v>1175</v>
      </c>
      <c r="DR181" s="128" t="s">
        <v>1176</v>
      </c>
      <c r="DS181" s="133" t="s">
        <v>1177</v>
      </c>
      <c r="DT181" s="128" t="s">
        <v>1178</v>
      </c>
      <c r="DU181" s="128" t="s">
        <v>1179</v>
      </c>
      <c r="DV181" s="128" t="s">
        <v>1180</v>
      </c>
      <c r="DW181" s="128" t="s">
        <v>1181</v>
      </c>
      <c r="DX181" s="128" t="s">
        <v>1182</v>
      </c>
      <c r="DY181" s="128" t="s">
        <v>1183</v>
      </c>
      <c r="DZ181" s="128" t="s">
        <v>1184</v>
      </c>
      <c r="EA181" s="128" t="s">
        <v>1185</v>
      </c>
      <c r="EB181" s="128" t="s">
        <v>1186</v>
      </c>
      <c r="EC181" s="128" t="s">
        <v>1187</v>
      </c>
      <c r="ED181" s="128" t="s">
        <v>1188</v>
      </c>
      <c r="EE181" s="128" t="s">
        <v>1189</v>
      </c>
      <c r="EF181" s="128"/>
      <c r="EG181" s="128"/>
      <c r="EH181" s="128" t="s">
        <v>1190</v>
      </c>
      <c r="EI181" s="128" t="s">
        <v>1191</v>
      </c>
      <c r="EJ181" s="128" t="s">
        <v>1192</v>
      </c>
      <c r="EK181" s="128"/>
      <c r="EL181" s="128"/>
      <c r="EM181" s="128" t="s">
        <v>1193</v>
      </c>
      <c r="EN181" s="128" t="s">
        <v>1194</v>
      </c>
      <c r="EO181" s="128" t="s">
        <v>1195</v>
      </c>
      <c r="EP181" s="128" t="s">
        <v>1196</v>
      </c>
      <c r="EQ181" s="128" t="s">
        <v>1197</v>
      </c>
      <c r="ER181" s="128" t="s">
        <v>1198</v>
      </c>
      <c r="ES181" s="128" t="s">
        <v>1199</v>
      </c>
      <c r="ET181" s="128" t="s">
        <v>1200</v>
      </c>
      <c r="EU181" s="128"/>
      <c r="EV181" s="128" t="s">
        <v>1201</v>
      </c>
      <c r="EW181" s="128"/>
      <c r="EX181" s="128" t="s">
        <v>1202</v>
      </c>
      <c r="EY181" s="128"/>
      <c r="EZ181" s="128" t="s">
        <v>1203</v>
      </c>
      <c r="FA181" s="128" t="s">
        <v>1204</v>
      </c>
      <c r="FB181" s="128"/>
      <c r="FC181" s="128"/>
      <c r="FD181" s="128" t="s">
        <v>1205</v>
      </c>
      <c r="FE181" s="128" t="s">
        <v>1206</v>
      </c>
      <c r="FF181" s="128" t="s">
        <v>1207</v>
      </c>
      <c r="FG181" s="128" t="s">
        <v>1208</v>
      </c>
      <c r="FH181" s="128" t="s">
        <v>1209</v>
      </c>
      <c r="FI181" s="128" t="s">
        <v>1210</v>
      </c>
      <c r="FJ181" s="128" t="s">
        <v>1211</v>
      </c>
      <c r="FK181" s="128" t="s">
        <v>1212</v>
      </c>
      <c r="FL181" s="128"/>
      <c r="FM181" s="128" t="s">
        <v>1213</v>
      </c>
      <c r="FN181" s="128" t="s">
        <v>1214</v>
      </c>
      <c r="FO181" s="128" t="s">
        <v>1215</v>
      </c>
      <c r="FP181" s="128" t="s">
        <v>1216</v>
      </c>
      <c r="FQ181" s="128" t="s">
        <v>1217</v>
      </c>
      <c r="FR181" s="128" t="s">
        <v>1218</v>
      </c>
      <c r="FS181" s="128" t="s">
        <v>1219</v>
      </c>
    </row>
    <row r="182" spans="37:175" s="8" customFormat="1" x14ac:dyDescent="0.3">
      <c r="BI182" s="128"/>
      <c r="BJ182" s="128"/>
      <c r="BK182" s="128"/>
      <c r="BL182" s="128" t="s">
        <v>1220</v>
      </c>
      <c r="BM182" s="128" t="s">
        <v>1221</v>
      </c>
      <c r="BN182" s="128" t="s">
        <v>1222</v>
      </c>
      <c r="BO182" s="128" t="s">
        <v>1223</v>
      </c>
      <c r="BP182" s="128" t="s">
        <v>1224</v>
      </c>
      <c r="BQ182" s="128" t="s">
        <v>1225</v>
      </c>
      <c r="BR182" s="128" t="s">
        <v>1226</v>
      </c>
      <c r="BS182" s="128" t="s">
        <v>1227</v>
      </c>
      <c r="BT182" s="128" t="s">
        <v>1228</v>
      </c>
      <c r="BU182" s="128" t="s">
        <v>1229</v>
      </c>
      <c r="BV182" s="128" t="s">
        <v>1230</v>
      </c>
      <c r="BW182" s="128" t="s">
        <v>1231</v>
      </c>
      <c r="BX182" s="128" t="s">
        <v>1232</v>
      </c>
      <c r="BY182" s="128" t="s">
        <v>1233</v>
      </c>
      <c r="BZ182" s="128" t="s">
        <v>1234</v>
      </c>
      <c r="CA182" s="128"/>
      <c r="CB182" s="128" t="s">
        <v>1235</v>
      </c>
      <c r="CC182" s="128" t="s">
        <v>1236</v>
      </c>
      <c r="CD182" s="128" t="s">
        <v>1237</v>
      </c>
      <c r="CE182" s="128" t="s">
        <v>1238</v>
      </c>
      <c r="CF182" s="128" t="s">
        <v>1239</v>
      </c>
      <c r="CG182" s="128" t="s">
        <v>1240</v>
      </c>
      <c r="CH182" s="128"/>
      <c r="CI182" s="128"/>
      <c r="CJ182" s="128" t="s">
        <v>1241</v>
      </c>
      <c r="CK182" s="128" t="s">
        <v>1242</v>
      </c>
      <c r="CL182" s="128" t="s">
        <v>1243</v>
      </c>
      <c r="CM182" s="128" t="s">
        <v>1244</v>
      </c>
      <c r="CN182" s="128" t="s">
        <v>1245</v>
      </c>
      <c r="CO182" s="128" t="s">
        <v>1246</v>
      </c>
      <c r="CP182" s="128" t="s">
        <v>1247</v>
      </c>
      <c r="CQ182" s="128" t="s">
        <v>1248</v>
      </c>
      <c r="CR182" s="128" t="s">
        <v>1249</v>
      </c>
      <c r="CS182" s="128" t="s">
        <v>1250</v>
      </c>
      <c r="CT182" s="128"/>
      <c r="CU182" s="128" t="s">
        <v>1251</v>
      </c>
      <c r="CV182" s="128" t="s">
        <v>1252</v>
      </c>
      <c r="CW182" s="128"/>
      <c r="CX182" s="128"/>
      <c r="CY182" s="128"/>
      <c r="CZ182" s="128"/>
      <c r="DA182" s="128"/>
      <c r="DB182" s="128"/>
      <c r="DC182" s="128"/>
      <c r="DD182" s="128"/>
      <c r="DE182" s="128" t="s">
        <v>1253</v>
      </c>
      <c r="DF182" s="128" t="s">
        <v>1254</v>
      </c>
      <c r="DG182" s="128" t="s">
        <v>1255</v>
      </c>
      <c r="DH182" s="128" t="s">
        <v>1256</v>
      </c>
      <c r="DI182" s="128"/>
      <c r="DJ182" s="128" t="s">
        <v>1257</v>
      </c>
      <c r="DK182" s="128"/>
      <c r="DL182" s="128" t="s">
        <v>1258</v>
      </c>
      <c r="DM182" s="128" t="s">
        <v>1259</v>
      </c>
      <c r="DN182" s="128" t="s">
        <v>1260</v>
      </c>
      <c r="DO182" s="128" t="s">
        <v>1261</v>
      </c>
      <c r="DP182" s="128" t="s">
        <v>1262</v>
      </c>
      <c r="DQ182" s="128" t="s">
        <v>1263</v>
      </c>
      <c r="DR182" s="128" t="s">
        <v>1264</v>
      </c>
      <c r="DS182" s="133" t="s">
        <v>1265</v>
      </c>
      <c r="DT182" s="128" t="s">
        <v>1266</v>
      </c>
      <c r="DU182" s="128" t="s">
        <v>1267</v>
      </c>
      <c r="DV182" s="128" t="s">
        <v>1268</v>
      </c>
      <c r="DW182" s="128" t="s">
        <v>1269</v>
      </c>
      <c r="DX182" s="128" t="s">
        <v>1270</v>
      </c>
      <c r="DY182" s="128" t="s">
        <v>1271</v>
      </c>
      <c r="DZ182" s="128" t="s">
        <v>1272</v>
      </c>
      <c r="EA182" s="128" t="s">
        <v>1273</v>
      </c>
      <c r="EB182" s="128" t="s">
        <v>1274</v>
      </c>
      <c r="EC182" s="128" t="s">
        <v>1275</v>
      </c>
      <c r="ED182" s="128"/>
      <c r="EE182" s="128"/>
      <c r="EF182" s="128"/>
      <c r="EG182" s="128"/>
      <c r="EH182" s="128" t="s">
        <v>1276</v>
      </c>
      <c r="EI182" s="128" t="s">
        <v>1277</v>
      </c>
      <c r="EJ182" s="128" t="s">
        <v>1278</v>
      </c>
      <c r="EK182" s="128"/>
      <c r="EL182" s="128"/>
      <c r="EM182" s="128" t="s">
        <v>1279</v>
      </c>
      <c r="EN182" s="128" t="s">
        <v>1280</v>
      </c>
      <c r="EO182" s="128"/>
      <c r="EP182" s="128" t="s">
        <v>1281</v>
      </c>
      <c r="EQ182" s="128" t="s">
        <v>1282</v>
      </c>
      <c r="ER182" s="128"/>
      <c r="ES182" s="128"/>
      <c r="ET182" s="128" t="s">
        <v>1283</v>
      </c>
      <c r="EU182" s="128"/>
      <c r="EV182" s="128"/>
      <c r="EW182" s="128"/>
      <c r="EX182" s="128" t="s">
        <v>1284</v>
      </c>
      <c r="EY182" s="128"/>
      <c r="EZ182" s="128" t="s">
        <v>1285</v>
      </c>
      <c r="FA182" s="128" t="s">
        <v>1286</v>
      </c>
      <c r="FB182" s="128"/>
      <c r="FC182" s="128"/>
      <c r="FD182" s="128" t="s">
        <v>1287</v>
      </c>
      <c r="FE182" s="128" t="s">
        <v>1288</v>
      </c>
      <c r="FF182" s="128" t="s">
        <v>1289</v>
      </c>
      <c r="FG182" s="128"/>
      <c r="FH182" s="128" t="s">
        <v>1290</v>
      </c>
      <c r="FI182" s="128" t="s">
        <v>1291</v>
      </c>
      <c r="FJ182" s="128" t="s">
        <v>1292</v>
      </c>
      <c r="FK182" s="128" t="s">
        <v>1293</v>
      </c>
      <c r="FL182" s="128"/>
      <c r="FM182" s="128"/>
      <c r="FN182" s="128" t="s">
        <v>1294</v>
      </c>
      <c r="FO182" s="128" t="s">
        <v>1295</v>
      </c>
      <c r="FP182" s="128"/>
      <c r="FQ182" s="128" t="s">
        <v>1296</v>
      </c>
      <c r="FR182" s="128" t="s">
        <v>1297</v>
      </c>
      <c r="FS182" s="128" t="s">
        <v>1298</v>
      </c>
    </row>
    <row r="183" spans="37:175" s="8" customFormat="1" x14ac:dyDescent="0.3">
      <c r="BI183" s="128"/>
      <c r="BJ183" s="128"/>
      <c r="BK183" s="128"/>
      <c r="BL183" s="128" t="s">
        <v>1299</v>
      </c>
      <c r="BM183" s="128" t="s">
        <v>1300</v>
      </c>
      <c r="BN183" s="128" t="s">
        <v>1301</v>
      </c>
      <c r="BO183" s="128" t="s">
        <v>1302</v>
      </c>
      <c r="BP183" s="128" t="s">
        <v>1303</v>
      </c>
      <c r="BQ183" s="128" t="s">
        <v>1304</v>
      </c>
      <c r="BR183" s="128" t="s">
        <v>1305</v>
      </c>
      <c r="BS183" s="128"/>
      <c r="BT183" s="128"/>
      <c r="BU183" s="128" t="s">
        <v>1306</v>
      </c>
      <c r="BV183" s="128"/>
      <c r="BW183" s="128" t="s">
        <v>1307</v>
      </c>
      <c r="BX183" s="128" t="s">
        <v>1308</v>
      </c>
      <c r="BY183" s="128" t="s">
        <v>1309</v>
      </c>
      <c r="BZ183" s="128"/>
      <c r="CA183" s="128"/>
      <c r="CB183" s="128" t="s">
        <v>1310</v>
      </c>
      <c r="CC183" s="128" t="s">
        <v>1311</v>
      </c>
      <c r="CD183" s="128" t="s">
        <v>1312</v>
      </c>
      <c r="CE183" s="128"/>
      <c r="CF183" s="128" t="s">
        <v>1313</v>
      </c>
      <c r="CG183" s="128" t="s">
        <v>1314</v>
      </c>
      <c r="CH183" s="128"/>
      <c r="CI183" s="128"/>
      <c r="CJ183" s="128" t="s">
        <v>1315</v>
      </c>
      <c r="CK183" s="128" t="s">
        <v>1316</v>
      </c>
      <c r="CL183" s="128" t="s">
        <v>1317</v>
      </c>
      <c r="CM183" s="128" t="s">
        <v>1318</v>
      </c>
      <c r="CN183" s="128" t="s">
        <v>1319</v>
      </c>
      <c r="CO183" s="128" t="s">
        <v>1320</v>
      </c>
      <c r="CP183" s="128" t="s">
        <v>1321</v>
      </c>
      <c r="CQ183" s="128" t="s">
        <v>1322</v>
      </c>
      <c r="CR183" s="128"/>
      <c r="CS183" s="128" t="s">
        <v>1323</v>
      </c>
      <c r="CT183" s="128"/>
      <c r="CU183" s="128" t="s">
        <v>1324</v>
      </c>
      <c r="CV183" s="128"/>
      <c r="CW183" s="128"/>
      <c r="CX183" s="128"/>
      <c r="CY183" s="128"/>
      <c r="CZ183" s="128"/>
      <c r="DA183" s="128"/>
      <c r="DB183" s="128"/>
      <c r="DC183" s="128"/>
      <c r="DD183" s="128"/>
      <c r="DE183" s="128"/>
      <c r="DF183" s="128" t="s">
        <v>1325</v>
      </c>
      <c r="DG183" s="128" t="s">
        <v>1326</v>
      </c>
      <c r="DH183" s="128"/>
      <c r="DI183" s="128"/>
      <c r="DJ183" s="128" t="s">
        <v>1327</v>
      </c>
      <c r="DK183" s="128"/>
      <c r="DL183" s="128" t="s">
        <v>1328</v>
      </c>
      <c r="DM183" s="128" t="s">
        <v>1329</v>
      </c>
      <c r="DN183" s="128" t="s">
        <v>1330</v>
      </c>
      <c r="DO183" s="128" t="s">
        <v>1331</v>
      </c>
      <c r="DP183" s="128" t="s">
        <v>1332</v>
      </c>
      <c r="DQ183" s="128" t="s">
        <v>1333</v>
      </c>
      <c r="DR183" s="128" t="s">
        <v>1334</v>
      </c>
      <c r="DS183" s="133" t="s">
        <v>1335</v>
      </c>
      <c r="DT183" s="128" t="s">
        <v>1336</v>
      </c>
      <c r="DU183" s="128" t="s">
        <v>1337</v>
      </c>
      <c r="DV183" s="128"/>
      <c r="DW183" s="128" t="s">
        <v>1338</v>
      </c>
      <c r="DX183" s="128" t="s">
        <v>1339</v>
      </c>
      <c r="DY183" s="128" t="s">
        <v>1340</v>
      </c>
      <c r="DZ183" s="128" t="s">
        <v>1341</v>
      </c>
      <c r="EA183" s="128"/>
      <c r="EB183" s="128" t="s">
        <v>1342</v>
      </c>
      <c r="EC183" s="128"/>
      <c r="ED183" s="128"/>
      <c r="EE183" s="128"/>
      <c r="EF183" s="128"/>
      <c r="EG183" s="128"/>
      <c r="EH183" s="128" t="s">
        <v>1343</v>
      </c>
      <c r="EI183" s="128"/>
      <c r="EJ183" s="128" t="s">
        <v>1344</v>
      </c>
      <c r="EK183" s="128"/>
      <c r="EL183" s="128"/>
      <c r="EM183" s="128" t="s">
        <v>1345</v>
      </c>
      <c r="EN183" s="128"/>
      <c r="EO183" s="128"/>
      <c r="EP183" s="128"/>
      <c r="EQ183" s="128" t="s">
        <v>1346</v>
      </c>
      <c r="ER183" s="128"/>
      <c r="ES183" s="128"/>
      <c r="ET183" s="128"/>
      <c r="EU183" s="128"/>
      <c r="EV183" s="128"/>
      <c r="EW183" s="128"/>
      <c r="EX183" s="128" t="s">
        <v>1347</v>
      </c>
      <c r="EY183" s="128"/>
      <c r="EZ183" s="128"/>
      <c r="FA183" s="128" t="s">
        <v>1348</v>
      </c>
      <c r="FB183" s="128"/>
      <c r="FC183" s="128"/>
      <c r="FD183" s="128" t="s">
        <v>1349</v>
      </c>
      <c r="FE183" s="128" t="s">
        <v>1350</v>
      </c>
      <c r="FF183" s="128" t="s">
        <v>1351</v>
      </c>
      <c r="FG183" s="128"/>
      <c r="FH183" s="128"/>
      <c r="FI183" s="128" t="s">
        <v>1352</v>
      </c>
      <c r="FJ183" s="128" t="s">
        <v>1353</v>
      </c>
      <c r="FK183" s="128" t="s">
        <v>1354</v>
      </c>
      <c r="FL183" s="128"/>
      <c r="FM183" s="128"/>
      <c r="FN183" s="128"/>
      <c r="FO183" s="128" t="s">
        <v>1355</v>
      </c>
      <c r="FP183" s="128"/>
      <c r="FQ183" s="128" t="s">
        <v>1356</v>
      </c>
      <c r="FR183" s="128" t="s">
        <v>1357</v>
      </c>
      <c r="FS183" s="128" t="s">
        <v>1358</v>
      </c>
    </row>
    <row r="184" spans="37:175" s="8" customFormat="1" x14ac:dyDescent="0.3">
      <c r="BI184" s="128"/>
      <c r="BJ184" s="128"/>
      <c r="BK184" s="128"/>
      <c r="BL184" s="128" t="s">
        <v>1359</v>
      </c>
      <c r="BM184" s="128" t="s">
        <v>1360</v>
      </c>
      <c r="BN184" s="128" t="s">
        <v>1361</v>
      </c>
      <c r="BO184" s="128"/>
      <c r="BP184" s="128" t="s">
        <v>1362</v>
      </c>
      <c r="BQ184" s="128"/>
      <c r="BR184" s="128"/>
      <c r="BS184" s="128"/>
      <c r="BT184" s="128"/>
      <c r="BU184" s="128" t="s">
        <v>1363</v>
      </c>
      <c r="BV184" s="128"/>
      <c r="BW184" s="128"/>
      <c r="BX184" s="128"/>
      <c r="BY184" s="128" t="s">
        <v>1364</v>
      </c>
      <c r="BZ184" s="128"/>
      <c r="CA184" s="128"/>
      <c r="CB184" s="128" t="s">
        <v>1365</v>
      </c>
      <c r="CC184" s="128" t="s">
        <v>1366</v>
      </c>
      <c r="CD184" s="128" t="s">
        <v>1367</v>
      </c>
      <c r="CE184" s="128"/>
      <c r="CF184" s="128" t="s">
        <v>1368</v>
      </c>
      <c r="CG184" s="128" t="s">
        <v>1369</v>
      </c>
      <c r="CH184" s="128"/>
      <c r="CI184" s="128"/>
      <c r="CJ184" s="128" t="s">
        <v>1370</v>
      </c>
      <c r="CK184" s="128" t="s">
        <v>1371</v>
      </c>
      <c r="CL184" s="128" t="s">
        <v>1372</v>
      </c>
      <c r="CM184" s="128" t="s">
        <v>1373</v>
      </c>
      <c r="CN184" s="128" t="s">
        <v>1374</v>
      </c>
      <c r="CO184" s="128"/>
      <c r="CP184" s="128"/>
      <c r="CQ184" s="128" t="s">
        <v>1375</v>
      </c>
      <c r="CR184" s="128"/>
      <c r="CS184" s="128" t="s">
        <v>1376</v>
      </c>
      <c r="CT184" s="128"/>
      <c r="CU184" s="128" t="s">
        <v>1377</v>
      </c>
      <c r="CV184" s="128"/>
      <c r="CW184" s="128"/>
      <c r="CX184" s="128"/>
      <c r="CY184" s="128"/>
      <c r="CZ184" s="128"/>
      <c r="DA184" s="128"/>
      <c r="DB184" s="128"/>
      <c r="DC184" s="128"/>
      <c r="DD184" s="128"/>
      <c r="DE184" s="128"/>
      <c r="DF184" s="128" t="s">
        <v>1378</v>
      </c>
      <c r="DG184" s="128" t="s">
        <v>1379</v>
      </c>
      <c r="DH184" s="128"/>
      <c r="DI184" s="128"/>
      <c r="DJ184" s="128" t="s">
        <v>1380</v>
      </c>
      <c r="DK184" s="128"/>
      <c r="DL184" s="128" t="s">
        <v>1381</v>
      </c>
      <c r="DM184" s="128" t="s">
        <v>1382</v>
      </c>
      <c r="DN184" s="128"/>
      <c r="DO184" s="128" t="s">
        <v>1383</v>
      </c>
      <c r="DP184" s="128" t="s">
        <v>1384</v>
      </c>
      <c r="DQ184" s="128" t="s">
        <v>1385</v>
      </c>
      <c r="DR184" s="128" t="s">
        <v>1386</v>
      </c>
      <c r="DS184" s="133" t="s">
        <v>1387</v>
      </c>
      <c r="DT184" s="128" t="s">
        <v>1388</v>
      </c>
      <c r="DU184" s="128" t="s">
        <v>1389</v>
      </c>
      <c r="DV184" s="128"/>
      <c r="DW184" s="128" t="s">
        <v>1390</v>
      </c>
      <c r="DX184" s="128" t="s">
        <v>1391</v>
      </c>
      <c r="DY184" s="128" t="s">
        <v>1392</v>
      </c>
      <c r="DZ184" s="128"/>
      <c r="EA184" s="128"/>
      <c r="EB184" s="128"/>
      <c r="EC184" s="128"/>
      <c r="ED184" s="128"/>
      <c r="EE184" s="128"/>
      <c r="EF184" s="128"/>
      <c r="EG184" s="128"/>
      <c r="EH184" s="128"/>
      <c r="EI184" s="128"/>
      <c r="EJ184" s="128" t="s">
        <v>1393</v>
      </c>
      <c r="EK184" s="128"/>
      <c r="EL184" s="128"/>
      <c r="EM184" s="128" t="s">
        <v>1394</v>
      </c>
      <c r="EN184" s="128"/>
      <c r="EO184" s="128"/>
      <c r="EP184" s="128"/>
      <c r="EQ184" s="128" t="s">
        <v>1395</v>
      </c>
      <c r="ER184" s="128"/>
      <c r="ES184" s="128"/>
      <c r="ET184" s="128"/>
      <c r="EU184" s="128"/>
      <c r="EV184" s="128"/>
      <c r="EW184" s="128"/>
      <c r="EX184" s="128"/>
      <c r="EY184" s="128"/>
      <c r="EZ184" s="128"/>
      <c r="FA184" s="128"/>
      <c r="FB184" s="128"/>
      <c r="FC184" s="128"/>
      <c r="FD184" s="128" t="s">
        <v>1396</v>
      </c>
      <c r="FE184" s="128"/>
      <c r="FF184" s="128" t="s">
        <v>1397</v>
      </c>
      <c r="FG184" s="128"/>
      <c r="FH184" s="128"/>
      <c r="FI184" s="128" t="s">
        <v>1398</v>
      </c>
      <c r="FJ184" s="128"/>
      <c r="FK184" s="128"/>
      <c r="FL184" s="128"/>
      <c r="FM184" s="128"/>
      <c r="FN184" s="128"/>
      <c r="FO184" s="128" t="s">
        <v>1399</v>
      </c>
      <c r="FP184" s="128"/>
      <c r="FQ184" s="128"/>
      <c r="FR184" s="128" t="s">
        <v>1400</v>
      </c>
      <c r="FS184" s="128" t="s">
        <v>1401</v>
      </c>
    </row>
    <row r="185" spans="37:175" s="8" customFormat="1" x14ac:dyDescent="0.3">
      <c r="BI185" s="128"/>
      <c r="BJ185" s="128"/>
      <c r="BK185" s="128"/>
      <c r="BL185" s="128" t="s">
        <v>1402</v>
      </c>
      <c r="BM185" s="128"/>
      <c r="BN185" s="128" t="s">
        <v>1403</v>
      </c>
      <c r="BO185" s="128"/>
      <c r="BP185" s="128" t="s">
        <v>1404</v>
      </c>
      <c r="BQ185" s="128"/>
      <c r="BR185" s="128"/>
      <c r="BS185" s="128"/>
      <c r="BT185" s="128"/>
      <c r="BU185" s="128" t="s">
        <v>1405</v>
      </c>
      <c r="BV185" s="128"/>
      <c r="BW185" s="128"/>
      <c r="BX185" s="128"/>
      <c r="BY185" s="128"/>
      <c r="BZ185" s="128"/>
      <c r="CA185" s="128"/>
      <c r="CB185" s="128" t="s">
        <v>1406</v>
      </c>
      <c r="CC185" s="128" t="s">
        <v>1407</v>
      </c>
      <c r="CD185" s="128" t="s">
        <v>1408</v>
      </c>
      <c r="CE185" s="128"/>
      <c r="CF185" s="128" t="s">
        <v>1409</v>
      </c>
      <c r="CG185" s="128" t="s">
        <v>1410</v>
      </c>
      <c r="CH185" s="128"/>
      <c r="CI185" s="128"/>
      <c r="CJ185" s="128" t="s">
        <v>1411</v>
      </c>
      <c r="CK185" s="128" t="s">
        <v>1412</v>
      </c>
      <c r="CL185" s="128" t="s">
        <v>1413</v>
      </c>
      <c r="CM185" s="128"/>
      <c r="CN185" s="128" t="s">
        <v>1414</v>
      </c>
      <c r="CO185" s="128"/>
      <c r="CP185" s="128"/>
      <c r="CQ185" s="128" t="s">
        <v>1415</v>
      </c>
      <c r="CR185" s="128"/>
      <c r="CS185" s="128" t="s">
        <v>1416</v>
      </c>
      <c r="CT185" s="128"/>
      <c r="CU185" s="128" t="s">
        <v>1417</v>
      </c>
      <c r="CV185" s="128"/>
      <c r="CW185" s="128"/>
      <c r="CX185" s="128"/>
      <c r="CY185" s="128"/>
      <c r="CZ185" s="128"/>
      <c r="DA185" s="128"/>
      <c r="DB185" s="128"/>
      <c r="DC185" s="128"/>
      <c r="DD185" s="128"/>
      <c r="DE185" s="128"/>
      <c r="DF185" s="128" t="s">
        <v>1418</v>
      </c>
      <c r="DG185" s="128" t="s">
        <v>1419</v>
      </c>
      <c r="DH185" s="128"/>
      <c r="DI185" s="128"/>
      <c r="DJ185" s="128" t="s">
        <v>1420</v>
      </c>
      <c r="DK185" s="128"/>
      <c r="DL185" s="128" t="s">
        <v>1421</v>
      </c>
      <c r="DM185" s="128" t="s">
        <v>1422</v>
      </c>
      <c r="DN185" s="128"/>
      <c r="DO185" s="128" t="s">
        <v>1423</v>
      </c>
      <c r="DP185" s="128" t="s">
        <v>1424</v>
      </c>
      <c r="DQ185" s="128" t="s">
        <v>1425</v>
      </c>
      <c r="DR185" s="128" t="s">
        <v>1426</v>
      </c>
      <c r="DS185" s="133" t="s">
        <v>1427</v>
      </c>
      <c r="DT185" s="128" t="s">
        <v>1428</v>
      </c>
      <c r="DU185" s="128" t="s">
        <v>1429</v>
      </c>
      <c r="DV185" s="128"/>
      <c r="DW185" s="128" t="s">
        <v>1430</v>
      </c>
      <c r="DX185" s="128" t="s">
        <v>1431</v>
      </c>
      <c r="DY185" s="128" t="s">
        <v>1432</v>
      </c>
      <c r="DZ185" s="128"/>
      <c r="EA185" s="128"/>
      <c r="EB185" s="128"/>
      <c r="EC185" s="128"/>
      <c r="ED185" s="128"/>
      <c r="EE185" s="128"/>
      <c r="EF185" s="128"/>
      <c r="EG185" s="128"/>
      <c r="EH185" s="128"/>
      <c r="EI185" s="128"/>
      <c r="EJ185" s="128" t="s">
        <v>1433</v>
      </c>
      <c r="EK185" s="128"/>
      <c r="EL185" s="128"/>
      <c r="EM185" s="128" t="s">
        <v>1434</v>
      </c>
      <c r="EN185" s="128"/>
      <c r="EO185" s="128"/>
      <c r="EP185" s="128"/>
      <c r="EQ185" s="128" t="s">
        <v>1435</v>
      </c>
      <c r="ER185" s="128"/>
      <c r="ES185" s="128"/>
      <c r="ET185" s="128"/>
      <c r="EU185" s="128"/>
      <c r="EV185" s="128"/>
      <c r="EW185" s="128"/>
      <c r="EX185" s="128"/>
      <c r="EY185" s="128"/>
      <c r="EZ185" s="128"/>
      <c r="FA185" s="128"/>
      <c r="FB185" s="128"/>
      <c r="FC185" s="128"/>
      <c r="FD185" s="128"/>
      <c r="FE185" s="128"/>
      <c r="FF185" s="128" t="s">
        <v>1436</v>
      </c>
      <c r="FG185" s="128"/>
      <c r="FH185" s="128"/>
      <c r="FI185" s="128" t="s">
        <v>1437</v>
      </c>
      <c r="FJ185" s="128"/>
      <c r="FK185" s="128"/>
      <c r="FL185" s="128"/>
      <c r="FM185" s="128"/>
      <c r="FN185" s="128"/>
      <c r="FO185" s="128" t="s">
        <v>1438</v>
      </c>
      <c r="FP185" s="128"/>
      <c r="FQ185" s="128"/>
      <c r="FR185" s="128" t="s">
        <v>1439</v>
      </c>
      <c r="FS185" s="128"/>
    </row>
    <row r="186" spans="37:175" s="8" customFormat="1" x14ac:dyDescent="0.3">
      <c r="BI186" s="128"/>
      <c r="BJ186" s="128"/>
      <c r="BK186" s="128"/>
      <c r="BL186" s="128" t="s">
        <v>1440</v>
      </c>
      <c r="BM186" s="128"/>
      <c r="BN186" s="128"/>
      <c r="BO186" s="128"/>
      <c r="BP186" s="128"/>
      <c r="BQ186" s="128"/>
      <c r="BR186" s="128"/>
      <c r="BS186" s="128"/>
      <c r="BT186" s="128"/>
      <c r="BU186" s="128"/>
      <c r="BV186" s="128"/>
      <c r="BW186" s="128"/>
      <c r="BX186" s="128"/>
      <c r="BY186" s="128"/>
      <c r="BZ186" s="128"/>
      <c r="CA186" s="128"/>
      <c r="CB186" s="128" t="s">
        <v>1441</v>
      </c>
      <c r="CC186" s="128" t="s">
        <v>1442</v>
      </c>
      <c r="CD186" s="128" t="s">
        <v>1443</v>
      </c>
      <c r="CE186" s="128"/>
      <c r="CF186" s="128" t="s">
        <v>1444</v>
      </c>
      <c r="CG186" s="128" t="s">
        <v>1445</v>
      </c>
      <c r="CH186" s="128"/>
      <c r="CI186" s="128"/>
      <c r="CJ186" s="128" t="s">
        <v>1446</v>
      </c>
      <c r="CK186" s="128" t="s">
        <v>1447</v>
      </c>
      <c r="CL186" s="128" t="s">
        <v>1448</v>
      </c>
      <c r="CM186" s="128"/>
      <c r="CN186" s="128" t="s">
        <v>1449</v>
      </c>
      <c r="CO186" s="128"/>
      <c r="CP186" s="128"/>
      <c r="CQ186" s="128" t="s">
        <v>1450</v>
      </c>
      <c r="CR186" s="128"/>
      <c r="CS186" s="128" t="s">
        <v>1451</v>
      </c>
      <c r="CT186" s="128"/>
      <c r="CU186" s="128" t="s">
        <v>1452</v>
      </c>
      <c r="CV186" s="128"/>
      <c r="CW186" s="128"/>
      <c r="CX186" s="128"/>
      <c r="CY186" s="128"/>
      <c r="CZ186" s="128"/>
      <c r="DA186" s="128"/>
      <c r="DB186" s="128"/>
      <c r="DC186" s="128"/>
      <c r="DD186" s="128"/>
      <c r="DE186" s="128"/>
      <c r="DF186" s="128" t="s">
        <v>1453</v>
      </c>
      <c r="DG186" s="128" t="s">
        <v>1454</v>
      </c>
      <c r="DH186" s="128"/>
      <c r="DI186" s="128"/>
      <c r="DJ186" s="128"/>
      <c r="DK186" s="128"/>
      <c r="DL186" s="128"/>
      <c r="DM186" s="128" t="s">
        <v>1455</v>
      </c>
      <c r="DN186" s="128"/>
      <c r="DO186" s="128"/>
      <c r="DQ186" s="128" t="s">
        <v>1456</v>
      </c>
      <c r="DR186" s="128" t="s">
        <v>1457</v>
      </c>
      <c r="DS186" s="133" t="s">
        <v>1458</v>
      </c>
      <c r="DT186" s="128" t="s">
        <v>1459</v>
      </c>
      <c r="DU186" s="128"/>
      <c r="DV186" s="128"/>
      <c r="DW186" s="128" t="s">
        <v>1460</v>
      </c>
      <c r="DX186" s="128"/>
      <c r="DY186" s="128" t="s">
        <v>1461</v>
      </c>
      <c r="DZ186" s="128"/>
      <c r="EA186" s="128"/>
      <c r="EB186" s="128"/>
      <c r="EC186" s="128"/>
      <c r="ED186" s="128"/>
      <c r="EE186" s="128"/>
      <c r="EF186" s="128"/>
      <c r="EG186" s="128"/>
      <c r="EH186" s="128"/>
      <c r="EI186" s="128"/>
      <c r="EJ186" s="128" t="s">
        <v>1462</v>
      </c>
      <c r="EK186" s="128"/>
      <c r="EL186" s="128"/>
      <c r="EM186" s="128"/>
      <c r="EN186" s="128"/>
      <c r="EO186" s="128"/>
      <c r="EP186" s="128"/>
      <c r="EQ186" s="128"/>
      <c r="ER186" s="128"/>
      <c r="ES186" s="128"/>
      <c r="ET186" s="128"/>
      <c r="EU186" s="128"/>
      <c r="EV186" s="128"/>
      <c r="EW186" s="128"/>
      <c r="EX186" s="128"/>
      <c r="EY186" s="128"/>
      <c r="EZ186" s="128"/>
      <c r="FA186" s="128"/>
      <c r="FB186" s="128"/>
      <c r="FC186" s="128"/>
      <c r="FD186" s="128"/>
      <c r="FE186" s="128"/>
      <c r="FF186" s="128"/>
      <c r="FG186" s="128"/>
      <c r="FH186" s="128"/>
      <c r="FI186" s="128" t="s">
        <v>1463</v>
      </c>
      <c r="FJ186" s="128"/>
      <c r="FK186" s="128"/>
      <c r="FL186" s="128"/>
      <c r="FM186" s="128"/>
      <c r="FN186" s="128"/>
      <c r="FO186" s="128" t="s">
        <v>1464</v>
      </c>
      <c r="FP186" s="128"/>
      <c r="FQ186" s="128"/>
      <c r="FR186" s="128" t="s">
        <v>1465</v>
      </c>
      <c r="FS186" s="128"/>
    </row>
    <row r="187" spans="37:175" s="8" customFormat="1" x14ac:dyDescent="0.3">
      <c r="BI187" s="128"/>
      <c r="BJ187" s="128"/>
      <c r="BK187" s="128"/>
      <c r="BL187" s="128"/>
      <c r="BM187" s="128"/>
      <c r="BN187" s="128"/>
      <c r="BO187" s="128"/>
      <c r="BP187" s="128"/>
      <c r="BQ187" s="128"/>
      <c r="BR187" s="128"/>
      <c r="BS187" s="128"/>
      <c r="BT187" s="128"/>
      <c r="BU187" s="128"/>
      <c r="BV187" s="128"/>
      <c r="BW187" s="128"/>
      <c r="BX187" s="128"/>
      <c r="BY187" s="128"/>
      <c r="BZ187" s="128"/>
      <c r="CA187" s="128"/>
      <c r="CB187" s="128"/>
      <c r="CC187" s="128" t="s">
        <v>1466</v>
      </c>
      <c r="CD187" s="128" t="s">
        <v>1467</v>
      </c>
      <c r="CE187" s="128"/>
      <c r="CF187" s="128"/>
      <c r="CG187" s="128" t="s">
        <v>1468</v>
      </c>
      <c r="CH187" s="128"/>
      <c r="CI187" s="128"/>
      <c r="CJ187" s="128" t="s">
        <v>1469</v>
      </c>
      <c r="CK187" s="128" t="s">
        <v>1470</v>
      </c>
      <c r="CL187" s="128" t="s">
        <v>1471</v>
      </c>
      <c r="CM187" s="128"/>
      <c r="CN187" s="128" t="s">
        <v>1472</v>
      </c>
      <c r="CO187" s="128"/>
      <c r="CP187" s="128"/>
      <c r="CQ187" s="128" t="s">
        <v>1473</v>
      </c>
      <c r="CR187" s="128"/>
      <c r="CS187" s="128" t="s">
        <v>1474</v>
      </c>
      <c r="CT187" s="128"/>
      <c r="CU187" s="128"/>
      <c r="CV187" s="128"/>
      <c r="CW187" s="128"/>
      <c r="CX187" s="128"/>
      <c r="CY187" s="128"/>
      <c r="CZ187" s="128"/>
      <c r="DA187" s="128"/>
      <c r="DB187" s="128"/>
      <c r="DC187" s="128"/>
      <c r="DD187" s="128"/>
      <c r="DE187" s="128"/>
      <c r="DF187" s="128" t="s">
        <v>1475</v>
      </c>
      <c r="DG187" s="128" t="s">
        <v>1476</v>
      </c>
      <c r="DH187" s="128"/>
      <c r="DI187" s="128"/>
      <c r="DJ187" s="128"/>
      <c r="DK187" s="128"/>
      <c r="DL187" s="128"/>
      <c r="DM187" s="128" t="s">
        <v>1477</v>
      </c>
      <c r="DN187" s="128"/>
      <c r="DO187" s="128"/>
      <c r="DP187" s="128"/>
      <c r="DQ187" s="128"/>
      <c r="DR187" s="128" t="s">
        <v>1478</v>
      </c>
      <c r="DS187" s="133"/>
      <c r="DT187" s="128" t="s">
        <v>1479</v>
      </c>
      <c r="DU187" s="128"/>
      <c r="DV187" s="128"/>
      <c r="DW187" s="128" t="s">
        <v>1480</v>
      </c>
      <c r="DX187" s="128"/>
      <c r="DY187" s="128"/>
      <c r="DZ187" s="128"/>
      <c r="EA187" s="128"/>
      <c r="EB187" s="128"/>
      <c r="EC187" s="128"/>
      <c r="ED187" s="128"/>
      <c r="EE187" s="128"/>
      <c r="EF187" s="128"/>
      <c r="EG187" s="128"/>
      <c r="EH187" s="128"/>
      <c r="EI187" s="128"/>
      <c r="EJ187" s="128" t="s">
        <v>1481</v>
      </c>
      <c r="EK187" s="128"/>
      <c r="EL187" s="128"/>
      <c r="EM187" s="128"/>
      <c r="EN187" s="128"/>
      <c r="EO187" s="128"/>
      <c r="EP187" s="128"/>
      <c r="EQ187" s="128"/>
      <c r="ER187" s="128"/>
      <c r="ES187" s="128"/>
      <c r="ET187" s="128"/>
      <c r="EU187" s="128"/>
      <c r="EV187" s="128"/>
      <c r="EW187" s="128"/>
      <c r="EX187" s="128"/>
      <c r="EY187" s="128"/>
      <c r="EZ187" s="128"/>
      <c r="FA187" s="128"/>
      <c r="FB187" s="128"/>
      <c r="FC187" s="128"/>
      <c r="FD187" s="128"/>
      <c r="FE187" s="128"/>
      <c r="FF187" s="128"/>
      <c r="FG187" s="128"/>
      <c r="FH187" s="128"/>
      <c r="FI187" s="128" t="s">
        <v>1482</v>
      </c>
      <c r="FJ187" s="128"/>
      <c r="FK187" s="128"/>
      <c r="FL187" s="128"/>
      <c r="FM187" s="128"/>
      <c r="FN187" s="128"/>
      <c r="FO187" s="128" t="s">
        <v>1483</v>
      </c>
      <c r="FP187" s="128"/>
      <c r="FQ187" s="128"/>
      <c r="FR187" s="128" t="s">
        <v>1484</v>
      </c>
      <c r="FS187" s="128"/>
    </row>
    <row r="188" spans="37:175" s="8" customFormat="1" x14ac:dyDescent="0.3">
      <c r="BI188" s="128"/>
      <c r="BJ188" s="128"/>
      <c r="BK188" s="128"/>
      <c r="BL188" s="128"/>
      <c r="BM188" s="128"/>
      <c r="BN188" s="128"/>
      <c r="BO188" s="128"/>
      <c r="BP188" s="128"/>
      <c r="BQ188" s="128"/>
      <c r="BR188" s="128"/>
      <c r="BS188" s="128"/>
      <c r="BT188" s="128"/>
      <c r="BU188" s="128"/>
      <c r="BV188" s="128"/>
      <c r="BW188" s="128"/>
      <c r="BX188" s="128"/>
      <c r="BY188" s="128"/>
      <c r="BZ188" s="128"/>
      <c r="CA188" s="128"/>
      <c r="CB188" s="128"/>
      <c r="CC188" s="128" t="s">
        <v>1485</v>
      </c>
      <c r="CD188" s="128" t="s">
        <v>1486</v>
      </c>
      <c r="CE188" s="128"/>
      <c r="CF188" s="128"/>
      <c r="CG188" s="128" t="s">
        <v>1487</v>
      </c>
      <c r="CH188" s="128"/>
      <c r="CI188" s="128"/>
      <c r="CJ188" s="128"/>
      <c r="CK188" s="128" t="s">
        <v>1488</v>
      </c>
      <c r="CL188" s="128" t="s">
        <v>1489</v>
      </c>
      <c r="CM188" s="128"/>
      <c r="CN188" s="128" t="s">
        <v>1490</v>
      </c>
      <c r="CO188" s="128"/>
      <c r="CP188" s="128"/>
      <c r="CQ188" s="128" t="s">
        <v>1491</v>
      </c>
      <c r="CR188" s="128"/>
      <c r="CS188" s="128" t="s">
        <v>1492</v>
      </c>
      <c r="CT188" s="128"/>
      <c r="CU188" s="128"/>
      <c r="CV188" s="128"/>
      <c r="CW188" s="128"/>
      <c r="CX188" s="128"/>
      <c r="CY188" s="128"/>
      <c r="CZ188" s="128"/>
      <c r="DA188" s="128"/>
      <c r="DB188" s="128"/>
      <c r="DC188" s="128"/>
      <c r="DD188" s="128"/>
      <c r="DE188" s="128"/>
      <c r="DF188" s="128" t="s">
        <v>1493</v>
      </c>
      <c r="DG188" s="128" t="s">
        <v>1494</v>
      </c>
      <c r="DH188" s="128"/>
      <c r="DI188" s="128"/>
      <c r="DJ188" s="128"/>
      <c r="DK188" s="128"/>
      <c r="DL188" s="128"/>
      <c r="DM188" s="128" t="s">
        <v>1495</v>
      </c>
      <c r="DN188" s="128"/>
      <c r="DO188" s="128"/>
      <c r="DP188" s="128"/>
      <c r="DQ188" s="128"/>
      <c r="DR188" s="128" t="s">
        <v>1496</v>
      </c>
      <c r="DS188" s="134"/>
      <c r="DT188" s="128" t="s">
        <v>1497</v>
      </c>
      <c r="DU188" s="128"/>
      <c r="DV188" s="128"/>
      <c r="DW188" s="128" t="s">
        <v>1498</v>
      </c>
      <c r="DX188" s="128"/>
      <c r="DY188" s="128"/>
      <c r="DZ188" s="128"/>
      <c r="EA188" s="128"/>
      <c r="EB188" s="128"/>
      <c r="EC188" s="128"/>
      <c r="ED188" s="128"/>
      <c r="EE188" s="128"/>
      <c r="EF188" s="128"/>
      <c r="EG188" s="128"/>
      <c r="EH188" s="128"/>
      <c r="EI188" s="128"/>
      <c r="EJ188" s="128" t="s">
        <v>1499</v>
      </c>
      <c r="EK188" s="128"/>
      <c r="EL188" s="128"/>
      <c r="EM188" s="128"/>
      <c r="EN188" s="128"/>
      <c r="EO188" s="128"/>
      <c r="EP188" s="128"/>
      <c r="EQ188" s="128"/>
      <c r="ER188" s="128"/>
      <c r="ES188" s="128"/>
      <c r="ET188" s="128"/>
      <c r="EU188" s="128"/>
      <c r="EV188" s="128"/>
      <c r="EW188" s="128"/>
      <c r="EX188" s="128"/>
      <c r="EY188" s="128"/>
      <c r="EZ188" s="128"/>
      <c r="FA188" s="128"/>
      <c r="FB188" s="128"/>
      <c r="FC188" s="128"/>
      <c r="FD188" s="128"/>
      <c r="FE188" s="128"/>
      <c r="FF188" s="128"/>
      <c r="FG188" s="128"/>
      <c r="FH188" s="128"/>
      <c r="FI188" s="128" t="s">
        <v>1500</v>
      </c>
      <c r="FJ188" s="128"/>
      <c r="FK188" s="128"/>
      <c r="FL188" s="128"/>
      <c r="FM188" s="128"/>
      <c r="FN188" s="128"/>
      <c r="FO188" s="128" t="s">
        <v>1501</v>
      </c>
      <c r="FP188" s="128"/>
      <c r="FQ188" s="128"/>
      <c r="FR188" s="128" t="s">
        <v>1502</v>
      </c>
      <c r="FS188" s="128"/>
    </row>
    <row r="189" spans="37:175" s="8" customFormat="1" x14ac:dyDescent="0.3">
      <c r="BI189" s="128"/>
      <c r="BJ189" s="128"/>
      <c r="BK189" s="128"/>
      <c r="BL189" s="128"/>
      <c r="BM189" s="128"/>
      <c r="BN189" s="128"/>
      <c r="BO189" s="128"/>
      <c r="BP189" s="128"/>
      <c r="BQ189" s="128"/>
      <c r="BR189" s="128"/>
      <c r="BS189" s="128"/>
      <c r="BT189" s="128"/>
      <c r="BU189" s="128"/>
      <c r="BV189" s="128"/>
      <c r="BW189" s="128"/>
      <c r="BX189" s="128"/>
      <c r="BY189" s="128"/>
      <c r="BZ189" s="128"/>
      <c r="CA189" s="128"/>
      <c r="CB189" s="128"/>
      <c r="CC189" s="128" t="s">
        <v>1503</v>
      </c>
      <c r="CD189" s="128"/>
      <c r="CE189" s="128"/>
      <c r="CF189" s="128"/>
      <c r="CG189" s="128" t="s">
        <v>1504</v>
      </c>
      <c r="CH189" s="128"/>
      <c r="CI189" s="128"/>
      <c r="CJ189" s="128"/>
      <c r="CK189" s="128" t="s">
        <v>1505</v>
      </c>
      <c r="CL189" s="128" t="s">
        <v>1506</v>
      </c>
      <c r="CM189" s="128"/>
      <c r="CN189" s="128" t="s">
        <v>1507</v>
      </c>
      <c r="CO189" s="128"/>
      <c r="CP189" s="128"/>
      <c r="CQ189" s="128" t="s">
        <v>1508</v>
      </c>
      <c r="CR189" s="128"/>
      <c r="CS189" s="128" t="s">
        <v>1509</v>
      </c>
      <c r="CT189" s="128"/>
      <c r="CU189" s="128"/>
      <c r="CV189" s="128"/>
      <c r="CW189" s="128"/>
      <c r="CX189" s="128"/>
      <c r="CY189" s="128"/>
      <c r="CZ189" s="128"/>
      <c r="DA189" s="128"/>
      <c r="DB189" s="128"/>
      <c r="DC189" s="128"/>
      <c r="DD189" s="128"/>
      <c r="DE189" s="128"/>
      <c r="DF189" s="128" t="s">
        <v>1510</v>
      </c>
      <c r="DG189" s="128" t="s">
        <v>1420</v>
      </c>
      <c r="DH189" s="128"/>
      <c r="DI189" s="128"/>
      <c r="DJ189" s="128"/>
      <c r="DK189" s="128"/>
      <c r="DL189" s="128"/>
      <c r="DM189" s="128"/>
      <c r="DN189" s="128"/>
      <c r="DO189" s="128"/>
      <c r="DP189" s="128"/>
      <c r="DQ189" s="128"/>
      <c r="DR189" s="128" t="s">
        <v>1511</v>
      </c>
      <c r="DS189" s="134"/>
      <c r="DT189" s="128" t="s">
        <v>1512</v>
      </c>
      <c r="DU189" s="128"/>
      <c r="DV189" s="128"/>
      <c r="DW189" s="128"/>
      <c r="DX189" s="128"/>
      <c r="DY189" s="128"/>
      <c r="DZ189" s="128"/>
      <c r="EA189" s="128"/>
      <c r="EB189" s="128"/>
      <c r="EC189" s="128"/>
      <c r="ED189" s="128"/>
      <c r="EE189" s="128"/>
      <c r="EF189" s="128"/>
      <c r="EG189" s="128"/>
      <c r="EH189" s="128"/>
      <c r="EI189" s="128"/>
      <c r="EJ189" s="128" t="s">
        <v>1513</v>
      </c>
      <c r="EK189" s="128"/>
      <c r="EL189" s="128"/>
      <c r="EM189" s="128"/>
      <c r="EN189" s="128"/>
      <c r="EO189" s="128"/>
      <c r="EP189" s="128"/>
      <c r="EQ189" s="128"/>
      <c r="ER189" s="128"/>
      <c r="ES189" s="128"/>
      <c r="ET189" s="128"/>
      <c r="EU189" s="128"/>
      <c r="EV189" s="128"/>
      <c r="EW189" s="128"/>
      <c r="EX189" s="128"/>
      <c r="EY189" s="128"/>
      <c r="EZ189" s="128"/>
      <c r="FA189" s="128"/>
      <c r="FB189" s="128"/>
      <c r="FC189" s="128"/>
      <c r="FD189" s="128"/>
      <c r="FE189" s="128"/>
      <c r="FF189" s="128"/>
      <c r="FG189" s="128"/>
      <c r="FH189" s="128"/>
      <c r="FI189" s="128" t="s">
        <v>1514</v>
      </c>
      <c r="FJ189" s="128"/>
      <c r="FK189" s="128"/>
      <c r="FL189" s="128"/>
      <c r="FM189" s="128"/>
      <c r="FN189" s="128"/>
      <c r="FO189" s="128" t="s">
        <v>1515</v>
      </c>
      <c r="FP189" s="128"/>
      <c r="FQ189" s="128"/>
      <c r="FR189" s="128" t="s">
        <v>1516</v>
      </c>
      <c r="FS189" s="128"/>
    </row>
    <row r="190" spans="37:175" s="8" customFormat="1" x14ac:dyDescent="0.3">
      <c r="BI190" s="128"/>
      <c r="BJ190" s="128"/>
      <c r="BK190" s="128"/>
      <c r="BL190" s="128"/>
      <c r="BM190" s="128"/>
      <c r="BN190" s="128"/>
      <c r="BO190" s="128"/>
      <c r="BP190" s="128"/>
      <c r="BQ190" s="128"/>
      <c r="BR190" s="128"/>
      <c r="BS190" s="128"/>
      <c r="BT190" s="128"/>
      <c r="BU190" s="128"/>
      <c r="BV190" s="128"/>
      <c r="BW190" s="128"/>
      <c r="BX190" s="128"/>
      <c r="BY190" s="128"/>
      <c r="BZ190" s="128"/>
      <c r="CA190" s="128"/>
      <c r="CB190" s="128"/>
      <c r="CC190" s="128" t="s">
        <v>1517</v>
      </c>
      <c r="CD190" s="128"/>
      <c r="CE190" s="128"/>
      <c r="CF190" s="128"/>
      <c r="CG190" s="128" t="s">
        <v>1518</v>
      </c>
      <c r="CH190" s="128"/>
      <c r="CI190" s="128"/>
      <c r="CJ190" s="128"/>
      <c r="CK190" s="128" t="s">
        <v>1519</v>
      </c>
      <c r="CL190" s="128" t="s">
        <v>1520</v>
      </c>
      <c r="CM190" s="128"/>
      <c r="CN190" s="128" t="s">
        <v>1521</v>
      </c>
      <c r="CO190" s="128"/>
      <c r="CP190" s="128"/>
      <c r="CQ190" s="128"/>
      <c r="CR190" s="128"/>
      <c r="CS190" s="128" t="s">
        <v>1522</v>
      </c>
      <c r="CT190" s="128"/>
      <c r="CU190" s="128"/>
      <c r="CV190" s="128"/>
      <c r="CW190" s="128"/>
      <c r="CX190" s="128"/>
      <c r="CY190" s="128"/>
      <c r="CZ190" s="128"/>
      <c r="DA190" s="128"/>
      <c r="DB190" s="128"/>
      <c r="DC190" s="128"/>
      <c r="DD190" s="128"/>
      <c r="DE190" s="128"/>
      <c r="DF190" s="128" t="s">
        <v>1523</v>
      </c>
      <c r="DG190" s="128"/>
      <c r="DH190" s="128"/>
      <c r="DI190" s="128"/>
      <c r="DJ190" s="128"/>
      <c r="DK190" s="128"/>
      <c r="DL190" s="128"/>
      <c r="DM190" s="128"/>
      <c r="DN190" s="128"/>
      <c r="DO190" s="128"/>
      <c r="DP190" s="128"/>
      <c r="DQ190" s="128"/>
      <c r="DR190" s="128" t="s">
        <v>1524</v>
      </c>
      <c r="DS190" s="128"/>
      <c r="DT190" s="128" t="s">
        <v>1525</v>
      </c>
      <c r="DU190" s="128"/>
      <c r="DV190" s="128"/>
      <c r="DW190" s="128"/>
      <c r="DX190" s="128"/>
      <c r="DY190" s="128"/>
      <c r="DZ190" s="128"/>
      <c r="EA190" s="128"/>
      <c r="EB190" s="128"/>
      <c r="EC190" s="128"/>
      <c r="ED190" s="128"/>
      <c r="EE190" s="128"/>
      <c r="EF190" s="128"/>
      <c r="EG190" s="128"/>
      <c r="EH190" s="128"/>
      <c r="EI190" s="128"/>
      <c r="EJ190" s="128" t="s">
        <v>1526</v>
      </c>
      <c r="EK190" s="128"/>
      <c r="EL190" s="128"/>
      <c r="EM190" s="128"/>
      <c r="EN190" s="128"/>
      <c r="EO190" s="128"/>
      <c r="EP190" s="128"/>
      <c r="EQ190" s="128"/>
      <c r="ER190" s="128"/>
      <c r="ES190" s="128"/>
      <c r="ET190" s="128"/>
      <c r="EU190" s="128"/>
      <c r="EV190" s="128"/>
      <c r="EW190" s="128"/>
      <c r="EX190" s="128"/>
      <c r="EY190" s="128"/>
      <c r="EZ190" s="128"/>
      <c r="FA190" s="128"/>
      <c r="FB190" s="128"/>
      <c r="FC190" s="128"/>
      <c r="FD190" s="128"/>
      <c r="FE190" s="128"/>
      <c r="FF190" s="128"/>
      <c r="FG190" s="128"/>
      <c r="FH190" s="128"/>
      <c r="FI190" s="128" t="s">
        <v>1527</v>
      </c>
      <c r="FJ190" s="128"/>
      <c r="FK190" s="128"/>
      <c r="FL190" s="128"/>
      <c r="FM190" s="128"/>
      <c r="FN190" s="128"/>
      <c r="FO190" s="128" t="s">
        <v>1528</v>
      </c>
      <c r="FP190" s="128"/>
      <c r="FQ190" s="128"/>
      <c r="FR190" s="128" t="s">
        <v>1529</v>
      </c>
      <c r="FS190" s="128"/>
    </row>
    <row r="191" spans="37:175" s="8" customFormat="1" x14ac:dyDescent="0.3">
      <c r="BI191" s="128"/>
      <c r="BJ191" s="128"/>
      <c r="BK191" s="128"/>
      <c r="BL191" s="128"/>
      <c r="BM191" s="128"/>
      <c r="BN191" s="128"/>
      <c r="BO191" s="128"/>
      <c r="BP191" s="128"/>
      <c r="BQ191" s="128"/>
      <c r="BR191" s="128"/>
      <c r="BS191" s="128"/>
      <c r="BT191" s="128"/>
      <c r="BU191" s="128"/>
      <c r="BV191" s="128"/>
      <c r="BW191" s="128"/>
      <c r="BX191" s="128"/>
      <c r="BY191" s="128"/>
      <c r="BZ191" s="128"/>
      <c r="CA191" s="128"/>
      <c r="CB191" s="128"/>
      <c r="CC191" s="128"/>
      <c r="CD191" s="128"/>
      <c r="CE191" s="128"/>
      <c r="CF191" s="128"/>
      <c r="CG191" s="128" t="s">
        <v>1530</v>
      </c>
      <c r="CH191" s="128"/>
      <c r="CI191" s="128"/>
      <c r="CJ191" s="128"/>
      <c r="CK191" s="128" t="s">
        <v>1531</v>
      </c>
      <c r="CL191" s="128" t="s">
        <v>1532</v>
      </c>
      <c r="CM191" s="128"/>
      <c r="CN191" s="128" t="s">
        <v>1533</v>
      </c>
      <c r="CO191" s="128"/>
      <c r="CP191" s="128"/>
      <c r="CQ191" s="128"/>
      <c r="CR191" s="128"/>
      <c r="CS191" s="128" t="s">
        <v>1534</v>
      </c>
      <c r="CT191" s="128"/>
      <c r="CU191" s="128"/>
      <c r="CV191" s="128"/>
      <c r="CW191" s="128"/>
      <c r="CX191" s="128"/>
      <c r="CY191" s="128"/>
      <c r="CZ191" s="128"/>
      <c r="DA191" s="128"/>
      <c r="DB191" s="128"/>
      <c r="DC191" s="128"/>
      <c r="DD191" s="128"/>
      <c r="DE191" s="128"/>
      <c r="DF191" s="128" t="s">
        <v>1535</v>
      </c>
      <c r="DG191" s="128"/>
      <c r="DH191" s="128"/>
      <c r="DI191" s="128"/>
      <c r="DJ191" s="128"/>
      <c r="DK191" s="128"/>
      <c r="DL191" s="128"/>
      <c r="DM191" s="128"/>
      <c r="DN191" s="128"/>
      <c r="DO191" s="128"/>
      <c r="DP191" s="128"/>
      <c r="DQ191" s="128"/>
      <c r="DR191" s="128" t="s">
        <v>1536</v>
      </c>
      <c r="DS191" s="128"/>
      <c r="DT191" s="135"/>
      <c r="DU191" s="128"/>
      <c r="DV191" s="128"/>
      <c r="DW191" s="128"/>
      <c r="DX191" s="128"/>
      <c r="DY191" s="128"/>
      <c r="DZ191" s="128"/>
      <c r="EA191" s="128"/>
      <c r="EB191" s="128"/>
      <c r="EC191" s="128"/>
      <c r="ED191" s="128"/>
      <c r="EE191" s="128"/>
      <c r="EF191" s="128"/>
      <c r="EG191" s="128"/>
      <c r="EH191" s="128"/>
      <c r="EI191" s="128"/>
      <c r="EJ191" s="128"/>
      <c r="EK191" s="128"/>
      <c r="EL191" s="128"/>
      <c r="EM191" s="128"/>
      <c r="EN191" s="128"/>
      <c r="EO191" s="128"/>
      <c r="EP191" s="128"/>
      <c r="EQ191" s="128"/>
      <c r="ER191" s="128"/>
      <c r="ES191" s="128"/>
      <c r="ET191" s="128"/>
      <c r="EU191" s="128"/>
      <c r="EV191" s="128"/>
      <c r="EW191" s="128"/>
      <c r="EX191" s="128"/>
      <c r="EY191" s="128"/>
      <c r="EZ191" s="128"/>
      <c r="FA191" s="128"/>
      <c r="FB191" s="128"/>
      <c r="FC191" s="128"/>
      <c r="FD191" s="128"/>
      <c r="FE191" s="128"/>
      <c r="FF191" s="128"/>
      <c r="FG191" s="128"/>
      <c r="FH191" s="128"/>
      <c r="FI191" s="128" t="s">
        <v>1537</v>
      </c>
      <c r="FJ191" s="128"/>
      <c r="FK191" s="128"/>
      <c r="FL191" s="128"/>
      <c r="FM191" s="128"/>
      <c r="FN191" s="128"/>
      <c r="FO191" s="128" t="s">
        <v>1538</v>
      </c>
      <c r="FP191" s="128"/>
      <c r="FQ191" s="128"/>
      <c r="FR191" s="128" t="s">
        <v>1539</v>
      </c>
      <c r="FS191" s="128"/>
    </row>
    <row r="192" spans="37:175" s="8" customFormat="1" x14ac:dyDescent="0.3">
      <c r="BI192" s="128"/>
      <c r="BJ192" s="128"/>
      <c r="BK192" s="128"/>
      <c r="BL192" s="128"/>
      <c r="BM192" s="128"/>
      <c r="BN192" s="128"/>
      <c r="BO192" s="128"/>
      <c r="BP192" s="128"/>
      <c r="BQ192" s="128"/>
      <c r="BR192" s="128"/>
      <c r="BS192" s="128"/>
      <c r="BT192" s="128"/>
      <c r="BU192" s="128"/>
      <c r="BV192" s="128"/>
      <c r="BW192" s="128"/>
      <c r="BX192" s="128"/>
      <c r="BY192" s="128"/>
      <c r="BZ192" s="128"/>
      <c r="CA192" s="128"/>
      <c r="CB192" s="128"/>
      <c r="CC192" s="128"/>
      <c r="CD192" s="128"/>
      <c r="CE192" s="128"/>
      <c r="CF192" s="128"/>
      <c r="CG192" s="128" t="s">
        <v>1540</v>
      </c>
      <c r="CH192" s="128"/>
      <c r="CI192" s="128"/>
      <c r="CJ192" s="128"/>
      <c r="CK192" s="128" t="s">
        <v>1541</v>
      </c>
      <c r="CL192" s="128" t="s">
        <v>1542</v>
      </c>
      <c r="CM192" s="128"/>
      <c r="CN192" s="128" t="s">
        <v>1543</v>
      </c>
      <c r="CO192" s="128"/>
      <c r="CP192" s="128"/>
      <c r="CQ192" s="128"/>
      <c r="CR192" s="128"/>
      <c r="CS192" s="128" t="s">
        <v>1544</v>
      </c>
      <c r="CT192" s="128"/>
      <c r="CU192" s="128"/>
      <c r="CV192" s="128"/>
      <c r="CW192" s="128"/>
      <c r="CX192" s="128"/>
      <c r="CY192" s="128"/>
      <c r="CZ192" s="128"/>
      <c r="DA192" s="128"/>
      <c r="DB192" s="128"/>
      <c r="DC192" s="128"/>
      <c r="DD192" s="128"/>
      <c r="DE192" s="128"/>
      <c r="DF192" s="128" t="s">
        <v>1545</v>
      </c>
      <c r="DG192" s="128"/>
      <c r="DH192" s="128"/>
      <c r="DI192" s="128"/>
      <c r="DJ192" s="128"/>
      <c r="DK192" s="128"/>
      <c r="DL192" s="128"/>
      <c r="DM192" s="128"/>
      <c r="DN192" s="128"/>
      <c r="DO192" s="128"/>
      <c r="DP192" s="128"/>
      <c r="DQ192" s="128"/>
      <c r="DR192" s="128" t="s">
        <v>1546</v>
      </c>
      <c r="DS192" s="128"/>
      <c r="DT192" s="134"/>
      <c r="DU192" s="128"/>
      <c r="DV192" s="128"/>
      <c r="DW192" s="128"/>
      <c r="DX192" s="128"/>
      <c r="DY192" s="128"/>
      <c r="DZ192" s="128"/>
      <c r="EA192" s="128"/>
      <c r="EB192" s="128"/>
      <c r="EC192" s="128"/>
      <c r="ED192" s="128"/>
      <c r="EE192" s="128"/>
      <c r="EF192" s="128"/>
      <c r="EG192" s="128"/>
      <c r="EH192" s="128"/>
      <c r="EI192" s="128"/>
      <c r="EJ192" s="128"/>
      <c r="EK192" s="128"/>
      <c r="EL192" s="128"/>
      <c r="EM192" s="128"/>
      <c r="EN192" s="128"/>
      <c r="EO192" s="128"/>
      <c r="EP192" s="128"/>
      <c r="EQ192" s="128"/>
      <c r="ER192" s="128"/>
      <c r="ES192" s="128"/>
      <c r="ET192" s="128"/>
      <c r="EU192" s="128"/>
      <c r="EV192" s="128"/>
      <c r="EW192" s="128"/>
      <c r="EX192" s="128"/>
      <c r="EY192" s="128"/>
      <c r="EZ192" s="128"/>
      <c r="FA192" s="128"/>
      <c r="FB192" s="128"/>
      <c r="FC192" s="128"/>
      <c r="FD192" s="128"/>
      <c r="FE192" s="128"/>
      <c r="FF192" s="128"/>
      <c r="FG192" s="128"/>
      <c r="FH192" s="128"/>
      <c r="FI192" s="128" t="s">
        <v>1547</v>
      </c>
      <c r="FJ192" s="128"/>
      <c r="FK192" s="128"/>
      <c r="FL192" s="128"/>
      <c r="FM192" s="128"/>
      <c r="FN192" s="128"/>
      <c r="FO192" s="128" t="s">
        <v>1548</v>
      </c>
      <c r="FP192" s="128"/>
      <c r="FQ192" s="128"/>
      <c r="FR192" s="128" t="s">
        <v>1549</v>
      </c>
      <c r="FS192" s="128"/>
    </row>
    <row r="193" spans="61:175" s="8" customFormat="1" x14ac:dyDescent="0.3">
      <c r="BI193" s="128"/>
      <c r="BJ193" s="128"/>
      <c r="BK193" s="128"/>
      <c r="BL193" s="128"/>
      <c r="BM193" s="128"/>
      <c r="BN193" s="128"/>
      <c r="BO193" s="128"/>
      <c r="BP193" s="128"/>
      <c r="BQ193" s="128"/>
      <c r="BR193" s="128"/>
      <c r="BS193" s="128"/>
      <c r="BT193" s="128"/>
      <c r="BU193" s="128"/>
      <c r="BV193" s="128"/>
      <c r="BW193" s="128"/>
      <c r="BX193" s="128"/>
      <c r="BY193" s="128"/>
      <c r="BZ193" s="128"/>
      <c r="CA193" s="128"/>
      <c r="CB193" s="128"/>
      <c r="CC193" s="128"/>
      <c r="CD193" s="128"/>
      <c r="CE193" s="128"/>
      <c r="CF193" s="128"/>
      <c r="CG193" s="128"/>
      <c r="CH193" s="128"/>
      <c r="CI193" s="128"/>
      <c r="CJ193" s="128"/>
      <c r="CK193" s="128" t="s">
        <v>1550</v>
      </c>
      <c r="CL193" s="128" t="s">
        <v>1551</v>
      </c>
      <c r="CM193" s="128"/>
      <c r="CN193" s="128" t="s">
        <v>1552</v>
      </c>
      <c r="CO193" s="128"/>
      <c r="CP193" s="128"/>
      <c r="CQ193" s="128"/>
      <c r="CR193" s="128"/>
      <c r="CS193" s="128" t="s">
        <v>1324</v>
      </c>
      <c r="CT193" s="128"/>
      <c r="CU193" s="128"/>
      <c r="CV193" s="128"/>
      <c r="CW193" s="128"/>
      <c r="CX193" s="128"/>
      <c r="CY193" s="128"/>
      <c r="CZ193" s="128"/>
      <c r="DA193" s="128"/>
      <c r="DB193" s="128"/>
      <c r="DC193" s="128"/>
      <c r="DD193" s="128"/>
      <c r="DE193" s="128"/>
      <c r="DF193" s="128" t="s">
        <v>1553</v>
      </c>
      <c r="DG193" s="128"/>
      <c r="DH193" s="128"/>
      <c r="DI193" s="128"/>
      <c r="DJ193" s="128"/>
      <c r="DK193" s="128"/>
      <c r="DL193" s="128"/>
      <c r="DM193" s="128"/>
      <c r="DN193" s="128"/>
      <c r="DO193" s="128"/>
      <c r="DP193" s="128"/>
      <c r="DQ193" s="128"/>
      <c r="DR193" s="128" t="s">
        <v>1554</v>
      </c>
      <c r="DS193" s="128"/>
      <c r="DT193" s="128"/>
      <c r="DU193" s="128"/>
      <c r="DV193" s="128"/>
      <c r="DW193" s="128"/>
      <c r="DX193" s="128"/>
      <c r="DY193" s="128"/>
      <c r="DZ193" s="128"/>
      <c r="EA193" s="128"/>
      <c r="EB193" s="128"/>
      <c r="EC193" s="128"/>
      <c r="ED193" s="128"/>
      <c r="EE193" s="128"/>
      <c r="EF193" s="128"/>
      <c r="EG193" s="128"/>
      <c r="EH193" s="128"/>
      <c r="EI193" s="128"/>
      <c r="EJ193" s="128"/>
      <c r="EK193" s="128"/>
      <c r="EL193" s="128"/>
      <c r="EM193" s="128"/>
      <c r="EN193" s="128"/>
      <c r="EO193" s="128"/>
      <c r="EP193" s="128"/>
      <c r="EQ193" s="128"/>
      <c r="ER193" s="128"/>
      <c r="ES193" s="128"/>
      <c r="ET193" s="128"/>
      <c r="EU193" s="128"/>
      <c r="EV193" s="128"/>
      <c r="EW193" s="128"/>
      <c r="EX193" s="128"/>
      <c r="EY193" s="128"/>
      <c r="EZ193" s="128"/>
      <c r="FA193" s="128"/>
      <c r="FB193" s="128"/>
      <c r="FC193" s="128"/>
      <c r="FD193" s="128"/>
      <c r="FE193" s="128"/>
      <c r="FF193" s="128"/>
      <c r="FG193" s="128"/>
      <c r="FH193" s="128"/>
      <c r="FI193" s="128" t="s">
        <v>1555</v>
      </c>
      <c r="FJ193" s="128"/>
      <c r="FK193" s="128"/>
      <c r="FL193" s="128"/>
      <c r="FM193" s="128"/>
      <c r="FN193" s="128"/>
      <c r="FO193" s="128" t="s">
        <v>1556</v>
      </c>
      <c r="FP193" s="128"/>
      <c r="FQ193" s="128"/>
      <c r="FR193" s="128" t="s">
        <v>1557</v>
      </c>
      <c r="FS193" s="128"/>
    </row>
    <row r="194" spans="61:175" s="8" customFormat="1" x14ac:dyDescent="0.3">
      <c r="BI194" s="128"/>
      <c r="BJ194" s="128"/>
      <c r="BK194" s="128"/>
      <c r="BL194" s="128"/>
      <c r="BM194" s="128"/>
      <c r="BN194" s="128"/>
      <c r="BO194" s="128"/>
      <c r="BP194" s="128"/>
      <c r="BQ194" s="128"/>
      <c r="BR194" s="128"/>
      <c r="BS194" s="128"/>
      <c r="BT194" s="128"/>
      <c r="BU194" s="128"/>
      <c r="BV194" s="128"/>
      <c r="BW194" s="128"/>
      <c r="BX194" s="128"/>
      <c r="BY194" s="128"/>
      <c r="BZ194" s="128"/>
      <c r="CA194" s="128"/>
      <c r="CB194" s="128"/>
      <c r="CC194" s="128"/>
      <c r="CD194" s="128"/>
      <c r="CE194" s="128"/>
      <c r="CF194" s="128"/>
      <c r="CG194" s="128"/>
      <c r="CH194" s="128"/>
      <c r="CI194" s="128"/>
      <c r="CJ194" s="128"/>
      <c r="CK194" s="128" t="s">
        <v>1558</v>
      </c>
      <c r="CL194" s="128" t="s">
        <v>1559</v>
      </c>
      <c r="CM194" s="128"/>
      <c r="CN194" s="128" t="s">
        <v>1560</v>
      </c>
      <c r="CO194" s="128"/>
      <c r="CP194" s="128"/>
      <c r="CQ194" s="128"/>
      <c r="CR194" s="128"/>
      <c r="CS194" s="128" t="s">
        <v>1561</v>
      </c>
      <c r="CT194" s="128"/>
      <c r="CU194" s="128"/>
      <c r="CV194" s="128"/>
      <c r="CW194" s="128"/>
      <c r="CX194" s="128"/>
      <c r="CY194" s="128"/>
      <c r="CZ194" s="128"/>
      <c r="DA194" s="128"/>
      <c r="DB194" s="128"/>
      <c r="DC194" s="128"/>
      <c r="DD194" s="128"/>
      <c r="DE194" s="128"/>
      <c r="DF194" s="128" t="s">
        <v>1562</v>
      </c>
      <c r="DG194" s="128"/>
      <c r="DH194" s="128"/>
      <c r="DI194" s="128"/>
      <c r="DJ194" s="128"/>
      <c r="DK194" s="128"/>
      <c r="DL194" s="128"/>
      <c r="DM194" s="128"/>
      <c r="DN194" s="128"/>
      <c r="DO194" s="128"/>
      <c r="DP194" s="128"/>
      <c r="DQ194" s="128"/>
      <c r="DR194" s="128" t="s">
        <v>1563</v>
      </c>
      <c r="DS194" s="128"/>
      <c r="DT194" s="128"/>
      <c r="DU194" s="128"/>
      <c r="DV194" s="128"/>
      <c r="DW194" s="128"/>
      <c r="DX194" s="128"/>
      <c r="DY194" s="128"/>
      <c r="DZ194" s="128"/>
      <c r="EA194" s="128"/>
      <c r="EB194" s="128"/>
      <c r="EC194" s="128"/>
      <c r="ED194" s="128"/>
      <c r="EE194" s="128"/>
      <c r="EF194" s="128"/>
      <c r="EG194" s="128"/>
      <c r="EH194" s="128"/>
      <c r="EI194" s="128"/>
      <c r="EJ194" s="128"/>
      <c r="EK194" s="128"/>
      <c r="EL194" s="128"/>
      <c r="EM194" s="128"/>
      <c r="EN194" s="128"/>
      <c r="EO194" s="128"/>
      <c r="EP194" s="128"/>
      <c r="EQ194" s="128"/>
      <c r="ER194" s="128"/>
      <c r="ES194" s="128"/>
      <c r="ET194" s="128"/>
      <c r="EU194" s="128"/>
      <c r="EV194" s="128"/>
      <c r="EW194" s="128"/>
      <c r="EX194" s="128"/>
      <c r="EY194" s="128"/>
      <c r="EZ194" s="128"/>
      <c r="FA194" s="128"/>
      <c r="FB194" s="128"/>
      <c r="FC194" s="128"/>
      <c r="FD194" s="128"/>
      <c r="FE194" s="128"/>
      <c r="FF194" s="128"/>
      <c r="FG194" s="128"/>
      <c r="FH194" s="128"/>
      <c r="FI194" s="128"/>
      <c r="FJ194" s="128"/>
      <c r="FK194" s="128"/>
      <c r="FL194" s="128"/>
      <c r="FM194" s="128"/>
      <c r="FN194" s="128"/>
      <c r="FO194" s="128" t="s">
        <v>1564</v>
      </c>
      <c r="FP194" s="128"/>
      <c r="FQ194" s="128"/>
      <c r="FR194" s="128" t="s">
        <v>1565</v>
      </c>
      <c r="FS194" s="128"/>
    </row>
    <row r="195" spans="61:175" s="8" customFormat="1" x14ac:dyDescent="0.3">
      <c r="BI195" s="128"/>
      <c r="BJ195" s="128"/>
      <c r="BK195" s="128"/>
      <c r="BL195" s="128"/>
      <c r="BM195" s="128"/>
      <c r="BN195" s="128"/>
      <c r="BO195" s="128"/>
      <c r="BP195" s="128"/>
      <c r="BQ195" s="128"/>
      <c r="BR195" s="128"/>
      <c r="BS195" s="128"/>
      <c r="BT195" s="128"/>
      <c r="BU195" s="128"/>
      <c r="BV195" s="128"/>
      <c r="BW195" s="128"/>
      <c r="BX195" s="128"/>
      <c r="BY195" s="128"/>
      <c r="BZ195" s="128"/>
      <c r="CA195" s="128"/>
      <c r="CB195" s="128"/>
      <c r="CC195" s="128"/>
      <c r="CD195" s="128"/>
      <c r="CE195" s="128"/>
      <c r="CF195" s="128"/>
      <c r="CG195" s="128"/>
      <c r="CH195" s="128"/>
      <c r="CI195" s="128"/>
      <c r="CJ195" s="128"/>
      <c r="CK195" s="128" t="s">
        <v>1566</v>
      </c>
      <c r="CL195" s="128" t="s">
        <v>1567</v>
      </c>
      <c r="CM195" s="128"/>
      <c r="CN195" s="128" t="s">
        <v>1568</v>
      </c>
      <c r="CO195" s="128"/>
      <c r="CP195" s="128"/>
      <c r="CQ195" s="128"/>
      <c r="CR195" s="128"/>
      <c r="CS195" s="128" t="s">
        <v>1569</v>
      </c>
      <c r="CT195" s="128"/>
      <c r="CU195" s="128"/>
      <c r="CV195" s="128"/>
      <c r="CW195" s="128"/>
      <c r="CX195" s="128"/>
      <c r="CY195" s="128"/>
      <c r="CZ195" s="128"/>
      <c r="DA195" s="128"/>
      <c r="DB195" s="128"/>
      <c r="DC195" s="128"/>
      <c r="DD195" s="128"/>
      <c r="DE195" s="128"/>
      <c r="DF195" s="128" t="s">
        <v>1570</v>
      </c>
      <c r="DG195" s="128"/>
      <c r="DH195" s="128"/>
      <c r="DI195" s="128"/>
      <c r="DJ195" s="128"/>
      <c r="DK195" s="128"/>
      <c r="DL195" s="128"/>
      <c r="DM195" s="128"/>
      <c r="DN195" s="128"/>
      <c r="DO195" s="128"/>
      <c r="DP195" s="128"/>
      <c r="DQ195" s="128"/>
      <c r="DR195" s="128" t="s">
        <v>1571</v>
      </c>
      <c r="DS195" s="128"/>
      <c r="DT195" s="128"/>
      <c r="DU195" s="128"/>
      <c r="DV195" s="128"/>
      <c r="DW195" s="128"/>
      <c r="DX195" s="128"/>
      <c r="DY195" s="128"/>
      <c r="DZ195" s="128"/>
      <c r="EA195" s="128"/>
      <c r="EB195" s="128"/>
      <c r="EC195" s="128"/>
      <c r="ED195" s="128"/>
      <c r="EE195" s="128"/>
      <c r="EF195" s="128"/>
      <c r="EG195" s="128"/>
      <c r="EH195" s="128"/>
      <c r="EI195" s="128"/>
      <c r="EJ195" s="128"/>
      <c r="EK195" s="128"/>
      <c r="EL195" s="128"/>
      <c r="EM195" s="128"/>
      <c r="EN195" s="128"/>
      <c r="EO195" s="128"/>
      <c r="EP195" s="128"/>
      <c r="EQ195" s="128"/>
      <c r="ER195" s="128"/>
      <c r="ES195" s="128"/>
      <c r="ET195" s="128"/>
      <c r="EU195" s="128"/>
      <c r="EV195" s="128"/>
      <c r="EW195" s="128"/>
      <c r="EX195" s="128"/>
      <c r="EY195" s="128"/>
      <c r="EZ195" s="128"/>
      <c r="FA195" s="128"/>
      <c r="FB195" s="128"/>
      <c r="FC195" s="128"/>
      <c r="FD195" s="128"/>
      <c r="FE195" s="128"/>
      <c r="FF195" s="128"/>
      <c r="FG195" s="128"/>
      <c r="FH195" s="128"/>
      <c r="FI195" s="128"/>
      <c r="FJ195" s="128"/>
      <c r="FK195" s="128"/>
      <c r="FL195" s="128"/>
      <c r="FM195" s="128"/>
      <c r="FN195" s="128"/>
      <c r="FO195" s="128" t="s">
        <v>1572</v>
      </c>
      <c r="FP195" s="128"/>
      <c r="FQ195" s="128"/>
      <c r="FR195" s="128" t="s">
        <v>1573</v>
      </c>
      <c r="FS195" s="128"/>
    </row>
    <row r="196" spans="61:175" s="8" customFormat="1" x14ac:dyDescent="0.3">
      <c r="BI196" s="128"/>
      <c r="BJ196" s="128"/>
      <c r="BK196" s="128"/>
      <c r="BL196" s="128"/>
      <c r="BM196" s="128"/>
      <c r="BN196" s="128"/>
      <c r="BO196" s="128"/>
      <c r="BP196" s="128"/>
      <c r="BQ196" s="128"/>
      <c r="BR196" s="128"/>
      <c r="BS196" s="128"/>
      <c r="BT196" s="128"/>
      <c r="BU196" s="128"/>
      <c r="BV196" s="128"/>
      <c r="BW196" s="128"/>
      <c r="BX196" s="128"/>
      <c r="BY196" s="128"/>
      <c r="BZ196" s="128"/>
      <c r="CA196" s="128"/>
      <c r="CB196" s="128"/>
      <c r="CC196" s="128"/>
      <c r="CD196" s="128"/>
      <c r="CE196" s="128"/>
      <c r="CF196" s="128"/>
      <c r="CG196" s="128"/>
      <c r="CH196" s="128"/>
      <c r="CI196" s="128"/>
      <c r="CJ196" s="128"/>
      <c r="CK196" s="128" t="s">
        <v>1574</v>
      </c>
      <c r="CM196" s="128"/>
      <c r="CN196" s="128" t="s">
        <v>1575</v>
      </c>
      <c r="CO196" s="128"/>
      <c r="CP196" s="128"/>
      <c r="CQ196" s="128"/>
      <c r="CR196" s="128"/>
      <c r="CS196" s="128" t="s">
        <v>1576</v>
      </c>
      <c r="CT196" s="128"/>
      <c r="CU196" s="128"/>
      <c r="CV196" s="128"/>
      <c r="CW196" s="128"/>
      <c r="CX196" s="128"/>
      <c r="CY196" s="128"/>
      <c r="CZ196" s="128"/>
      <c r="DA196" s="128"/>
      <c r="DB196" s="128"/>
      <c r="DC196" s="128"/>
      <c r="DD196" s="128"/>
      <c r="DE196" s="128"/>
      <c r="DF196" s="128" t="s">
        <v>1577</v>
      </c>
      <c r="DG196" s="128"/>
      <c r="DH196" s="128"/>
      <c r="DI196" s="128"/>
      <c r="DJ196" s="128"/>
      <c r="DK196" s="128"/>
      <c r="DL196" s="128"/>
      <c r="DM196" s="128"/>
      <c r="DN196" s="128"/>
      <c r="DO196" s="128"/>
      <c r="DP196" s="128"/>
      <c r="DQ196" s="128"/>
      <c r="DR196" s="128" t="s">
        <v>1578</v>
      </c>
      <c r="DS196" s="128"/>
      <c r="DT196" s="128"/>
      <c r="DU196" s="128"/>
      <c r="DV196" s="128"/>
      <c r="DW196" s="128"/>
      <c r="DX196" s="128"/>
      <c r="DY196" s="128"/>
      <c r="DZ196" s="128"/>
      <c r="EA196" s="128"/>
      <c r="EB196" s="128"/>
      <c r="EC196" s="128"/>
      <c r="ED196" s="128"/>
      <c r="EE196" s="128"/>
      <c r="EF196" s="128"/>
      <c r="EG196" s="128"/>
      <c r="EH196" s="128"/>
      <c r="EI196" s="128"/>
      <c r="EJ196" s="128"/>
      <c r="EK196" s="128"/>
      <c r="EL196" s="128"/>
      <c r="EM196" s="128"/>
      <c r="EN196" s="128"/>
      <c r="EO196" s="128"/>
      <c r="EP196" s="128"/>
      <c r="EQ196" s="128"/>
      <c r="ER196" s="128"/>
      <c r="ES196" s="128"/>
      <c r="ET196" s="128"/>
      <c r="EU196" s="128"/>
      <c r="EV196" s="128"/>
      <c r="EW196" s="128"/>
      <c r="EX196" s="128"/>
      <c r="EY196" s="128"/>
      <c r="EZ196" s="128"/>
      <c r="FA196" s="128"/>
      <c r="FB196" s="128"/>
      <c r="FC196" s="128"/>
      <c r="FD196" s="128"/>
      <c r="FE196" s="128"/>
      <c r="FF196" s="128"/>
      <c r="FG196" s="128"/>
      <c r="FH196" s="128"/>
      <c r="FI196" s="128"/>
      <c r="FJ196" s="128"/>
      <c r="FK196" s="128"/>
      <c r="FL196" s="128"/>
      <c r="FM196" s="128"/>
      <c r="FN196" s="128"/>
      <c r="FO196" s="128" t="s">
        <v>1579</v>
      </c>
      <c r="FP196" s="128"/>
      <c r="FQ196" s="128"/>
      <c r="FR196" s="128" t="s">
        <v>1580</v>
      </c>
      <c r="FS196" s="128"/>
    </row>
    <row r="197" spans="61:175" s="8" customFormat="1" x14ac:dyDescent="0.3">
      <c r="BI197" s="128"/>
      <c r="BJ197" s="128"/>
      <c r="BK197" s="128"/>
      <c r="BL197" s="128"/>
      <c r="BM197" s="128"/>
      <c r="BN197" s="128"/>
      <c r="BO197" s="128"/>
      <c r="BP197" s="128"/>
      <c r="BQ197" s="128"/>
      <c r="BR197" s="128"/>
      <c r="BS197" s="128"/>
      <c r="BT197" s="128"/>
      <c r="BU197" s="128"/>
      <c r="BV197" s="128"/>
      <c r="BW197" s="128"/>
      <c r="BX197" s="128"/>
      <c r="BY197" s="128"/>
      <c r="BZ197" s="128"/>
      <c r="CA197" s="128"/>
      <c r="CB197" s="128"/>
      <c r="CC197" s="128"/>
      <c r="CD197" s="128"/>
      <c r="CE197" s="128"/>
      <c r="CF197" s="128"/>
      <c r="CG197" s="128"/>
      <c r="CH197" s="128"/>
      <c r="CI197" s="128"/>
      <c r="CJ197" s="128"/>
      <c r="CK197" s="128" t="s">
        <v>1581</v>
      </c>
      <c r="CL197" s="128"/>
      <c r="CM197" s="128"/>
      <c r="CN197" s="128" t="s">
        <v>1582</v>
      </c>
      <c r="CO197" s="128"/>
      <c r="CP197" s="128"/>
      <c r="CQ197" s="128"/>
      <c r="CR197" s="128"/>
      <c r="CS197" s="128" t="s">
        <v>1583</v>
      </c>
      <c r="CT197" s="128"/>
      <c r="CU197" s="128"/>
      <c r="CV197" s="128"/>
      <c r="CW197" s="128"/>
      <c r="CX197" s="128"/>
      <c r="CY197" s="128"/>
      <c r="CZ197" s="128"/>
      <c r="DA197" s="128"/>
      <c r="DB197" s="128"/>
      <c r="DC197" s="128"/>
      <c r="DD197" s="128"/>
      <c r="DE197" s="128"/>
      <c r="DF197" s="128" t="s">
        <v>1584</v>
      </c>
      <c r="DG197" s="128"/>
      <c r="DH197" s="128"/>
      <c r="DI197" s="128"/>
      <c r="DJ197" s="128"/>
      <c r="DK197" s="128"/>
      <c r="DL197" s="128"/>
      <c r="DM197" s="128"/>
      <c r="DN197" s="128"/>
      <c r="DO197" s="128"/>
      <c r="DP197" s="128"/>
      <c r="DQ197" s="128"/>
      <c r="DR197" s="128" t="s">
        <v>1585</v>
      </c>
      <c r="DS197" s="128"/>
      <c r="DT197" s="128"/>
      <c r="DU197" s="128"/>
      <c r="DV197" s="128"/>
      <c r="DW197" s="128"/>
      <c r="DX197" s="128"/>
      <c r="DY197" s="128"/>
      <c r="DZ197" s="128"/>
      <c r="EA197" s="128"/>
      <c r="EB197" s="128"/>
      <c r="EC197" s="128"/>
      <c r="ED197" s="128"/>
      <c r="EE197" s="128"/>
      <c r="EF197" s="128"/>
      <c r="EG197" s="128"/>
      <c r="EH197" s="128"/>
      <c r="EI197" s="128"/>
      <c r="EJ197" s="128"/>
      <c r="EK197" s="128"/>
      <c r="EL197" s="128"/>
      <c r="EM197" s="128"/>
      <c r="EN197" s="128"/>
      <c r="EO197" s="128"/>
      <c r="EP197" s="128"/>
      <c r="EQ197" s="128"/>
      <c r="ER197" s="128"/>
      <c r="ES197" s="128"/>
      <c r="ET197" s="128"/>
      <c r="EU197" s="128"/>
      <c r="EV197" s="128"/>
      <c r="EW197" s="128"/>
      <c r="EX197" s="128"/>
      <c r="EY197" s="128"/>
      <c r="EZ197" s="128"/>
      <c r="FA197" s="128"/>
      <c r="FB197" s="128"/>
      <c r="FC197" s="128"/>
      <c r="FD197" s="128"/>
      <c r="FE197" s="128"/>
      <c r="FF197" s="128"/>
      <c r="FG197" s="128"/>
      <c r="FH197" s="128"/>
      <c r="FI197" s="128"/>
      <c r="FJ197" s="128"/>
      <c r="FK197" s="128"/>
      <c r="FL197" s="128"/>
      <c r="FM197" s="128"/>
      <c r="FN197" s="128"/>
      <c r="FO197" s="128"/>
      <c r="FP197" s="128"/>
      <c r="FQ197" s="128"/>
      <c r="FR197" s="128" t="s">
        <v>1586</v>
      </c>
      <c r="FS197" s="128"/>
    </row>
    <row r="198" spans="61:175" s="8" customFormat="1" x14ac:dyDescent="0.3">
      <c r="BI198" s="128"/>
      <c r="BJ198" s="128"/>
      <c r="BK198" s="128"/>
      <c r="BL198" s="128"/>
      <c r="BM198" s="128"/>
      <c r="BN198" s="128"/>
      <c r="BO198" s="128"/>
      <c r="BP198" s="128"/>
      <c r="BQ198" s="128"/>
      <c r="BR198" s="128"/>
      <c r="BS198" s="128"/>
      <c r="BT198" s="128"/>
      <c r="BU198" s="128"/>
      <c r="BV198" s="128"/>
      <c r="BW198" s="128"/>
      <c r="BX198" s="128"/>
      <c r="BY198" s="128"/>
      <c r="BZ198" s="128"/>
      <c r="CA198" s="128"/>
      <c r="CB198" s="128"/>
      <c r="CC198" s="128"/>
      <c r="CD198" s="128"/>
      <c r="CE198" s="128"/>
      <c r="CF198" s="128"/>
      <c r="CG198" s="128"/>
      <c r="CH198" s="128"/>
      <c r="CI198" s="128"/>
      <c r="CJ198" s="128"/>
      <c r="CK198" s="128" t="s">
        <v>1587</v>
      </c>
      <c r="CL198" s="128"/>
      <c r="CM198" s="128"/>
      <c r="CN198" s="128" t="s">
        <v>1588</v>
      </c>
      <c r="CO198" s="128"/>
      <c r="CP198" s="128"/>
      <c r="CQ198" s="128"/>
      <c r="CR198" s="128"/>
      <c r="CS198" s="128" t="s">
        <v>1589</v>
      </c>
      <c r="CT198" s="128"/>
      <c r="CU198" s="128"/>
      <c r="CV198" s="128"/>
      <c r="CW198" s="128"/>
      <c r="CX198" s="128"/>
      <c r="CY198" s="128"/>
      <c r="CZ198" s="128"/>
      <c r="DA198" s="128"/>
      <c r="DB198" s="128"/>
      <c r="DC198" s="128"/>
      <c r="DD198" s="128"/>
      <c r="DE198" s="128"/>
      <c r="DF198" s="128" t="s">
        <v>1590</v>
      </c>
      <c r="DG198" s="128"/>
      <c r="DH198" s="128"/>
      <c r="DI198" s="128"/>
      <c r="DJ198" s="128"/>
      <c r="DK198" s="128"/>
      <c r="DL198" s="128"/>
      <c r="DM198" s="128"/>
      <c r="DN198" s="128"/>
      <c r="DO198" s="128"/>
      <c r="DP198" s="128"/>
      <c r="DQ198" s="128"/>
      <c r="DR198" s="128" t="s">
        <v>1591</v>
      </c>
      <c r="DS198" s="128"/>
      <c r="DT198" s="128"/>
      <c r="DU198" s="128"/>
      <c r="DV198" s="128"/>
      <c r="DW198" s="128"/>
      <c r="DX198" s="128"/>
      <c r="DY198" s="128"/>
      <c r="DZ198" s="128"/>
      <c r="EA198" s="128"/>
      <c r="EB198" s="128"/>
      <c r="EC198" s="128"/>
      <c r="ED198" s="128"/>
      <c r="EE198" s="128"/>
      <c r="EF198" s="128"/>
      <c r="EG198" s="128"/>
      <c r="EH198" s="128"/>
      <c r="EI198" s="128"/>
      <c r="EJ198" s="128"/>
      <c r="EK198" s="128"/>
      <c r="EL198" s="128"/>
      <c r="EM198" s="128"/>
      <c r="EN198" s="128"/>
      <c r="EO198" s="128"/>
      <c r="EP198" s="128"/>
      <c r="EQ198" s="128"/>
      <c r="ER198" s="128"/>
      <c r="ES198" s="128"/>
      <c r="ET198" s="128"/>
      <c r="EU198" s="128"/>
      <c r="EV198" s="128"/>
      <c r="EW198" s="128"/>
      <c r="EX198" s="128"/>
      <c r="EY198" s="128"/>
      <c r="EZ198" s="128"/>
      <c r="FA198" s="128"/>
      <c r="FB198" s="128"/>
      <c r="FC198" s="128"/>
      <c r="FD198" s="128"/>
      <c r="FE198" s="128"/>
      <c r="FF198" s="128"/>
      <c r="FG198" s="128"/>
      <c r="FH198" s="128"/>
      <c r="FI198" s="128"/>
      <c r="FJ198" s="128"/>
      <c r="FK198" s="128"/>
      <c r="FL198" s="128"/>
      <c r="FM198" s="128"/>
      <c r="FN198" s="128"/>
      <c r="FO198" s="128"/>
      <c r="FP198" s="128"/>
      <c r="FQ198" s="128"/>
      <c r="FR198" s="128" t="s">
        <v>1592</v>
      </c>
      <c r="FS198" s="128"/>
    </row>
    <row r="199" spans="61:175" x14ac:dyDescent="0.3">
      <c r="BI199" s="128"/>
      <c r="BJ199" s="129"/>
      <c r="BK199" s="129"/>
      <c r="BL199" s="129"/>
      <c r="BM199" s="129"/>
      <c r="BN199" s="129"/>
      <c r="BO199" s="129"/>
      <c r="BP199" s="129"/>
      <c r="BQ199" s="129"/>
      <c r="BR199" s="129"/>
      <c r="BS199" s="129"/>
      <c r="BT199" s="129"/>
      <c r="BU199" s="129"/>
      <c r="BV199" s="129"/>
      <c r="BW199" s="129"/>
      <c r="BX199" s="129"/>
      <c r="BY199" s="129"/>
      <c r="BZ199" s="129"/>
      <c r="CA199" s="129"/>
      <c r="CB199" s="129"/>
      <c r="CC199" s="129"/>
      <c r="CD199" s="129"/>
      <c r="CE199" s="129"/>
      <c r="CF199" s="129"/>
      <c r="CG199" s="129"/>
      <c r="CH199" s="129"/>
      <c r="CI199" s="129"/>
      <c r="CJ199" s="129"/>
      <c r="CK199" s="128" t="s">
        <v>1593</v>
      </c>
      <c r="CL199" s="129"/>
      <c r="CM199" s="129"/>
      <c r="CN199" s="128" t="s">
        <v>1594</v>
      </c>
      <c r="CO199" s="129"/>
      <c r="CP199" s="129"/>
      <c r="CQ199" s="129"/>
      <c r="CR199" s="129"/>
      <c r="CS199" s="128" t="s">
        <v>1595</v>
      </c>
      <c r="CT199" s="129"/>
      <c r="CU199" s="129"/>
      <c r="CV199" s="129"/>
      <c r="CW199" s="129"/>
      <c r="CX199" s="129"/>
      <c r="CY199" s="129"/>
      <c r="CZ199" s="129"/>
      <c r="DA199" s="129"/>
      <c r="DB199" s="129"/>
      <c r="DC199" s="129"/>
      <c r="DD199" s="129"/>
      <c r="DE199" s="129"/>
      <c r="DF199" s="128" t="s">
        <v>1596</v>
      </c>
      <c r="DG199" s="129"/>
      <c r="DH199" s="129"/>
      <c r="DI199" s="129"/>
      <c r="DJ199" s="129"/>
      <c r="DK199" s="129"/>
      <c r="DL199" s="129"/>
      <c r="DM199" s="129"/>
      <c r="DN199" s="129"/>
      <c r="DO199" s="129"/>
      <c r="DP199" s="129"/>
      <c r="DQ199" s="129"/>
      <c r="DR199" s="128" t="s">
        <v>1597</v>
      </c>
      <c r="DS199" s="129"/>
      <c r="DT199" s="129"/>
      <c r="DU199" s="129"/>
      <c r="DV199" s="129"/>
      <c r="DW199" s="129"/>
      <c r="DX199" s="129"/>
      <c r="DY199" s="129"/>
      <c r="DZ199" s="129"/>
      <c r="EA199" s="129"/>
      <c r="EB199" s="129"/>
      <c r="EC199" s="129"/>
      <c r="ED199" s="129"/>
      <c r="EE199" s="129"/>
      <c r="EF199" s="129"/>
      <c r="EG199" s="129"/>
      <c r="EH199" s="129"/>
      <c r="EI199" s="129"/>
      <c r="EJ199" s="129"/>
      <c r="EK199" s="129"/>
      <c r="EL199" s="129"/>
      <c r="EM199" s="129"/>
      <c r="EN199" s="129"/>
      <c r="EO199" s="129"/>
      <c r="EP199" s="129"/>
      <c r="EQ199" s="129"/>
      <c r="ER199" s="129"/>
      <c r="ES199" s="129"/>
      <c r="ET199" s="129"/>
      <c r="EU199" s="129"/>
      <c r="EV199" s="129"/>
      <c r="EW199" s="129"/>
      <c r="EX199" s="129"/>
      <c r="EY199" s="129"/>
      <c r="EZ199" s="129"/>
      <c r="FA199" s="129"/>
      <c r="FB199" s="129"/>
      <c r="FC199" s="129"/>
      <c r="FD199" s="129"/>
      <c r="FE199" s="129"/>
      <c r="FF199" s="129"/>
      <c r="FG199" s="129"/>
      <c r="FH199" s="129"/>
      <c r="FI199" s="129"/>
      <c r="FJ199" s="129"/>
      <c r="FK199" s="129"/>
      <c r="FL199" s="129"/>
      <c r="FM199" s="129"/>
      <c r="FN199" s="129"/>
      <c r="FO199" s="128"/>
      <c r="FP199" s="129"/>
      <c r="FQ199" s="129"/>
      <c r="FR199" s="128" t="s">
        <v>1598</v>
      </c>
      <c r="FS199" s="129"/>
    </row>
    <row r="200" spans="61:175" x14ac:dyDescent="0.3">
      <c r="BI200" s="128"/>
      <c r="BJ200" s="129"/>
      <c r="BK200" s="129"/>
      <c r="BL200" s="129"/>
      <c r="BM200" s="129"/>
      <c r="BN200" s="129"/>
      <c r="BO200" s="129"/>
      <c r="BP200" s="129"/>
      <c r="BQ200" s="129"/>
      <c r="BR200" s="129"/>
      <c r="BS200" s="129"/>
      <c r="BT200" s="129"/>
      <c r="BU200" s="129"/>
      <c r="BV200" s="129"/>
      <c r="BW200" s="129"/>
      <c r="BX200" s="129"/>
      <c r="BY200" s="129"/>
      <c r="BZ200" s="129"/>
      <c r="CA200" s="129"/>
      <c r="CB200" s="129"/>
      <c r="CC200" s="129"/>
      <c r="CD200" s="129"/>
      <c r="CE200" s="129"/>
      <c r="CF200" s="129"/>
      <c r="CG200" s="129"/>
      <c r="CH200" s="129"/>
      <c r="CI200" s="129"/>
      <c r="CJ200" s="129"/>
      <c r="CK200" s="128" t="s">
        <v>1599</v>
      </c>
      <c r="CL200" s="129"/>
      <c r="CM200" s="129"/>
      <c r="CN200" s="128" t="s">
        <v>1600</v>
      </c>
      <c r="CO200" s="129"/>
      <c r="CP200" s="129"/>
      <c r="CQ200" s="129"/>
      <c r="CR200" s="129"/>
      <c r="CS200" s="128" t="s">
        <v>1601</v>
      </c>
      <c r="CT200" s="129"/>
      <c r="CU200" s="129"/>
      <c r="CV200" s="129"/>
      <c r="CW200" s="129"/>
      <c r="CX200" s="129"/>
      <c r="CY200" s="129"/>
      <c r="CZ200" s="129"/>
      <c r="DA200" s="129"/>
      <c r="DB200" s="129"/>
      <c r="DC200" s="129"/>
      <c r="DD200" s="129"/>
      <c r="DE200" s="129"/>
      <c r="DF200" s="128" t="s">
        <v>1602</v>
      </c>
      <c r="DG200" s="129"/>
      <c r="DH200" s="129"/>
      <c r="DI200" s="129"/>
      <c r="DJ200" s="129"/>
      <c r="DK200" s="129"/>
      <c r="DL200" s="129"/>
      <c r="DM200" s="129"/>
      <c r="DN200" s="129"/>
      <c r="DO200" s="129"/>
      <c r="DP200" s="129"/>
      <c r="DQ200" s="129"/>
      <c r="DR200" s="128" t="s">
        <v>1603</v>
      </c>
      <c r="DS200" s="129"/>
      <c r="DT200" s="129"/>
      <c r="DU200" s="129"/>
      <c r="DV200" s="129"/>
      <c r="DW200" s="129"/>
      <c r="DX200" s="129"/>
      <c r="DY200" s="129"/>
      <c r="DZ200" s="129"/>
      <c r="EA200" s="129"/>
      <c r="EB200" s="129"/>
      <c r="EC200" s="129"/>
      <c r="ED200" s="129"/>
      <c r="EE200" s="129"/>
      <c r="EF200" s="129"/>
      <c r="EG200" s="129"/>
      <c r="EH200" s="129"/>
      <c r="EI200" s="129"/>
      <c r="EJ200" s="129"/>
      <c r="EK200" s="129"/>
      <c r="EL200" s="129"/>
      <c r="EM200" s="129"/>
      <c r="EN200" s="129"/>
      <c r="EO200" s="129"/>
      <c r="EP200" s="129"/>
      <c r="EQ200" s="129"/>
      <c r="ER200" s="129"/>
      <c r="ES200" s="129"/>
      <c r="ET200" s="129"/>
      <c r="EU200" s="129"/>
      <c r="EV200" s="129"/>
      <c r="EW200" s="129"/>
      <c r="EX200" s="129"/>
      <c r="EY200" s="129"/>
      <c r="EZ200" s="129"/>
      <c r="FA200" s="129"/>
      <c r="FB200" s="129"/>
      <c r="FC200" s="129"/>
      <c r="FD200" s="129"/>
      <c r="FE200" s="129"/>
      <c r="FF200" s="129"/>
      <c r="FG200" s="129"/>
      <c r="FH200" s="129"/>
      <c r="FI200" s="129"/>
      <c r="FJ200" s="129"/>
      <c r="FK200" s="129"/>
      <c r="FL200" s="129"/>
      <c r="FM200" s="129"/>
      <c r="FN200" s="129"/>
      <c r="FO200" s="128"/>
      <c r="FP200" s="129"/>
      <c r="FQ200" s="129"/>
      <c r="FR200" s="128" t="s">
        <v>1604</v>
      </c>
      <c r="FS200" s="129"/>
    </row>
    <row r="201" spans="61:175" x14ac:dyDescent="0.3">
      <c r="BI201" s="128"/>
      <c r="BJ201" s="129"/>
      <c r="BK201" s="129"/>
      <c r="BL201" s="129"/>
      <c r="BM201" s="129"/>
      <c r="BN201" s="129"/>
      <c r="BO201" s="129"/>
      <c r="BP201" s="129"/>
      <c r="BQ201" s="129"/>
      <c r="BR201" s="129"/>
      <c r="BS201" s="129"/>
      <c r="BT201" s="129"/>
      <c r="BU201" s="129"/>
      <c r="BV201" s="129"/>
      <c r="BW201" s="129"/>
      <c r="BX201" s="129"/>
      <c r="BY201" s="129"/>
      <c r="BZ201" s="129"/>
      <c r="CA201" s="129"/>
      <c r="CB201" s="129"/>
      <c r="CC201" s="129"/>
      <c r="CD201" s="129"/>
      <c r="CE201" s="129"/>
      <c r="CF201" s="129"/>
      <c r="CG201" s="129"/>
      <c r="CH201" s="129"/>
      <c r="CI201" s="129"/>
      <c r="CJ201" s="129"/>
      <c r="CK201" s="128"/>
      <c r="CL201" s="129"/>
      <c r="CM201" s="129"/>
      <c r="CN201" s="128" t="s">
        <v>1605</v>
      </c>
      <c r="CO201" s="129"/>
      <c r="CP201" s="129"/>
      <c r="CQ201" s="129"/>
      <c r="CR201" s="129"/>
      <c r="CS201" s="128" t="s">
        <v>1606</v>
      </c>
      <c r="CT201" s="129"/>
      <c r="CU201" s="129"/>
      <c r="CV201" s="129"/>
      <c r="CW201" s="129"/>
      <c r="CX201" s="129"/>
      <c r="CY201" s="129"/>
      <c r="CZ201" s="129"/>
      <c r="DA201" s="129"/>
      <c r="DB201" s="129"/>
      <c r="DC201" s="129"/>
      <c r="DD201" s="129"/>
      <c r="DE201" s="129"/>
      <c r="DF201" s="128" t="s">
        <v>1607</v>
      </c>
      <c r="DG201" s="129"/>
      <c r="DH201" s="129"/>
      <c r="DI201" s="129"/>
      <c r="DJ201" s="129"/>
      <c r="DK201" s="129"/>
      <c r="DL201" s="129"/>
      <c r="DM201" s="129"/>
      <c r="DN201" s="129"/>
      <c r="DO201" s="129"/>
      <c r="DP201" s="129"/>
      <c r="DQ201" s="129"/>
      <c r="DR201" s="128" t="s">
        <v>1608</v>
      </c>
      <c r="DS201" s="129"/>
      <c r="DT201" s="129"/>
      <c r="DU201" s="129"/>
      <c r="DV201" s="129"/>
      <c r="DW201" s="129"/>
      <c r="DX201" s="129"/>
      <c r="DY201" s="129"/>
      <c r="DZ201" s="129"/>
      <c r="EA201" s="129"/>
      <c r="EB201" s="129"/>
      <c r="EC201" s="129"/>
      <c r="ED201" s="129"/>
      <c r="EE201" s="129"/>
      <c r="EF201" s="129"/>
      <c r="EG201" s="129"/>
      <c r="EH201" s="129"/>
      <c r="EI201" s="129"/>
      <c r="EJ201" s="129"/>
      <c r="EK201" s="129"/>
      <c r="EL201" s="129"/>
      <c r="EM201" s="129"/>
      <c r="EN201" s="129"/>
      <c r="EO201" s="129"/>
      <c r="EP201" s="129"/>
      <c r="EQ201" s="129"/>
      <c r="ER201" s="129"/>
      <c r="ES201" s="129"/>
      <c r="ET201" s="129"/>
      <c r="EU201" s="129"/>
      <c r="EV201" s="129"/>
      <c r="EW201" s="129"/>
      <c r="EX201" s="129"/>
      <c r="EY201" s="129"/>
      <c r="EZ201" s="129"/>
      <c r="FA201" s="129"/>
      <c r="FB201" s="129"/>
      <c r="FC201" s="129"/>
      <c r="FD201" s="129"/>
      <c r="FE201" s="129"/>
      <c r="FF201" s="129"/>
      <c r="FG201" s="129"/>
      <c r="FH201" s="129"/>
      <c r="FI201" s="129"/>
      <c r="FJ201" s="129"/>
      <c r="FK201" s="129"/>
      <c r="FL201" s="129"/>
      <c r="FM201" s="129"/>
      <c r="FN201" s="129"/>
      <c r="FO201" s="128"/>
      <c r="FP201" s="129"/>
      <c r="FQ201" s="129"/>
      <c r="FR201" s="128" t="s">
        <v>1609</v>
      </c>
      <c r="FS201" s="129"/>
    </row>
    <row r="202" spans="61:175" x14ac:dyDescent="0.3">
      <c r="BI202" s="128"/>
      <c r="BJ202" s="129"/>
      <c r="BK202" s="129"/>
      <c r="BL202" s="129"/>
      <c r="BM202" s="129"/>
      <c r="BN202" s="129"/>
      <c r="BO202" s="129"/>
      <c r="BP202" s="129"/>
      <c r="BQ202" s="129"/>
      <c r="BR202" s="129"/>
      <c r="BS202" s="129"/>
      <c r="BT202" s="129"/>
      <c r="BU202" s="129"/>
      <c r="BV202" s="129"/>
      <c r="BW202" s="129"/>
      <c r="BX202" s="129"/>
      <c r="BY202" s="129"/>
      <c r="BZ202" s="129"/>
      <c r="CA202" s="129"/>
      <c r="CB202" s="129"/>
      <c r="CC202" s="129"/>
      <c r="CD202" s="129"/>
      <c r="CE202" s="129"/>
      <c r="CF202" s="129"/>
      <c r="CG202" s="129"/>
      <c r="CH202" s="129"/>
      <c r="CI202" s="129"/>
      <c r="CJ202" s="129"/>
      <c r="CK202" s="128"/>
      <c r="CL202" s="129"/>
      <c r="CM202" s="129"/>
      <c r="CN202" s="128" t="s">
        <v>1610</v>
      </c>
      <c r="CO202" s="129"/>
      <c r="CP202" s="129"/>
      <c r="CQ202" s="129"/>
      <c r="CR202" s="129"/>
      <c r="CS202" s="128" t="s">
        <v>1611</v>
      </c>
      <c r="CT202" s="129"/>
      <c r="CU202" s="129"/>
      <c r="CV202" s="129"/>
      <c r="CW202" s="129"/>
      <c r="CX202" s="129"/>
      <c r="CY202" s="129"/>
      <c r="CZ202" s="129"/>
      <c r="DA202" s="129"/>
      <c r="DB202" s="129"/>
      <c r="DC202" s="129"/>
      <c r="DD202" s="129"/>
      <c r="DE202" s="129"/>
      <c r="DF202" s="128" t="s">
        <v>1612</v>
      </c>
      <c r="DG202" s="129"/>
      <c r="DH202" s="129"/>
      <c r="DI202" s="129"/>
      <c r="DJ202" s="129"/>
      <c r="DK202" s="129"/>
      <c r="DL202" s="129"/>
      <c r="DM202" s="129"/>
      <c r="DN202" s="129"/>
      <c r="DO202" s="129"/>
      <c r="DP202" s="129"/>
      <c r="DQ202" s="129"/>
      <c r="DR202" s="128" t="s">
        <v>1613</v>
      </c>
      <c r="DS202" s="129"/>
      <c r="DT202" s="129"/>
      <c r="DU202" s="129"/>
      <c r="DV202" s="129"/>
      <c r="DW202" s="129"/>
      <c r="DX202" s="129"/>
      <c r="DY202" s="129"/>
      <c r="DZ202" s="129"/>
      <c r="EA202" s="129"/>
      <c r="EB202" s="129"/>
      <c r="EC202" s="129"/>
      <c r="ED202" s="129"/>
      <c r="EE202" s="129"/>
      <c r="EF202" s="129"/>
      <c r="EG202" s="129"/>
      <c r="EH202" s="129"/>
      <c r="EI202" s="129"/>
      <c r="EJ202" s="129"/>
      <c r="EK202" s="129"/>
      <c r="EL202" s="129"/>
      <c r="EM202" s="129"/>
      <c r="EN202" s="129"/>
      <c r="EO202" s="129"/>
      <c r="EP202" s="129"/>
      <c r="EQ202" s="129"/>
      <c r="ER202" s="129"/>
      <c r="ES202" s="129"/>
      <c r="ET202" s="129"/>
      <c r="EU202" s="129"/>
      <c r="EV202" s="129"/>
      <c r="EW202" s="129"/>
      <c r="EX202" s="129"/>
      <c r="EY202" s="129"/>
      <c r="EZ202" s="129"/>
      <c r="FA202" s="129"/>
      <c r="FB202" s="129"/>
      <c r="FC202" s="129"/>
      <c r="FD202" s="129"/>
      <c r="FE202" s="129"/>
      <c r="FF202" s="129"/>
      <c r="FG202" s="129"/>
      <c r="FH202" s="129"/>
      <c r="FI202" s="129"/>
      <c r="FJ202" s="129"/>
      <c r="FK202" s="129"/>
      <c r="FL202" s="129"/>
      <c r="FM202" s="129"/>
      <c r="FN202" s="129"/>
      <c r="FO202" s="128"/>
      <c r="FP202" s="129"/>
      <c r="FQ202" s="129"/>
      <c r="FR202" s="128"/>
      <c r="FS202" s="129"/>
    </row>
    <row r="203" spans="61:175" x14ac:dyDescent="0.3">
      <c r="BI203" s="128"/>
      <c r="BJ203" s="129"/>
      <c r="BK203" s="129"/>
      <c r="BL203" s="129"/>
      <c r="BM203" s="129"/>
      <c r="BN203" s="129"/>
      <c r="BO203" s="129"/>
      <c r="BP203" s="129"/>
      <c r="BQ203" s="129"/>
      <c r="BR203" s="129"/>
      <c r="BS203" s="129"/>
      <c r="BT203" s="129"/>
      <c r="BU203" s="129"/>
      <c r="BV203" s="129"/>
      <c r="BW203" s="129"/>
      <c r="BX203" s="129"/>
      <c r="BY203" s="129"/>
      <c r="BZ203" s="129"/>
      <c r="CA203" s="129"/>
      <c r="CB203" s="129"/>
      <c r="CC203" s="129"/>
      <c r="CD203" s="129"/>
      <c r="CE203" s="129"/>
      <c r="CF203" s="129"/>
      <c r="CG203" s="129"/>
      <c r="CH203" s="129"/>
      <c r="CI203" s="129"/>
      <c r="CJ203" s="129"/>
      <c r="CK203" s="128"/>
      <c r="CL203" s="129"/>
      <c r="CM203" s="129"/>
      <c r="CN203" s="128" t="s">
        <v>1614</v>
      </c>
      <c r="CO203" s="129"/>
      <c r="CP203" s="129"/>
      <c r="CQ203" s="129"/>
      <c r="CR203" s="129"/>
      <c r="CS203" s="139" t="s">
        <v>1615</v>
      </c>
      <c r="CT203" s="129"/>
      <c r="CU203" s="129"/>
      <c r="CV203" s="129"/>
      <c r="CW203" s="129"/>
      <c r="CX203" s="129"/>
      <c r="CY203" s="129"/>
      <c r="CZ203" s="129"/>
      <c r="DA203" s="129"/>
      <c r="DB203" s="129"/>
      <c r="DC203" s="129"/>
      <c r="DD203" s="129"/>
      <c r="DE203" s="129"/>
      <c r="DF203" s="128" t="s">
        <v>1616</v>
      </c>
      <c r="DG203" s="129"/>
      <c r="DH203" s="129"/>
      <c r="DI203" s="129"/>
      <c r="DJ203" s="129"/>
      <c r="DK203" s="129"/>
      <c r="DL203" s="129"/>
      <c r="DM203" s="129"/>
      <c r="DN203" s="129"/>
      <c r="DO203" s="129"/>
      <c r="DP203" s="129"/>
      <c r="DQ203" s="129"/>
      <c r="DR203" s="128" t="s">
        <v>1617</v>
      </c>
      <c r="DS203" s="129"/>
      <c r="DT203" s="129"/>
      <c r="DU203" s="129"/>
      <c r="DV203" s="129"/>
      <c r="DW203" s="129"/>
      <c r="DX203" s="129"/>
      <c r="DY203" s="129"/>
      <c r="DZ203" s="129"/>
      <c r="EA203" s="129"/>
      <c r="EB203" s="129"/>
      <c r="EC203" s="129"/>
      <c r="ED203" s="129"/>
      <c r="EE203" s="129"/>
      <c r="EF203" s="129"/>
      <c r="EG203" s="129"/>
      <c r="EH203" s="129"/>
      <c r="EI203" s="129"/>
      <c r="EJ203" s="129"/>
      <c r="EK203" s="129"/>
      <c r="EL203" s="129"/>
      <c r="EM203" s="129"/>
      <c r="EN203" s="129"/>
      <c r="EO203" s="129"/>
      <c r="EP203" s="129"/>
      <c r="EQ203" s="129"/>
      <c r="ER203" s="129"/>
      <c r="ES203" s="129"/>
      <c r="ET203" s="129"/>
      <c r="EU203" s="129"/>
      <c r="EV203" s="129"/>
      <c r="EW203" s="129"/>
      <c r="EX203" s="129"/>
      <c r="EY203" s="129"/>
      <c r="EZ203" s="129"/>
      <c r="FA203" s="129"/>
      <c r="FB203" s="129"/>
      <c r="FC203" s="129"/>
      <c r="FD203" s="129"/>
      <c r="FE203" s="129"/>
      <c r="FF203" s="129"/>
      <c r="FG203" s="129"/>
      <c r="FH203" s="129"/>
      <c r="FI203" s="129"/>
      <c r="FJ203" s="129"/>
      <c r="FK203" s="129"/>
      <c r="FL203" s="129"/>
      <c r="FM203" s="129"/>
      <c r="FN203" s="129"/>
      <c r="FO203" s="128"/>
      <c r="FP203" s="129"/>
      <c r="FQ203" s="129"/>
      <c r="FR203" s="128"/>
      <c r="FS203" s="129"/>
    </row>
    <row r="204" spans="61:175" x14ac:dyDescent="0.3">
      <c r="BI204" s="128"/>
      <c r="BJ204" s="129"/>
      <c r="BK204" s="129"/>
      <c r="BL204" s="129"/>
      <c r="BM204" s="129"/>
      <c r="BN204" s="129"/>
      <c r="BO204" s="129"/>
      <c r="BP204" s="129"/>
      <c r="BQ204" s="129"/>
      <c r="BR204" s="129"/>
      <c r="BS204" s="128"/>
      <c r="BT204" s="129"/>
      <c r="BU204" s="129"/>
      <c r="BV204" s="129"/>
      <c r="BW204" s="129"/>
      <c r="BX204" s="129"/>
      <c r="BY204" s="129"/>
      <c r="BZ204" s="129"/>
      <c r="CA204" s="129"/>
      <c r="CB204" s="129"/>
      <c r="CC204" s="129"/>
      <c r="CD204" s="129"/>
      <c r="CE204" s="129"/>
      <c r="CF204" s="129"/>
      <c r="CG204" s="129"/>
      <c r="CH204" s="129"/>
      <c r="CI204" s="129"/>
      <c r="CJ204" s="129"/>
      <c r="CK204" s="128"/>
      <c r="CL204" s="129"/>
      <c r="CM204" s="129"/>
      <c r="CN204" s="128" t="s">
        <v>1618</v>
      </c>
      <c r="CO204" s="129"/>
      <c r="CP204" s="129"/>
      <c r="CQ204" s="129"/>
      <c r="CR204" s="137"/>
      <c r="CS204" s="22" t="s">
        <v>1619</v>
      </c>
      <c r="CT204" s="138"/>
      <c r="CU204" s="129"/>
      <c r="CV204" s="129"/>
      <c r="CW204" s="129"/>
      <c r="CX204" s="129"/>
      <c r="CY204" s="129"/>
      <c r="CZ204" s="129"/>
      <c r="DA204" s="129"/>
      <c r="DB204" s="129"/>
      <c r="DC204" s="129"/>
      <c r="DD204" s="129"/>
      <c r="DE204" s="129"/>
      <c r="DF204" s="128"/>
      <c r="DG204" s="129"/>
      <c r="DH204" s="129"/>
      <c r="DI204" s="129"/>
      <c r="DJ204" s="129"/>
      <c r="DK204" s="129"/>
      <c r="DL204" s="129"/>
      <c r="DM204" s="129"/>
      <c r="DN204" s="129"/>
      <c r="DO204" s="129"/>
      <c r="DP204" s="129"/>
      <c r="DQ204" s="129"/>
      <c r="DR204" s="128" t="s">
        <v>1620</v>
      </c>
      <c r="DS204" s="129"/>
      <c r="DT204" s="129"/>
      <c r="DU204" s="129"/>
      <c r="DV204" s="129"/>
      <c r="DW204" s="129"/>
      <c r="DX204" s="129"/>
      <c r="DY204" s="129"/>
      <c r="DZ204" s="129"/>
      <c r="EA204" s="129"/>
      <c r="EB204" s="129"/>
      <c r="EC204" s="129"/>
      <c r="ED204" s="129"/>
      <c r="EE204" s="129"/>
      <c r="EF204" s="129"/>
      <c r="EG204" s="129"/>
      <c r="EH204" s="129"/>
      <c r="EI204" s="129"/>
      <c r="EJ204" s="129"/>
      <c r="EK204" s="129"/>
      <c r="EL204" s="129"/>
      <c r="EM204" s="129"/>
      <c r="EN204" s="129"/>
      <c r="EO204" s="129"/>
      <c r="EP204" s="129"/>
      <c r="EQ204" s="129"/>
      <c r="ER204" s="129"/>
      <c r="ES204" s="129"/>
      <c r="ET204" s="129"/>
      <c r="EU204" s="129"/>
      <c r="EV204" s="129"/>
      <c r="EW204" s="129"/>
      <c r="EX204" s="129"/>
      <c r="EY204" s="129"/>
      <c r="EZ204" s="129"/>
      <c r="FA204" s="129"/>
      <c r="FB204" s="129"/>
      <c r="FC204" s="129"/>
      <c r="FD204" s="129"/>
      <c r="FE204" s="129"/>
      <c r="FF204" s="129"/>
      <c r="FG204" s="129"/>
      <c r="FH204" s="129"/>
      <c r="FI204" s="129"/>
      <c r="FJ204" s="129"/>
      <c r="FK204" s="129"/>
      <c r="FL204" s="129"/>
      <c r="FM204" s="129"/>
      <c r="FN204" s="129"/>
      <c r="FO204" s="128"/>
      <c r="FP204" s="129"/>
      <c r="FQ204" s="129"/>
      <c r="FR204" s="128"/>
      <c r="FS204" s="129"/>
    </row>
    <row r="205" spans="61:175" x14ac:dyDescent="0.3">
      <c r="BI205" s="128"/>
      <c r="BJ205" s="129"/>
      <c r="BK205" s="129"/>
      <c r="BL205" s="129"/>
      <c r="BM205" s="129"/>
      <c r="BN205" s="129"/>
      <c r="BO205" s="129"/>
      <c r="BP205" s="129"/>
      <c r="BQ205" s="129"/>
      <c r="BR205" s="129"/>
      <c r="BS205" s="128"/>
      <c r="BT205" s="129"/>
      <c r="BU205" s="129"/>
      <c r="BV205" s="129"/>
      <c r="BW205" s="129"/>
      <c r="BX205" s="129"/>
      <c r="BY205" s="129"/>
      <c r="BZ205" s="129"/>
      <c r="CA205" s="129"/>
      <c r="CB205" s="129"/>
      <c r="CC205" s="129"/>
      <c r="CD205" s="129"/>
      <c r="CE205" s="129"/>
      <c r="CF205" s="129"/>
      <c r="CG205" s="129"/>
      <c r="CH205" s="129"/>
      <c r="CI205" s="129"/>
      <c r="CJ205" s="129"/>
      <c r="CK205" s="129"/>
      <c r="CL205" s="129"/>
      <c r="CM205" s="129"/>
      <c r="CN205" s="128" t="s">
        <v>1621</v>
      </c>
      <c r="CO205" s="129"/>
      <c r="CP205" s="129"/>
      <c r="CQ205" s="129"/>
      <c r="CR205" s="137"/>
      <c r="CS205" s="22" t="s">
        <v>1622</v>
      </c>
      <c r="CT205" s="138"/>
      <c r="CU205" s="129"/>
      <c r="CV205" s="129"/>
      <c r="CW205" s="129"/>
      <c r="CX205" s="129"/>
      <c r="CY205" s="129"/>
      <c r="CZ205" s="129"/>
      <c r="DA205" s="129"/>
      <c r="DB205" s="129"/>
      <c r="DC205" s="129"/>
      <c r="DD205" s="129"/>
      <c r="DE205" s="129"/>
      <c r="DF205" s="128"/>
      <c r="DG205" s="129"/>
      <c r="DH205" s="129"/>
      <c r="DI205" s="129"/>
      <c r="DJ205" s="129"/>
      <c r="DK205" s="129"/>
      <c r="DL205" s="129"/>
      <c r="DM205" s="129"/>
      <c r="DN205" s="129"/>
      <c r="DO205" s="129"/>
      <c r="DP205" s="129"/>
      <c r="DQ205" s="129"/>
      <c r="DR205" s="128" t="s">
        <v>1623</v>
      </c>
      <c r="DS205" s="129"/>
      <c r="DT205" s="129"/>
      <c r="DU205" s="129"/>
      <c r="DV205" s="129"/>
      <c r="DW205" s="129"/>
      <c r="DX205" s="129"/>
      <c r="DY205" s="129"/>
      <c r="DZ205" s="129"/>
      <c r="EA205" s="129"/>
      <c r="EB205" s="129"/>
      <c r="EC205" s="129"/>
      <c r="ED205" s="129"/>
      <c r="EE205" s="129"/>
      <c r="EF205" s="129"/>
      <c r="EG205" s="129"/>
      <c r="EH205" s="129"/>
      <c r="EI205" s="129"/>
      <c r="EJ205" s="129"/>
      <c r="EK205" s="129"/>
      <c r="EL205" s="129"/>
      <c r="EM205" s="129"/>
      <c r="EN205" s="129"/>
      <c r="EO205" s="129"/>
      <c r="EP205" s="129"/>
      <c r="EQ205" s="129"/>
      <c r="ER205" s="129"/>
      <c r="ES205" s="129"/>
      <c r="ET205" s="129"/>
      <c r="EU205" s="129"/>
      <c r="EV205" s="129"/>
      <c r="EW205" s="129"/>
      <c r="EX205" s="129"/>
      <c r="EY205" s="129"/>
      <c r="EZ205" s="129"/>
      <c r="FA205" s="129"/>
      <c r="FB205" s="129"/>
      <c r="FC205" s="129"/>
      <c r="FD205" s="129"/>
      <c r="FE205" s="129"/>
      <c r="FF205" s="129"/>
      <c r="FG205" s="129"/>
      <c r="FH205" s="129"/>
      <c r="FI205" s="129"/>
      <c r="FJ205" s="129"/>
      <c r="FK205" s="129"/>
      <c r="FL205" s="129"/>
      <c r="FM205" s="129"/>
      <c r="FN205" s="129"/>
      <c r="FO205" s="129"/>
      <c r="FP205" s="129"/>
      <c r="FQ205" s="129"/>
      <c r="FR205" s="128"/>
      <c r="FS205" s="129"/>
    </row>
    <row r="206" spans="61:175" x14ac:dyDescent="0.3">
      <c r="BI206" s="128"/>
      <c r="BJ206" s="129"/>
      <c r="BK206" s="129"/>
      <c r="BL206" s="129"/>
      <c r="BM206" s="129"/>
      <c r="BN206" s="129"/>
      <c r="BO206" s="129"/>
      <c r="BP206" s="129"/>
      <c r="BQ206" s="129"/>
      <c r="BR206" s="129"/>
      <c r="BS206" s="128"/>
      <c r="BT206" s="129"/>
      <c r="BU206" s="129"/>
      <c r="BV206" s="129"/>
      <c r="BW206" s="129"/>
      <c r="BX206" s="129"/>
      <c r="BY206" s="129"/>
      <c r="BZ206" s="129"/>
      <c r="CA206" s="129"/>
      <c r="CB206" s="129"/>
      <c r="CC206" s="129"/>
      <c r="CD206" s="129"/>
      <c r="CE206" s="129"/>
      <c r="CF206" s="129"/>
      <c r="CG206" s="129"/>
      <c r="CH206" s="129"/>
      <c r="CI206" s="129"/>
      <c r="CJ206" s="129"/>
      <c r="CK206" s="129"/>
      <c r="CL206" s="129"/>
      <c r="CM206" s="129"/>
      <c r="CN206" s="128" t="s">
        <v>1624</v>
      </c>
      <c r="CO206" s="129"/>
      <c r="CP206" s="129"/>
      <c r="CQ206" s="129"/>
      <c r="CR206" s="137"/>
      <c r="CS206" s="22"/>
      <c r="CT206" s="138"/>
      <c r="CU206" s="129"/>
      <c r="CV206" s="129"/>
      <c r="CW206" s="129"/>
      <c r="CX206" s="129"/>
      <c r="CY206" s="129"/>
      <c r="CZ206" s="129"/>
      <c r="DA206" s="129"/>
      <c r="DB206" s="129"/>
      <c r="DC206" s="129"/>
      <c r="DD206" s="129"/>
      <c r="DE206" s="129"/>
      <c r="DF206" s="128"/>
      <c r="DG206" s="129"/>
      <c r="DH206" s="129"/>
      <c r="DI206" s="129"/>
      <c r="DJ206" s="129"/>
      <c r="DK206" s="129"/>
      <c r="DL206" s="129"/>
      <c r="DM206" s="129"/>
      <c r="DN206" s="129"/>
      <c r="DO206" s="129"/>
      <c r="DP206" s="129"/>
      <c r="DQ206" s="129"/>
      <c r="DR206" s="128" t="s">
        <v>1625</v>
      </c>
      <c r="DS206" s="129"/>
      <c r="DT206" s="129"/>
      <c r="DU206" s="129"/>
      <c r="DV206" s="129"/>
      <c r="DW206" s="129"/>
      <c r="DX206" s="129"/>
      <c r="DY206" s="129"/>
      <c r="DZ206" s="129"/>
      <c r="EA206" s="129"/>
      <c r="EB206" s="129"/>
      <c r="EC206" s="129"/>
      <c r="ED206" s="129"/>
      <c r="EE206" s="129"/>
      <c r="EF206" s="129"/>
      <c r="EG206" s="129"/>
      <c r="EH206" s="129"/>
      <c r="EI206" s="129"/>
      <c r="EJ206" s="129"/>
      <c r="EK206" s="129"/>
      <c r="EL206" s="129"/>
      <c r="EM206" s="129"/>
      <c r="EN206" s="129"/>
      <c r="EO206" s="129"/>
      <c r="EP206" s="129"/>
      <c r="EQ206" s="129"/>
      <c r="ER206" s="129"/>
      <c r="ES206" s="129"/>
      <c r="ET206" s="129"/>
      <c r="EU206" s="129"/>
      <c r="EV206" s="129"/>
      <c r="EW206" s="129"/>
      <c r="EX206" s="129"/>
      <c r="EY206" s="129"/>
      <c r="EZ206" s="129"/>
      <c r="FA206" s="129"/>
      <c r="FB206" s="129"/>
      <c r="FC206" s="129"/>
      <c r="FD206" s="129"/>
      <c r="FE206" s="129"/>
      <c r="FF206" s="129"/>
      <c r="FG206" s="129"/>
      <c r="FH206" s="129"/>
      <c r="FI206" s="129"/>
      <c r="FJ206" s="129"/>
      <c r="FK206" s="129"/>
      <c r="FL206" s="129"/>
      <c r="FM206" s="129"/>
      <c r="FN206" s="129"/>
      <c r="FO206" s="129"/>
      <c r="FP206" s="129"/>
      <c r="FQ206" s="129"/>
      <c r="FR206" s="128"/>
      <c r="FS206" s="129"/>
    </row>
    <row r="207" spans="61:175" x14ac:dyDescent="0.3">
      <c r="BI207" s="128"/>
      <c r="BJ207" s="129"/>
      <c r="BK207" s="129"/>
      <c r="BL207" s="129"/>
      <c r="BM207" s="129"/>
      <c r="BN207" s="129"/>
      <c r="BO207" s="129"/>
      <c r="BP207" s="129"/>
      <c r="BQ207" s="129"/>
      <c r="BR207" s="129"/>
      <c r="BS207" s="128"/>
      <c r="BT207" s="129"/>
      <c r="BU207" s="129"/>
      <c r="BV207" s="129"/>
      <c r="BW207" s="129"/>
      <c r="BX207" s="129"/>
      <c r="BY207" s="129"/>
      <c r="BZ207" s="129"/>
      <c r="CA207" s="129"/>
      <c r="CB207" s="129"/>
      <c r="CC207" s="129"/>
      <c r="CD207" s="129"/>
      <c r="CE207" s="129"/>
      <c r="CF207" s="129"/>
      <c r="CG207" s="129"/>
      <c r="CH207" s="129"/>
      <c r="CI207" s="129"/>
      <c r="CJ207" s="129"/>
      <c r="CK207" s="129"/>
      <c r="CL207" s="129"/>
      <c r="CM207" s="129"/>
      <c r="CN207" s="128" t="s">
        <v>1626</v>
      </c>
      <c r="CO207" s="129"/>
      <c r="CP207" s="129"/>
      <c r="CQ207" s="129"/>
      <c r="CR207" s="137"/>
      <c r="CS207" s="22"/>
      <c r="CT207" s="138"/>
      <c r="CU207" s="129"/>
      <c r="CV207" s="129"/>
      <c r="CW207" s="129"/>
      <c r="CX207" s="129"/>
      <c r="CY207" s="129"/>
      <c r="CZ207" s="129"/>
      <c r="DA207" s="129"/>
      <c r="DB207" s="129"/>
      <c r="DC207" s="129"/>
      <c r="DD207" s="129"/>
      <c r="DE207" s="129"/>
      <c r="DF207" s="128"/>
      <c r="DG207" s="129"/>
      <c r="DH207" s="129"/>
      <c r="DI207" s="129"/>
      <c r="DJ207" s="129"/>
      <c r="DK207" s="129"/>
      <c r="DL207" s="129"/>
      <c r="DM207" s="129"/>
      <c r="DN207" s="129"/>
      <c r="DO207" s="129"/>
      <c r="DP207" s="129"/>
      <c r="DQ207" s="129"/>
      <c r="DR207" s="128" t="s">
        <v>1627</v>
      </c>
      <c r="DS207" s="128"/>
      <c r="DT207" s="129"/>
      <c r="DU207" s="129"/>
      <c r="DV207" s="129"/>
      <c r="DW207" s="129"/>
      <c r="DX207" s="129"/>
      <c r="DY207" s="129"/>
      <c r="DZ207" s="129"/>
      <c r="EA207" s="129"/>
      <c r="EB207" s="129"/>
      <c r="EC207" s="129"/>
      <c r="ED207" s="129"/>
      <c r="EE207" s="129"/>
      <c r="EF207" s="129"/>
      <c r="EG207" s="129"/>
      <c r="EH207" s="129"/>
      <c r="EI207" s="129"/>
      <c r="EJ207" s="129"/>
      <c r="EK207" s="129"/>
      <c r="EL207" s="129"/>
      <c r="EM207" s="129"/>
      <c r="EN207" s="129"/>
      <c r="EO207" s="129"/>
      <c r="EP207" s="129"/>
      <c r="EQ207" s="129"/>
      <c r="ER207" s="129"/>
      <c r="ES207" s="129"/>
      <c r="ET207" s="129"/>
      <c r="EU207" s="129"/>
      <c r="EV207" s="129"/>
      <c r="EW207" s="129"/>
      <c r="EX207" s="129"/>
      <c r="EY207" s="129"/>
      <c r="EZ207" s="129"/>
      <c r="FA207" s="129"/>
      <c r="FB207" s="129"/>
      <c r="FC207" s="129"/>
      <c r="FD207" s="129"/>
      <c r="FE207" s="129"/>
      <c r="FF207" s="129"/>
      <c r="FG207" s="129"/>
      <c r="FH207" s="129"/>
      <c r="FI207" s="129"/>
      <c r="FJ207" s="129"/>
      <c r="FK207" s="129"/>
      <c r="FL207" s="129"/>
      <c r="FM207" s="129"/>
      <c r="FN207" s="129"/>
      <c r="FO207" s="129"/>
      <c r="FP207" s="129"/>
      <c r="FQ207" s="129"/>
      <c r="FR207" s="128"/>
      <c r="FS207" s="129"/>
    </row>
    <row r="208" spans="61:175" x14ac:dyDescent="0.3">
      <c r="BI208" s="128"/>
      <c r="BJ208" s="129"/>
      <c r="BK208" s="129"/>
      <c r="BL208" s="129"/>
      <c r="BM208" s="129"/>
      <c r="BN208" s="129"/>
      <c r="BO208" s="129"/>
      <c r="BP208" s="129"/>
      <c r="BQ208" s="129"/>
      <c r="BR208" s="129"/>
      <c r="BS208" s="128"/>
      <c r="BT208" s="129"/>
      <c r="BU208" s="129"/>
      <c r="BV208" s="129"/>
      <c r="BW208" s="129"/>
      <c r="BX208" s="129"/>
      <c r="BY208" s="129"/>
      <c r="BZ208" s="129"/>
      <c r="CA208" s="129"/>
      <c r="CB208" s="129"/>
      <c r="CC208" s="129"/>
      <c r="CD208" s="129"/>
      <c r="CE208" s="129"/>
      <c r="CF208" s="129"/>
      <c r="CG208" s="129"/>
      <c r="CH208" s="129"/>
      <c r="CI208" s="129"/>
      <c r="CJ208" s="129"/>
      <c r="CK208" s="129"/>
      <c r="CL208" s="129"/>
      <c r="CM208" s="129"/>
      <c r="CN208" s="128" t="s">
        <v>1628</v>
      </c>
      <c r="CO208" s="129"/>
      <c r="CP208" s="129"/>
      <c r="CQ208" s="129"/>
      <c r="CR208" s="137"/>
      <c r="CS208" s="22"/>
      <c r="CT208" s="138"/>
      <c r="CU208" s="129"/>
      <c r="CV208" s="129"/>
      <c r="CW208" s="129"/>
      <c r="CX208" s="129"/>
      <c r="CY208" s="129"/>
      <c r="CZ208" s="129"/>
      <c r="DA208" s="129"/>
      <c r="DB208" s="129"/>
      <c r="DC208" s="129"/>
      <c r="DD208" s="129"/>
      <c r="DE208" s="129"/>
      <c r="DF208" s="128"/>
      <c r="DG208" s="129"/>
      <c r="DH208" s="129"/>
      <c r="DI208" s="129"/>
      <c r="DJ208" s="129"/>
      <c r="DK208" s="129"/>
      <c r="DL208" s="129"/>
      <c r="DM208" s="129"/>
      <c r="DN208" s="129"/>
      <c r="DO208" s="129"/>
      <c r="DP208" s="129"/>
      <c r="DQ208" s="129"/>
      <c r="DR208" s="128" t="s">
        <v>1629</v>
      </c>
      <c r="DS208" s="128"/>
      <c r="DT208" s="129"/>
      <c r="DU208" s="129"/>
      <c r="DV208" s="129"/>
      <c r="DW208" s="129"/>
      <c r="DX208" s="129"/>
      <c r="DY208" s="129"/>
      <c r="DZ208" s="129"/>
      <c r="EA208" s="129"/>
      <c r="EB208" s="129"/>
      <c r="EC208" s="129"/>
      <c r="ED208" s="129"/>
      <c r="EE208" s="129"/>
      <c r="EF208" s="129"/>
      <c r="EG208" s="129"/>
      <c r="EH208" s="129"/>
      <c r="EI208" s="129"/>
      <c r="EJ208" s="129"/>
      <c r="EK208" s="129"/>
      <c r="EL208" s="129"/>
      <c r="EM208" s="129"/>
      <c r="EN208" s="129"/>
      <c r="EO208" s="129"/>
      <c r="EP208" s="129"/>
      <c r="EQ208" s="129"/>
      <c r="ER208" s="129"/>
      <c r="ES208" s="129"/>
      <c r="ET208" s="129"/>
      <c r="EU208" s="129"/>
      <c r="EV208" s="129"/>
      <c r="EW208" s="129"/>
      <c r="EX208" s="129"/>
      <c r="EY208" s="129"/>
      <c r="EZ208" s="129"/>
      <c r="FA208" s="129"/>
      <c r="FB208" s="129"/>
      <c r="FC208" s="129"/>
      <c r="FD208" s="129"/>
      <c r="FE208" s="129"/>
      <c r="FF208" s="129"/>
      <c r="FG208" s="129"/>
      <c r="FH208" s="129"/>
      <c r="FI208" s="129"/>
      <c r="FJ208" s="129"/>
      <c r="FK208" s="129"/>
      <c r="FL208" s="129"/>
      <c r="FM208" s="129"/>
      <c r="FN208" s="129"/>
      <c r="FO208" s="129"/>
      <c r="FP208" s="129"/>
      <c r="FQ208" s="129"/>
      <c r="FR208" s="128"/>
      <c r="FS208" s="129"/>
    </row>
    <row r="209" spans="61:175" x14ac:dyDescent="0.3">
      <c r="BI209" s="128"/>
      <c r="BJ209" s="129"/>
      <c r="BK209" s="129"/>
      <c r="BL209" s="129"/>
      <c r="BM209" s="129"/>
      <c r="BN209" s="129"/>
      <c r="BO209" s="129"/>
      <c r="BP209" s="129"/>
      <c r="BQ209" s="129"/>
      <c r="BR209" s="129"/>
      <c r="BS209" s="128"/>
      <c r="BT209" s="129"/>
      <c r="BU209" s="129"/>
      <c r="BV209" s="129"/>
      <c r="BW209" s="129"/>
      <c r="BX209" s="129"/>
      <c r="BY209" s="129"/>
      <c r="BZ209" s="129"/>
      <c r="CA209" s="129"/>
      <c r="CB209" s="129"/>
      <c r="CC209" s="129"/>
      <c r="CD209" s="129"/>
      <c r="CE209" s="129"/>
      <c r="CF209" s="129"/>
      <c r="CG209" s="129"/>
      <c r="CH209" s="129"/>
      <c r="CI209" s="129"/>
      <c r="CJ209" s="129"/>
      <c r="CK209" s="129"/>
      <c r="CL209" s="129"/>
      <c r="CM209" s="129"/>
      <c r="CN209" s="128" t="s">
        <v>1630</v>
      </c>
      <c r="CO209" s="129"/>
      <c r="CP209" s="129"/>
      <c r="CQ209" s="129"/>
      <c r="CR209" s="129"/>
      <c r="CS209" s="140"/>
      <c r="CT209" s="129"/>
      <c r="CU209" s="129"/>
      <c r="CV209" s="129"/>
      <c r="CW209" s="129"/>
      <c r="CX209" s="129"/>
      <c r="CY209" s="129"/>
      <c r="CZ209" s="129"/>
      <c r="DA209" s="129"/>
      <c r="DB209" s="129"/>
      <c r="DC209" s="129"/>
      <c r="DD209" s="129"/>
      <c r="DE209" s="129"/>
      <c r="DF209" s="128"/>
      <c r="DG209" s="129"/>
      <c r="DH209" s="129"/>
      <c r="DI209" s="129"/>
      <c r="DJ209" s="129"/>
      <c r="DK209" s="129"/>
      <c r="DL209" s="129"/>
      <c r="DM209" s="129"/>
      <c r="DN209" s="129"/>
      <c r="DO209" s="129"/>
      <c r="DP209" s="129"/>
      <c r="DQ209" s="129"/>
      <c r="DR209" s="8" t="s">
        <v>1631</v>
      </c>
      <c r="DS209" s="128"/>
      <c r="DT209" s="129"/>
      <c r="DU209" s="129"/>
      <c r="DV209" s="129"/>
      <c r="DW209" s="129"/>
      <c r="DX209" s="129"/>
      <c r="DY209" s="129"/>
      <c r="DZ209" s="129"/>
      <c r="EA209" s="129"/>
      <c r="EB209" s="129"/>
      <c r="EC209" s="129"/>
      <c r="ED209" s="129"/>
      <c r="EE209" s="129"/>
      <c r="EF209" s="129"/>
      <c r="EG209" s="129"/>
      <c r="EH209" s="129"/>
      <c r="EI209" s="129"/>
      <c r="EJ209" s="129"/>
      <c r="EK209" s="129"/>
      <c r="EL209" s="129"/>
      <c r="EM209" s="129"/>
      <c r="EN209" s="129"/>
      <c r="EO209" s="129"/>
      <c r="EP209" s="129"/>
      <c r="EQ209" s="129"/>
      <c r="ER209" s="129"/>
      <c r="ES209" s="129"/>
      <c r="ET209" s="129"/>
      <c r="EU209" s="129"/>
      <c r="EV209" s="129"/>
      <c r="EW209" s="129"/>
      <c r="EX209" s="129"/>
      <c r="EY209" s="129"/>
      <c r="EZ209" s="129"/>
      <c r="FA209" s="129"/>
      <c r="FB209" s="129"/>
      <c r="FC209" s="129"/>
      <c r="FD209" s="129"/>
      <c r="FE209" s="129"/>
      <c r="FF209" s="129"/>
      <c r="FG209" s="129"/>
      <c r="FH209" s="129"/>
      <c r="FI209" s="129"/>
      <c r="FJ209" s="129"/>
      <c r="FK209" s="129"/>
      <c r="FL209" s="129"/>
      <c r="FM209" s="129"/>
      <c r="FN209" s="129"/>
      <c r="FO209" s="129"/>
      <c r="FP209" s="129"/>
      <c r="FQ209" s="129"/>
      <c r="FR209" s="128"/>
      <c r="FS209" s="129"/>
    </row>
    <row r="210" spans="61:175" x14ac:dyDescent="0.3">
      <c r="BI210" s="128"/>
      <c r="BJ210" s="129"/>
      <c r="BK210" s="129"/>
      <c r="BL210" s="129"/>
      <c r="BM210" s="129"/>
      <c r="BN210" s="129"/>
      <c r="BO210" s="129"/>
      <c r="BP210" s="129"/>
      <c r="BQ210" s="129"/>
      <c r="BR210" s="129"/>
      <c r="BS210" s="128"/>
      <c r="BT210" s="129"/>
      <c r="BU210" s="129"/>
      <c r="BV210" s="129"/>
      <c r="BW210" s="129"/>
      <c r="BX210" s="129"/>
      <c r="BY210" s="129"/>
      <c r="BZ210" s="129"/>
      <c r="CA210" s="129"/>
      <c r="CB210" s="129"/>
      <c r="CC210" s="129"/>
      <c r="CD210" s="129"/>
      <c r="CE210" s="129"/>
      <c r="CF210" s="129"/>
      <c r="CG210" s="129"/>
      <c r="CH210" s="129"/>
      <c r="CI210" s="129"/>
      <c r="CJ210" s="129"/>
      <c r="CK210" s="129"/>
      <c r="CL210" s="129"/>
      <c r="CM210" s="129"/>
      <c r="CN210" s="128" t="s">
        <v>1632</v>
      </c>
      <c r="CO210" s="129"/>
      <c r="CP210" s="129"/>
      <c r="CQ210" s="129"/>
      <c r="CR210" s="129"/>
      <c r="CS210" s="128"/>
      <c r="CT210" s="129"/>
      <c r="CU210" s="129"/>
      <c r="CV210" s="129"/>
      <c r="CW210" s="129"/>
      <c r="CX210" s="129"/>
      <c r="CY210" s="129"/>
      <c r="CZ210" s="129"/>
      <c r="DA210" s="129"/>
      <c r="DB210" s="129"/>
      <c r="DC210" s="129"/>
      <c r="DD210" s="129"/>
      <c r="DE210" s="129"/>
      <c r="DF210" s="128"/>
      <c r="DG210" s="129"/>
      <c r="DH210" s="129"/>
      <c r="DI210" s="129"/>
      <c r="DJ210" s="129"/>
      <c r="DK210" s="129"/>
      <c r="DL210" s="129"/>
      <c r="DM210" s="129"/>
      <c r="DN210" s="129"/>
      <c r="DO210" s="129"/>
      <c r="DP210" s="129"/>
      <c r="DQ210" s="129"/>
      <c r="DR210" s="8" t="s">
        <v>1633</v>
      </c>
      <c r="DS210" s="128"/>
      <c r="DT210" s="129"/>
      <c r="DU210" s="129"/>
      <c r="DV210" s="129"/>
      <c r="DW210" s="129"/>
      <c r="DX210" s="129"/>
      <c r="DY210" s="129"/>
      <c r="DZ210" s="129"/>
      <c r="EA210" s="129"/>
      <c r="EB210" s="129"/>
      <c r="EC210" s="129"/>
      <c r="ED210" s="129"/>
      <c r="EE210" s="129"/>
      <c r="EF210" s="129"/>
      <c r="EG210" s="129"/>
      <c r="EH210" s="129"/>
      <c r="EI210" s="129"/>
      <c r="EJ210" s="129"/>
      <c r="EK210" s="129"/>
      <c r="EL210" s="129"/>
      <c r="EM210" s="129"/>
      <c r="EN210" s="129"/>
      <c r="EO210" s="129"/>
      <c r="EP210" s="129"/>
      <c r="EQ210" s="129"/>
      <c r="ER210" s="129"/>
      <c r="ES210" s="129"/>
      <c r="ET210" s="129"/>
      <c r="EU210" s="129"/>
      <c r="EV210" s="129"/>
      <c r="EW210" s="129"/>
      <c r="EX210" s="129"/>
      <c r="EY210" s="129"/>
      <c r="EZ210" s="129"/>
      <c r="FA210" s="129"/>
      <c r="FB210" s="129"/>
      <c r="FC210" s="129"/>
      <c r="FD210" s="129"/>
      <c r="FE210" s="129"/>
      <c r="FF210" s="129"/>
      <c r="FG210" s="129"/>
      <c r="FH210" s="129"/>
      <c r="FI210" s="129"/>
      <c r="FJ210" s="129"/>
      <c r="FK210" s="129"/>
      <c r="FL210" s="129"/>
      <c r="FM210" s="129"/>
      <c r="FN210" s="129"/>
      <c r="FO210" s="129"/>
      <c r="FP210" s="129"/>
      <c r="FQ210" s="129"/>
      <c r="FR210" s="128"/>
      <c r="FS210" s="129"/>
    </row>
    <row r="211" spans="61:175" x14ac:dyDescent="0.3">
      <c r="BI211" s="128"/>
      <c r="BJ211" s="129"/>
      <c r="BK211" s="129"/>
      <c r="BL211" s="129"/>
      <c r="BM211" s="129"/>
      <c r="BN211" s="129"/>
      <c r="BO211" s="129"/>
      <c r="BP211" s="129"/>
      <c r="BQ211" s="129"/>
      <c r="BR211" s="129"/>
      <c r="BS211" s="128"/>
      <c r="BT211" s="129"/>
      <c r="BU211" s="129"/>
      <c r="BV211" s="129"/>
      <c r="BW211" s="129"/>
      <c r="BX211" s="129"/>
      <c r="BY211" s="129"/>
      <c r="BZ211" s="129"/>
      <c r="CA211" s="129"/>
      <c r="CB211" s="129"/>
      <c r="CC211" s="129"/>
      <c r="CD211" s="129"/>
      <c r="CE211" s="129"/>
      <c r="CF211" s="129"/>
      <c r="CG211" s="129"/>
      <c r="CH211" s="129"/>
      <c r="CI211" s="129"/>
      <c r="CJ211" s="129"/>
      <c r="CK211" s="129"/>
      <c r="CL211" s="129"/>
      <c r="CM211" s="129"/>
      <c r="CN211" s="129"/>
      <c r="CO211" s="128"/>
      <c r="CP211" s="129"/>
      <c r="CQ211" s="129"/>
      <c r="CR211" s="129"/>
      <c r="CS211" s="128"/>
      <c r="CT211" s="129"/>
      <c r="CU211" s="129"/>
      <c r="CV211" s="129"/>
      <c r="CW211" s="129"/>
      <c r="CX211" s="129"/>
      <c r="CY211" s="129"/>
      <c r="CZ211" s="129"/>
      <c r="DA211" s="129"/>
      <c r="DB211" s="129"/>
      <c r="DC211" s="129"/>
      <c r="DD211" s="129"/>
      <c r="DE211" s="129"/>
      <c r="DF211" s="128"/>
      <c r="DG211" s="129"/>
      <c r="DH211" s="129"/>
      <c r="DI211" s="129"/>
      <c r="DJ211" s="129"/>
      <c r="DK211" s="129"/>
      <c r="DL211" s="129"/>
      <c r="DM211" s="129"/>
      <c r="DN211" s="129"/>
      <c r="DO211" s="129"/>
      <c r="DP211" s="129"/>
      <c r="DQ211" s="129"/>
      <c r="DR211" s="8" t="s">
        <v>1634</v>
      </c>
      <c r="DS211" s="128"/>
      <c r="DT211" s="129"/>
      <c r="DU211" s="129"/>
      <c r="DV211" s="129"/>
      <c r="DW211" s="129"/>
      <c r="DX211" s="129"/>
      <c r="DY211" s="129"/>
      <c r="DZ211" s="129"/>
      <c r="EA211" s="129"/>
      <c r="EB211" s="129"/>
      <c r="EC211" s="129"/>
      <c r="ED211" s="129"/>
      <c r="EE211" s="129"/>
      <c r="EF211" s="129"/>
      <c r="EG211" s="129"/>
      <c r="EH211" s="129"/>
      <c r="EI211" s="129"/>
      <c r="EJ211" s="129"/>
      <c r="EK211" s="129"/>
      <c r="EL211" s="129"/>
      <c r="EM211" s="129"/>
      <c r="EN211" s="129"/>
      <c r="EO211" s="129"/>
      <c r="EP211" s="129"/>
      <c r="EQ211" s="129"/>
      <c r="ER211" s="129"/>
      <c r="ES211" s="129"/>
      <c r="ET211" s="129"/>
      <c r="EU211" s="129"/>
      <c r="EV211" s="129"/>
      <c r="EW211" s="129"/>
      <c r="EX211" s="129"/>
      <c r="EY211" s="129"/>
      <c r="EZ211" s="129"/>
      <c r="FA211" s="129"/>
      <c r="FB211" s="129"/>
      <c r="FC211" s="129"/>
      <c r="FD211" s="129"/>
      <c r="FE211" s="129"/>
      <c r="FF211" s="129"/>
      <c r="FG211" s="129"/>
      <c r="FH211" s="129"/>
      <c r="FI211" s="129"/>
      <c r="FJ211" s="129"/>
      <c r="FK211" s="129"/>
      <c r="FL211" s="129"/>
      <c r="FM211" s="129"/>
      <c r="FN211" s="129"/>
      <c r="FO211" s="129"/>
      <c r="FP211" s="129"/>
      <c r="FQ211" s="129"/>
      <c r="FR211" s="128"/>
      <c r="FS211" s="129"/>
    </row>
    <row r="212" spans="61:175" x14ac:dyDescent="0.3">
      <c r="BS212" s="8"/>
      <c r="CO212" s="8"/>
      <c r="DR212" s="8" t="s">
        <v>1635</v>
      </c>
      <c r="DS212" s="8"/>
    </row>
    <row r="213" spans="61:175" x14ac:dyDescent="0.3">
      <c r="BS213" s="8"/>
      <c r="CO213" s="8"/>
      <c r="DR213" s="8" t="s">
        <v>1636</v>
      </c>
      <c r="DS213" s="8"/>
    </row>
    <row r="214" spans="61:175" x14ac:dyDescent="0.3">
      <c r="BS214" s="8"/>
      <c r="CO214" s="8"/>
      <c r="DR214" s="8" t="s">
        <v>1637</v>
      </c>
      <c r="DS214" s="8"/>
    </row>
    <row r="215" spans="61:175" x14ac:dyDescent="0.3">
      <c r="BS215" s="8"/>
      <c r="CO215" s="8"/>
      <c r="DR215" s="8" t="s">
        <v>1638</v>
      </c>
      <c r="DS215" s="8"/>
    </row>
    <row r="216" spans="61:175" x14ac:dyDescent="0.3">
      <c r="BS216" s="8"/>
      <c r="CO216" s="8"/>
      <c r="DR216" s="8" t="s">
        <v>1639</v>
      </c>
      <c r="DS216" s="8"/>
    </row>
    <row r="217" spans="61:175" x14ac:dyDescent="0.3">
      <c r="BS217" s="8"/>
      <c r="DR217" s="8" t="s">
        <v>1640</v>
      </c>
      <c r="DS217" s="8"/>
    </row>
    <row r="218" spans="61:175" x14ac:dyDescent="0.3">
      <c r="BS218" s="8"/>
      <c r="DR218" s="8" t="s">
        <v>1641</v>
      </c>
      <c r="DS218" s="8"/>
    </row>
    <row r="219" spans="61:175" x14ac:dyDescent="0.3">
      <c r="BS219" s="8"/>
      <c r="DR219" s="8" t="s">
        <v>1642</v>
      </c>
      <c r="DS219" s="8"/>
    </row>
    <row r="220" spans="61:175" x14ac:dyDescent="0.3">
      <c r="BS220" s="8"/>
      <c r="DR220" s="8" t="s">
        <v>1643</v>
      </c>
      <c r="DS220" s="8"/>
    </row>
    <row r="221" spans="61:175" x14ac:dyDescent="0.3">
      <c r="BS221" s="8"/>
      <c r="DR221" s="8" t="s">
        <v>1644</v>
      </c>
      <c r="DS221" s="8"/>
    </row>
    <row r="222" spans="61:175" x14ac:dyDescent="0.3">
      <c r="BS222" s="8"/>
      <c r="DR222" s="8" t="s">
        <v>1645</v>
      </c>
      <c r="DS222" s="8"/>
    </row>
    <row r="223" spans="61:175" x14ac:dyDescent="0.3">
      <c r="BS223" s="8"/>
      <c r="DR223" s="8" t="s">
        <v>1646</v>
      </c>
      <c r="DS223" s="8"/>
    </row>
    <row r="224" spans="61:175" x14ac:dyDescent="0.3">
      <c r="BS224" s="8"/>
      <c r="DR224" s="8" t="s">
        <v>1647</v>
      </c>
      <c r="DS224" s="8"/>
    </row>
    <row r="225" spans="62:123" x14ac:dyDescent="0.3">
      <c r="BS225" s="8"/>
      <c r="DR225" s="8" t="s">
        <v>1648</v>
      </c>
      <c r="DS225" s="8"/>
    </row>
    <row r="226" spans="62:123" x14ac:dyDescent="0.3">
      <c r="BS226" s="8"/>
      <c r="DR226" s="8" t="s">
        <v>1649</v>
      </c>
      <c r="DS226" s="8"/>
    </row>
    <row r="227" spans="62:123" x14ac:dyDescent="0.3">
      <c r="BS227" s="8"/>
      <c r="DR227" s="8" t="s">
        <v>1650</v>
      </c>
      <c r="DS227" s="8"/>
    </row>
    <row r="228" spans="62:123" x14ac:dyDescent="0.3">
      <c r="BS228" s="8"/>
      <c r="DR228" s="8"/>
      <c r="DS228" s="8"/>
    </row>
    <row r="229" spans="62:123" x14ac:dyDescent="0.3">
      <c r="BS229" s="8"/>
      <c r="DR229" s="8"/>
      <c r="DS229" s="8"/>
    </row>
    <row r="230" spans="62:123" ht="12.6" thickBot="1" x14ac:dyDescent="0.35">
      <c r="BJ230" s="113"/>
      <c r="BS230" s="8"/>
      <c r="DS230" s="8"/>
    </row>
    <row r="231" spans="62:123" x14ac:dyDescent="0.3">
      <c r="BJ231" s="115"/>
      <c r="BS231" s="8"/>
      <c r="DS231" s="8"/>
    </row>
    <row r="232" spans="62:123" x14ac:dyDescent="0.3">
      <c r="BJ232" s="116"/>
      <c r="BS232" s="8"/>
      <c r="DS232" s="8"/>
    </row>
    <row r="233" spans="62:123" ht="12" thickBot="1" x14ac:dyDescent="0.35">
      <c r="BJ233" s="117"/>
      <c r="BS233" s="8"/>
      <c r="DS233" s="8"/>
    </row>
    <row r="234" spans="62:123" x14ac:dyDescent="0.3">
      <c r="BJ234" s="115"/>
      <c r="BS234" s="8"/>
      <c r="DS234" s="8"/>
    </row>
    <row r="235" spans="62:123" x14ac:dyDescent="0.3">
      <c r="BJ235" s="116"/>
      <c r="BS235" s="8"/>
      <c r="DS235" s="8"/>
    </row>
    <row r="236" spans="62:123" x14ac:dyDescent="0.3">
      <c r="BJ236" s="116"/>
      <c r="BS236" s="8"/>
      <c r="DS236" s="8"/>
    </row>
    <row r="237" spans="62:123" x14ac:dyDescent="0.3">
      <c r="BJ237" s="116"/>
      <c r="BS237" s="8"/>
      <c r="DS237" s="8"/>
    </row>
    <row r="238" spans="62:123" x14ac:dyDescent="0.3">
      <c r="BJ238" s="116"/>
      <c r="BS238" s="8"/>
      <c r="DS238" s="8"/>
    </row>
    <row r="239" spans="62:123" x14ac:dyDescent="0.3">
      <c r="BJ239" s="116"/>
      <c r="BS239" s="8"/>
      <c r="DS239" s="8"/>
    </row>
    <row r="240" spans="62:123" x14ac:dyDescent="0.3">
      <c r="BJ240" s="116"/>
      <c r="BS240" s="8"/>
      <c r="DS240" s="8"/>
    </row>
    <row r="241" spans="62:175" x14ac:dyDescent="0.3">
      <c r="BJ241" s="116"/>
      <c r="BS241" s="8"/>
      <c r="DS241" s="8"/>
    </row>
    <row r="242" spans="62:175" ht="12" thickBot="1" x14ac:dyDescent="0.35">
      <c r="BJ242" s="117"/>
      <c r="BS242" s="8"/>
      <c r="DS242" s="8"/>
    </row>
    <row r="243" spans="62:175" x14ac:dyDescent="0.3">
      <c r="BJ243" s="115"/>
      <c r="BS243" s="8"/>
      <c r="DS243" s="8"/>
    </row>
    <row r="244" spans="62:175" x14ac:dyDescent="0.3">
      <c r="BJ244" s="116"/>
      <c r="BS244" s="8"/>
      <c r="DS244" s="8"/>
    </row>
    <row r="245" spans="62:175" x14ac:dyDescent="0.3">
      <c r="BJ245" s="116"/>
      <c r="BS245" s="8"/>
      <c r="DS245" s="8"/>
    </row>
    <row r="246" spans="62:175" ht="12" thickBot="1" x14ac:dyDescent="0.35">
      <c r="BJ246" s="117"/>
      <c r="BS246" s="8"/>
      <c r="DS246" s="8"/>
    </row>
    <row r="247" spans="62:175" x14ac:dyDescent="0.3">
      <c r="BJ247" s="118"/>
      <c r="BS247" s="8"/>
      <c r="DS247" s="8"/>
    </row>
    <row r="248" spans="62:175" x14ac:dyDescent="0.3">
      <c r="BJ248" s="116"/>
      <c r="BS248" s="8"/>
      <c r="DS248" s="8"/>
    </row>
    <row r="249" spans="62:175" x14ac:dyDescent="0.3">
      <c r="BJ249" s="116"/>
      <c r="BS249" s="8"/>
      <c r="DS249" s="8"/>
    </row>
    <row r="250" spans="62:175" x14ac:dyDescent="0.3">
      <c r="BJ250" s="116"/>
      <c r="BS250" s="8"/>
      <c r="DS250" s="8"/>
    </row>
    <row r="251" spans="62:175" x14ac:dyDescent="0.3">
      <c r="BJ251" s="116"/>
      <c r="BS251" s="8"/>
      <c r="DS251" s="8"/>
    </row>
    <row r="252" spans="62:175" x14ac:dyDescent="0.3">
      <c r="BJ252" s="116"/>
      <c r="BS252" s="8"/>
      <c r="DS252" s="8"/>
    </row>
    <row r="253" spans="62:175" x14ac:dyDescent="0.3">
      <c r="BJ253" s="116"/>
      <c r="BS253" s="8"/>
    </row>
    <row r="254" spans="62:175" x14ac:dyDescent="0.3">
      <c r="BJ254" s="116"/>
      <c r="BS254" s="8"/>
    </row>
    <row r="255" spans="62:175" x14ac:dyDescent="0.3">
      <c r="BJ255" s="116" t="s">
        <v>1651</v>
      </c>
      <c r="BR255" s="8"/>
      <c r="BS255" s="8"/>
      <c r="DR255" s="1" t="s">
        <v>1652</v>
      </c>
      <c r="FS255" s="1" t="s">
        <v>1653</v>
      </c>
    </row>
    <row r="256" spans="62:175" x14ac:dyDescent="0.3">
      <c r="BJ256" s="116" t="s">
        <v>743</v>
      </c>
      <c r="BR256" s="8"/>
      <c r="BS256" s="8"/>
    </row>
    <row r="257" spans="62:71" ht="12" thickBot="1" x14ac:dyDescent="0.35">
      <c r="BJ257" s="117" t="s">
        <v>644</v>
      </c>
      <c r="BR257" s="8"/>
      <c r="BS257" s="8"/>
    </row>
    <row r="258" spans="62:71" x14ac:dyDescent="0.3">
      <c r="BJ258" s="115" t="s">
        <v>441</v>
      </c>
      <c r="BS258" s="8"/>
    </row>
    <row r="259" spans="62:71" x14ac:dyDescent="0.3">
      <c r="BJ259" s="116" t="s">
        <v>472</v>
      </c>
      <c r="BR259" s="111"/>
      <c r="BS259" s="8"/>
    </row>
    <row r="260" spans="62:71" x14ac:dyDescent="0.3">
      <c r="BJ260" s="116" t="s">
        <v>678</v>
      </c>
      <c r="BR260" s="111"/>
      <c r="BS260" s="8"/>
    </row>
    <row r="261" spans="62:71" x14ac:dyDescent="0.3">
      <c r="BJ261" s="116" t="s">
        <v>690</v>
      </c>
      <c r="BR261" s="111"/>
      <c r="BS261" s="8"/>
    </row>
    <row r="262" spans="62:71" x14ac:dyDescent="0.3">
      <c r="BJ262" s="116" t="s">
        <v>701</v>
      </c>
      <c r="BR262" s="111"/>
      <c r="BS262" s="8"/>
    </row>
    <row r="263" spans="62:71" ht="12" thickBot="1" x14ac:dyDescent="0.35">
      <c r="BJ263" s="117" t="s">
        <v>712</v>
      </c>
      <c r="BR263" s="111"/>
      <c r="BS263" s="8"/>
    </row>
    <row r="264" spans="62:71" x14ac:dyDescent="0.3">
      <c r="BJ264" s="115" t="s">
        <v>658</v>
      </c>
      <c r="BR264" s="111"/>
      <c r="BS264" s="8"/>
    </row>
    <row r="265" spans="62:71" x14ac:dyDescent="0.3">
      <c r="BJ265" s="116" t="s">
        <v>666</v>
      </c>
      <c r="BR265" s="111"/>
      <c r="BS265" s="8"/>
    </row>
    <row r="266" spans="62:71" x14ac:dyDescent="0.3">
      <c r="BJ266" s="116" t="s">
        <v>679</v>
      </c>
      <c r="BS266" s="8"/>
    </row>
    <row r="267" spans="62:71" x14ac:dyDescent="0.3">
      <c r="BJ267" s="116" t="s">
        <v>691</v>
      </c>
      <c r="BS267" s="8"/>
    </row>
    <row r="268" spans="62:71" x14ac:dyDescent="0.3">
      <c r="BJ268" s="116" t="s">
        <v>702</v>
      </c>
      <c r="BS268" s="8"/>
    </row>
    <row r="269" spans="62:71" x14ac:dyDescent="0.3">
      <c r="BJ269" s="116" t="s">
        <v>713</v>
      </c>
      <c r="BS269" s="8"/>
    </row>
    <row r="270" spans="62:71" ht="12" thickBot="1" x14ac:dyDescent="0.35">
      <c r="BJ270" s="117" t="s">
        <v>724</v>
      </c>
      <c r="BS270" s="8"/>
    </row>
    <row r="271" spans="62:71" x14ac:dyDescent="0.3">
      <c r="BJ271" s="115" t="s">
        <v>659</v>
      </c>
      <c r="BS271" s="8"/>
    </row>
    <row r="272" spans="62:71" x14ac:dyDescent="0.3">
      <c r="BJ272" s="116" t="s">
        <v>667</v>
      </c>
      <c r="BS272" s="8"/>
    </row>
    <row r="273" spans="62:71" x14ac:dyDescent="0.3">
      <c r="BJ273" s="116" t="s">
        <v>680</v>
      </c>
      <c r="BS273" s="8"/>
    </row>
    <row r="274" spans="62:71" x14ac:dyDescent="0.3">
      <c r="BJ274" s="116" t="s">
        <v>692</v>
      </c>
      <c r="BS274" s="8"/>
    </row>
    <row r="275" spans="62:71" x14ac:dyDescent="0.3">
      <c r="BJ275" s="116" t="s">
        <v>703</v>
      </c>
      <c r="BS275" s="8"/>
    </row>
    <row r="276" spans="62:71" x14ac:dyDescent="0.3">
      <c r="BJ276" s="116" t="s">
        <v>714</v>
      </c>
      <c r="BS276" s="8"/>
    </row>
    <row r="277" spans="62:71" x14ac:dyDescent="0.3">
      <c r="BJ277" s="116" t="s">
        <v>725</v>
      </c>
      <c r="BS277" s="8"/>
    </row>
    <row r="278" spans="62:71" x14ac:dyDescent="0.3">
      <c r="BJ278" s="116" t="s">
        <v>733</v>
      </c>
      <c r="BS278" s="8"/>
    </row>
    <row r="279" spans="62:71" ht="12" thickBot="1" x14ac:dyDescent="0.35">
      <c r="BJ279" s="117" t="s">
        <v>740</v>
      </c>
      <c r="BS279" s="8"/>
    </row>
    <row r="280" spans="62:71" x14ac:dyDescent="0.3">
      <c r="BJ280" s="115" t="s">
        <v>660</v>
      </c>
      <c r="BS280" s="8"/>
    </row>
    <row r="281" spans="62:71" x14ac:dyDescent="0.3">
      <c r="BJ281" s="116" t="s">
        <v>668</v>
      </c>
      <c r="BS281" s="8"/>
    </row>
    <row r="282" spans="62:71" x14ac:dyDescent="0.3">
      <c r="BJ282" s="116" t="s">
        <v>681</v>
      </c>
      <c r="BS282" s="8"/>
    </row>
    <row r="283" spans="62:71" x14ac:dyDescent="0.3">
      <c r="BJ283" s="116" t="s">
        <v>693</v>
      </c>
      <c r="BS283" s="8"/>
    </row>
    <row r="284" spans="62:71" x14ac:dyDescent="0.3">
      <c r="BJ284" s="116" t="s">
        <v>704</v>
      </c>
      <c r="BS284" s="8"/>
    </row>
    <row r="285" spans="62:71" ht="12" thickBot="1" x14ac:dyDescent="0.35">
      <c r="BJ285" s="117" t="s">
        <v>715</v>
      </c>
      <c r="BS285" s="8"/>
    </row>
    <row r="286" spans="62:71" x14ac:dyDescent="0.3">
      <c r="BJ286" s="115" t="s">
        <v>661</v>
      </c>
      <c r="BS286" s="8"/>
    </row>
    <row r="287" spans="62:71" x14ac:dyDescent="0.3">
      <c r="BJ287" s="116" t="s">
        <v>669</v>
      </c>
      <c r="BS287" s="8"/>
    </row>
    <row r="288" spans="62:71" x14ac:dyDescent="0.3">
      <c r="BJ288" s="116" t="s">
        <v>682</v>
      </c>
      <c r="BS288" s="8"/>
    </row>
    <row r="289" spans="62:71" x14ac:dyDescent="0.3">
      <c r="BJ289" s="116" t="s">
        <v>694</v>
      </c>
      <c r="BS289" s="8"/>
    </row>
    <row r="290" spans="62:71" x14ac:dyDescent="0.3">
      <c r="BJ290" s="116" t="s">
        <v>705</v>
      </c>
      <c r="BS290" s="8"/>
    </row>
    <row r="291" spans="62:71" x14ac:dyDescent="0.3">
      <c r="BJ291" s="116" t="s">
        <v>582</v>
      </c>
      <c r="BS291" s="8"/>
    </row>
    <row r="292" spans="62:71" ht="12" thickBot="1" x14ac:dyDescent="0.35">
      <c r="BJ292" s="117" t="s">
        <v>726</v>
      </c>
      <c r="BS292" s="8"/>
    </row>
    <row r="293" spans="62:71" x14ac:dyDescent="0.3">
      <c r="BJ293" s="119" t="s">
        <v>662</v>
      </c>
      <c r="BS293" s="8"/>
    </row>
    <row r="294" spans="62:71" x14ac:dyDescent="0.3">
      <c r="BJ294" s="116" t="s">
        <v>670</v>
      </c>
      <c r="BS294" s="8"/>
    </row>
    <row r="295" spans="62:71" x14ac:dyDescent="0.3">
      <c r="BJ295" s="116" t="s">
        <v>683</v>
      </c>
      <c r="BS295" s="8"/>
    </row>
    <row r="296" spans="62:71" x14ac:dyDescent="0.3">
      <c r="BJ296" s="116" t="s">
        <v>695</v>
      </c>
      <c r="BS296" s="8"/>
    </row>
    <row r="297" spans="62:71" x14ac:dyDescent="0.3">
      <c r="BJ297" s="116" t="s">
        <v>706</v>
      </c>
      <c r="BS297" s="8"/>
    </row>
    <row r="298" spans="62:71" x14ac:dyDescent="0.3">
      <c r="BJ298" s="116" t="s">
        <v>716</v>
      </c>
      <c r="BS298" s="8"/>
    </row>
    <row r="299" spans="62:71" x14ac:dyDescent="0.3">
      <c r="BJ299" s="116" t="s">
        <v>727</v>
      </c>
      <c r="BS299" s="8"/>
    </row>
    <row r="300" spans="62:71" ht="12" thickBot="1" x14ac:dyDescent="0.35">
      <c r="BJ300" s="117" t="s">
        <v>734</v>
      </c>
      <c r="BS300" s="8"/>
    </row>
    <row r="301" spans="62:71" x14ac:dyDescent="0.3">
      <c r="BJ301" s="115" t="s">
        <v>447</v>
      </c>
      <c r="BS301" s="8"/>
    </row>
    <row r="302" spans="62:71" x14ac:dyDescent="0.3">
      <c r="BJ302" s="116" t="s">
        <v>671</v>
      </c>
      <c r="BS302" s="8"/>
    </row>
    <row r="303" spans="62:71" x14ac:dyDescent="0.3">
      <c r="BJ303" s="116" t="s">
        <v>684</v>
      </c>
      <c r="BS303" s="8"/>
    </row>
    <row r="304" spans="62:71" x14ac:dyDescent="0.3">
      <c r="BJ304" s="116" t="s">
        <v>696</v>
      </c>
      <c r="BS304" s="8"/>
    </row>
    <row r="305" spans="62:71" x14ac:dyDescent="0.3">
      <c r="BJ305" s="116" t="s">
        <v>707</v>
      </c>
      <c r="BS305" s="8"/>
    </row>
    <row r="306" spans="62:71" x14ac:dyDescent="0.3">
      <c r="BJ306" s="116" t="s">
        <v>717</v>
      </c>
      <c r="BS306" s="8"/>
    </row>
    <row r="307" spans="62:71" x14ac:dyDescent="0.3">
      <c r="BJ307" s="116" t="s">
        <v>728</v>
      </c>
      <c r="BS307" s="8"/>
    </row>
    <row r="308" spans="62:71" ht="12" thickBot="1" x14ac:dyDescent="0.35">
      <c r="BJ308" s="117" t="s">
        <v>622</v>
      </c>
      <c r="BS308" s="8"/>
    </row>
    <row r="309" spans="62:71" x14ac:dyDescent="0.3">
      <c r="BJ309" s="115" t="s">
        <v>448</v>
      </c>
      <c r="BS309" s="8"/>
    </row>
    <row r="310" spans="62:71" x14ac:dyDescent="0.3">
      <c r="BJ310" s="116" t="s">
        <v>672</v>
      </c>
      <c r="BS310" s="8"/>
    </row>
    <row r="311" spans="62:71" x14ac:dyDescent="0.3">
      <c r="BJ311" s="116" t="s">
        <v>685</v>
      </c>
      <c r="BS311" s="8"/>
    </row>
    <row r="312" spans="62:71" x14ac:dyDescent="0.3">
      <c r="BJ312" s="116" t="s">
        <v>536</v>
      </c>
      <c r="BS312" s="8"/>
    </row>
    <row r="313" spans="62:71" x14ac:dyDescent="0.3">
      <c r="BJ313" s="116" t="s">
        <v>561</v>
      </c>
      <c r="BS313" s="8"/>
    </row>
    <row r="314" spans="62:71" x14ac:dyDescent="0.3">
      <c r="BJ314" s="116" t="s">
        <v>718</v>
      </c>
      <c r="BS314" s="8"/>
    </row>
    <row r="315" spans="62:71" x14ac:dyDescent="0.3">
      <c r="BJ315" s="116" t="s">
        <v>729</v>
      </c>
      <c r="BS315" s="8"/>
    </row>
    <row r="316" spans="62:71" ht="12" thickBot="1" x14ac:dyDescent="0.35">
      <c r="BJ316" s="117" t="s">
        <v>735</v>
      </c>
      <c r="BS316" s="8"/>
    </row>
    <row r="317" spans="62:71" x14ac:dyDescent="0.3">
      <c r="BJ317" s="115" t="s">
        <v>663</v>
      </c>
      <c r="BS317" s="8"/>
    </row>
    <row r="318" spans="62:71" x14ac:dyDescent="0.3">
      <c r="BJ318" s="116" t="s">
        <v>673</v>
      </c>
      <c r="BS318" s="8"/>
    </row>
    <row r="319" spans="62:71" x14ac:dyDescent="0.3">
      <c r="BJ319" s="116" t="s">
        <v>686</v>
      </c>
    </row>
    <row r="320" spans="62:71" x14ac:dyDescent="0.3">
      <c r="BJ320" s="116" t="s">
        <v>697</v>
      </c>
    </row>
    <row r="321" spans="62:62" x14ac:dyDescent="0.3">
      <c r="BJ321" s="116" t="s">
        <v>708</v>
      </c>
    </row>
    <row r="322" spans="62:62" x14ac:dyDescent="0.3">
      <c r="BJ322" s="116" t="s">
        <v>719</v>
      </c>
    </row>
    <row r="323" spans="62:62" x14ac:dyDescent="0.3">
      <c r="BJ323" s="116" t="s">
        <v>730</v>
      </c>
    </row>
    <row r="324" spans="62:62" x14ac:dyDescent="0.3">
      <c r="BJ324" s="116" t="s">
        <v>736</v>
      </c>
    </row>
    <row r="325" spans="62:62" x14ac:dyDescent="0.3">
      <c r="BJ325" s="116" t="s">
        <v>741</v>
      </c>
    </row>
    <row r="326" spans="62:62" x14ac:dyDescent="0.3">
      <c r="BJ326" s="116" t="s">
        <v>744</v>
      </c>
    </row>
    <row r="327" spans="62:62" ht="12" thickBot="1" x14ac:dyDescent="0.35">
      <c r="BJ327" s="117" t="s">
        <v>746</v>
      </c>
    </row>
    <row r="328" spans="62:62" x14ac:dyDescent="0.3">
      <c r="BJ328" s="115" t="s">
        <v>450</v>
      </c>
    </row>
    <row r="329" spans="62:62" x14ac:dyDescent="0.3">
      <c r="BJ329" s="116" t="s">
        <v>481</v>
      </c>
    </row>
    <row r="330" spans="62:62" x14ac:dyDescent="0.3">
      <c r="BJ330" s="116" t="s">
        <v>511</v>
      </c>
    </row>
    <row r="331" spans="62:62" x14ac:dyDescent="0.3">
      <c r="BJ331" s="116" t="s">
        <v>538</v>
      </c>
    </row>
    <row r="332" spans="62:62" x14ac:dyDescent="0.3">
      <c r="BJ332" s="116" t="s">
        <v>709</v>
      </c>
    </row>
    <row r="333" spans="62:62" x14ac:dyDescent="0.3">
      <c r="BJ333" s="116" t="s">
        <v>720</v>
      </c>
    </row>
    <row r="334" spans="62:62" x14ac:dyDescent="0.3">
      <c r="BJ334" s="116" t="s">
        <v>731</v>
      </c>
    </row>
    <row r="335" spans="62:62" ht="12" thickBot="1" x14ac:dyDescent="0.35">
      <c r="BJ335" s="117" t="s">
        <v>737</v>
      </c>
    </row>
    <row r="336" spans="62:62" x14ac:dyDescent="0.3">
      <c r="BJ336" s="114" t="s">
        <v>451</v>
      </c>
    </row>
    <row r="337" spans="62:62" x14ac:dyDescent="0.3">
      <c r="BJ337" s="112" t="s">
        <v>674</v>
      </c>
    </row>
    <row r="338" spans="62:62" x14ac:dyDescent="0.3">
      <c r="BJ338" s="112" t="s">
        <v>687</v>
      </c>
    </row>
    <row r="339" spans="62:62" x14ac:dyDescent="0.3">
      <c r="BJ339" s="112" t="s">
        <v>698</v>
      </c>
    </row>
    <row r="340" spans="62:62" x14ac:dyDescent="0.3">
      <c r="BJ340" s="112" t="s">
        <v>710</v>
      </c>
    </row>
    <row r="341" spans="62:62" x14ac:dyDescent="0.3">
      <c r="BJ341" s="112" t="s">
        <v>721</v>
      </c>
    </row>
    <row r="342" spans="62:62" x14ac:dyDescent="0.3">
      <c r="BJ342" s="112" t="s">
        <v>609</v>
      </c>
    </row>
    <row r="343" spans="62:62" x14ac:dyDescent="0.3">
      <c r="BJ343" s="112" t="s">
        <v>626</v>
      </c>
    </row>
    <row r="344" spans="62:62" x14ac:dyDescent="0.3">
      <c r="BJ344" s="112" t="s">
        <v>742</v>
      </c>
    </row>
    <row r="345" spans="62:62" x14ac:dyDescent="0.3">
      <c r="BJ345" s="112" t="s">
        <v>745</v>
      </c>
    </row>
  </sheetData>
  <sheetProtection algorithmName="SHA-512" hashValue="/PpZ3z7wRSCSJv0d3ur6u3cqC8MCAemtLuTwNaLjWGAsmJybIVF50hrg8+WxOBsApge6KHSyjfb49D0iqigU2w==" saltValue="5YyaOiDjfzrge+m5tUBPNQ==" spinCount="100000" sheet="1" objects="1" scenarios="1"/>
  <sortState xmlns:xlrd2="http://schemas.microsoft.com/office/spreadsheetml/2017/richdata2" ref="CC179:CC189">
    <sortCondition ref="CC189"/>
  </sortState>
  <mergeCells count="7">
    <mergeCell ref="BI155:BQ155"/>
    <mergeCell ref="BR155:BW155"/>
    <mergeCell ref="E7:U7"/>
    <mergeCell ref="W7:AG7"/>
    <mergeCell ref="C11:C42"/>
    <mergeCell ref="AS43:BA43"/>
    <mergeCell ref="BB43:BG43"/>
  </mergeCells>
  <phoneticPr fontId="14" type="noConversion"/>
  <pageMargins left="0.25" right="0.25" top="0.75" bottom="0.75" header="0.3" footer="0.3"/>
  <pageSetup paperSize="9" scale="66"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36259-A330-4BF1-B207-81E001EC93A9}">
  <sheetPr codeName="Sheet2">
    <tabColor theme="6" tint="-0.249977111117893"/>
  </sheetPr>
  <dimension ref="B2:G760"/>
  <sheetViews>
    <sheetView showGridLines="0" view="pageBreakPreview" zoomScale="80" zoomScaleNormal="85" zoomScaleSheetLayoutView="80" workbookViewId="0">
      <pane ySplit="1" topLeftCell="A146" activePane="bottomLeft" state="frozen"/>
      <selection pane="bottomLeft" activeCell="F148" sqref="F148"/>
    </sheetView>
  </sheetViews>
  <sheetFormatPr defaultColWidth="9.109375" defaultRowHeight="13.2" x14ac:dyDescent="0.3"/>
  <cols>
    <col min="1" max="1" width="4.44140625" style="147" customWidth="1"/>
    <col min="2" max="2" width="13.109375" style="147" customWidth="1"/>
    <col min="3" max="3" width="19.44140625" style="147" customWidth="1"/>
    <col min="4" max="4" width="27" style="147" customWidth="1"/>
    <col min="5" max="5" width="13.88671875" style="147" customWidth="1"/>
    <col min="6" max="6" width="60.44140625" style="147" customWidth="1"/>
    <col min="7" max="7" width="88.88671875" style="143" customWidth="1"/>
    <col min="8" max="16384" width="9.109375" style="147"/>
  </cols>
  <sheetData>
    <row r="2" spans="2:7" ht="29.25" customHeight="1" x14ac:dyDescent="0.3">
      <c r="B2" s="418" t="s">
        <v>1654</v>
      </c>
      <c r="C2" s="418"/>
      <c r="D2" s="418"/>
    </row>
    <row r="4" spans="2:7" ht="24.75" customHeight="1" x14ac:dyDescent="0.3">
      <c r="B4" s="144" t="s">
        <v>649</v>
      </c>
      <c r="C4" s="144" t="s">
        <v>650</v>
      </c>
      <c r="D4" s="144" t="s">
        <v>651</v>
      </c>
      <c r="E4" s="144" t="s">
        <v>652</v>
      </c>
      <c r="F4" s="144" t="s">
        <v>1655</v>
      </c>
      <c r="G4" s="144" t="s">
        <v>1656</v>
      </c>
    </row>
    <row r="5" spans="2:7" ht="26.4" x14ac:dyDescent="0.3">
      <c r="B5" s="145" t="s">
        <v>646</v>
      </c>
      <c r="C5" s="145" t="s">
        <v>412</v>
      </c>
      <c r="D5" s="146" t="s">
        <v>655</v>
      </c>
      <c r="E5" s="145" t="s">
        <v>422</v>
      </c>
      <c r="F5" s="145" t="s">
        <v>898</v>
      </c>
      <c r="G5" s="145" t="s">
        <v>783</v>
      </c>
    </row>
    <row r="6" spans="2:7" ht="26.4" x14ac:dyDescent="0.3">
      <c r="B6" s="145" t="s">
        <v>646</v>
      </c>
      <c r="C6" s="145" t="s">
        <v>412</v>
      </c>
      <c r="D6" s="146" t="s">
        <v>655</v>
      </c>
      <c r="E6" s="145" t="s">
        <v>422</v>
      </c>
      <c r="F6" s="145" t="s">
        <v>1012</v>
      </c>
      <c r="G6" s="145" t="s">
        <v>783</v>
      </c>
    </row>
    <row r="7" spans="2:7" ht="26.4" x14ac:dyDescent="0.3">
      <c r="B7" s="145" t="s">
        <v>646</v>
      </c>
      <c r="C7" s="145" t="s">
        <v>412</v>
      </c>
      <c r="D7" s="146" t="s">
        <v>664</v>
      </c>
      <c r="E7" s="145" t="s">
        <v>453</v>
      </c>
      <c r="F7" s="145" t="s">
        <v>899</v>
      </c>
      <c r="G7" s="145" t="s">
        <v>784</v>
      </c>
    </row>
    <row r="8" spans="2:7" ht="26.4" x14ac:dyDescent="0.3">
      <c r="B8" s="145" t="s">
        <v>646</v>
      </c>
      <c r="C8" s="145" t="s">
        <v>412</v>
      </c>
      <c r="D8" s="146" t="s">
        <v>664</v>
      </c>
      <c r="E8" s="145" t="s">
        <v>453</v>
      </c>
      <c r="F8" s="145" t="s">
        <v>1013</v>
      </c>
      <c r="G8" s="145" t="s">
        <v>784</v>
      </c>
    </row>
    <row r="9" spans="2:7" ht="26.4" x14ac:dyDescent="0.3">
      <c r="B9" s="145" t="s">
        <v>646</v>
      </c>
      <c r="C9" s="145" t="s">
        <v>412</v>
      </c>
      <c r="D9" s="146" t="s">
        <v>675</v>
      </c>
      <c r="E9" s="145" t="s">
        <v>483</v>
      </c>
      <c r="F9" s="145" t="s">
        <v>900</v>
      </c>
      <c r="G9" s="145" t="s">
        <v>785</v>
      </c>
    </row>
    <row r="10" spans="2:7" ht="26.4" x14ac:dyDescent="0.3">
      <c r="B10" s="145" t="s">
        <v>646</v>
      </c>
      <c r="C10" s="145" t="s">
        <v>412</v>
      </c>
      <c r="D10" s="146" t="s">
        <v>675</v>
      </c>
      <c r="E10" s="145" t="s">
        <v>483</v>
      </c>
      <c r="F10" s="145" t="s">
        <v>1014</v>
      </c>
      <c r="G10" s="145" t="s">
        <v>785</v>
      </c>
    </row>
    <row r="11" spans="2:7" ht="26.4" x14ac:dyDescent="0.3">
      <c r="B11" s="145" t="s">
        <v>646</v>
      </c>
      <c r="C11" s="145" t="s">
        <v>412</v>
      </c>
      <c r="D11" s="146" t="s">
        <v>675</v>
      </c>
      <c r="E11" s="145" t="s">
        <v>483</v>
      </c>
      <c r="F11" s="145" t="s">
        <v>1125</v>
      </c>
      <c r="G11" s="145" t="s">
        <v>785</v>
      </c>
    </row>
    <row r="12" spans="2:7" ht="26.4" x14ac:dyDescent="0.3">
      <c r="B12" s="145" t="s">
        <v>646</v>
      </c>
      <c r="C12" s="145" t="s">
        <v>344</v>
      </c>
      <c r="D12" s="146" t="s">
        <v>656</v>
      </c>
      <c r="E12" s="145" t="s">
        <v>423</v>
      </c>
      <c r="F12" s="145" t="s">
        <v>901</v>
      </c>
      <c r="G12" s="145" t="s">
        <v>786</v>
      </c>
    </row>
    <row r="13" spans="2:7" ht="26.4" x14ac:dyDescent="0.3">
      <c r="B13" s="145" t="s">
        <v>646</v>
      </c>
      <c r="C13" s="145" t="s">
        <v>344</v>
      </c>
      <c r="D13" s="146" t="s">
        <v>656</v>
      </c>
      <c r="E13" s="145" t="s">
        <v>423</v>
      </c>
      <c r="F13" s="145" t="s">
        <v>1015</v>
      </c>
      <c r="G13" s="145" t="s">
        <v>786</v>
      </c>
    </row>
    <row r="14" spans="2:7" ht="26.4" x14ac:dyDescent="0.3">
      <c r="B14" s="145" t="s">
        <v>646</v>
      </c>
      <c r="C14" s="145" t="s">
        <v>344</v>
      </c>
      <c r="D14" s="146" t="s">
        <v>656</v>
      </c>
      <c r="E14" s="145" t="s">
        <v>423</v>
      </c>
      <c r="F14" s="145" t="s">
        <v>1126</v>
      </c>
      <c r="G14" s="145" t="s">
        <v>786</v>
      </c>
    </row>
    <row r="15" spans="2:7" ht="26.4" x14ac:dyDescent="0.3">
      <c r="B15" s="145" t="s">
        <v>646</v>
      </c>
      <c r="C15" s="145" t="s">
        <v>344</v>
      </c>
      <c r="D15" s="146" t="s">
        <v>656</v>
      </c>
      <c r="E15" s="145" t="s">
        <v>423</v>
      </c>
      <c r="F15" s="145" t="s">
        <v>1220</v>
      </c>
      <c r="G15" s="145" t="s">
        <v>786</v>
      </c>
    </row>
    <row r="16" spans="2:7" ht="26.4" x14ac:dyDescent="0.3">
      <c r="B16" s="145" t="s">
        <v>646</v>
      </c>
      <c r="C16" s="145" t="s">
        <v>344</v>
      </c>
      <c r="D16" s="146" t="s">
        <v>656</v>
      </c>
      <c r="E16" s="145" t="s">
        <v>423</v>
      </c>
      <c r="F16" s="145" t="s">
        <v>1299</v>
      </c>
      <c r="G16" s="145" t="s">
        <v>786</v>
      </c>
    </row>
    <row r="17" spans="2:7" ht="26.4" x14ac:dyDescent="0.3">
      <c r="B17" s="145" t="s">
        <v>646</v>
      </c>
      <c r="C17" s="145" t="s">
        <v>344</v>
      </c>
      <c r="D17" s="146" t="s">
        <v>656</v>
      </c>
      <c r="E17" s="145" t="s">
        <v>423</v>
      </c>
      <c r="F17" s="145" t="s">
        <v>1359</v>
      </c>
      <c r="G17" s="145" t="s">
        <v>786</v>
      </c>
    </row>
    <row r="18" spans="2:7" ht="26.4" x14ac:dyDescent="0.3">
      <c r="B18" s="145" t="s">
        <v>646</v>
      </c>
      <c r="C18" s="145" t="s">
        <v>344</v>
      </c>
      <c r="D18" s="146" t="s">
        <v>656</v>
      </c>
      <c r="E18" s="145" t="s">
        <v>423</v>
      </c>
      <c r="F18" s="145" t="s">
        <v>1402</v>
      </c>
      <c r="G18" s="145" t="s">
        <v>786</v>
      </c>
    </row>
    <row r="19" spans="2:7" ht="26.4" x14ac:dyDescent="0.3">
      <c r="B19" s="145" t="s">
        <v>646</v>
      </c>
      <c r="C19" s="145" t="s">
        <v>344</v>
      </c>
      <c r="D19" s="146" t="s">
        <v>656</v>
      </c>
      <c r="E19" s="145" t="s">
        <v>423</v>
      </c>
      <c r="F19" s="145" t="s">
        <v>1440</v>
      </c>
      <c r="G19" s="145" t="s">
        <v>786</v>
      </c>
    </row>
    <row r="20" spans="2:7" ht="26.4" x14ac:dyDescent="0.3">
      <c r="B20" s="145" t="s">
        <v>646</v>
      </c>
      <c r="C20" s="145" t="s">
        <v>344</v>
      </c>
      <c r="D20" s="146" t="s">
        <v>665</v>
      </c>
      <c r="E20" s="145" t="s">
        <v>454</v>
      </c>
      <c r="F20" s="145" t="s">
        <v>902</v>
      </c>
      <c r="G20" s="145" t="s">
        <v>787</v>
      </c>
    </row>
    <row r="21" spans="2:7" ht="26.4" x14ac:dyDescent="0.3">
      <c r="B21" s="145" t="s">
        <v>646</v>
      </c>
      <c r="C21" s="145" t="s">
        <v>344</v>
      </c>
      <c r="D21" s="146" t="s">
        <v>665</v>
      </c>
      <c r="E21" s="145" t="s">
        <v>454</v>
      </c>
      <c r="F21" s="145" t="s">
        <v>1016</v>
      </c>
      <c r="G21" s="145" t="s">
        <v>787</v>
      </c>
    </row>
    <row r="22" spans="2:7" ht="26.4" x14ac:dyDescent="0.3">
      <c r="B22" s="145" t="s">
        <v>646</v>
      </c>
      <c r="C22" s="145" t="s">
        <v>344</v>
      </c>
      <c r="D22" s="146" t="s">
        <v>665</v>
      </c>
      <c r="E22" s="145" t="s">
        <v>454</v>
      </c>
      <c r="F22" s="145" t="s">
        <v>1127</v>
      </c>
      <c r="G22" s="145" t="s">
        <v>787</v>
      </c>
    </row>
    <row r="23" spans="2:7" ht="26.4" x14ac:dyDescent="0.3">
      <c r="B23" s="145" t="s">
        <v>646</v>
      </c>
      <c r="C23" s="145" t="s">
        <v>344</v>
      </c>
      <c r="D23" s="146" t="s">
        <v>665</v>
      </c>
      <c r="E23" s="145" t="s">
        <v>454</v>
      </c>
      <c r="F23" s="145" t="s">
        <v>1221</v>
      </c>
      <c r="G23" s="145" t="s">
        <v>787</v>
      </c>
    </row>
    <row r="24" spans="2:7" ht="26.4" x14ac:dyDescent="0.3">
      <c r="B24" s="145" t="s">
        <v>646</v>
      </c>
      <c r="C24" s="145" t="s">
        <v>344</v>
      </c>
      <c r="D24" s="146" t="s">
        <v>665</v>
      </c>
      <c r="E24" s="145" t="s">
        <v>454</v>
      </c>
      <c r="F24" s="145" t="s">
        <v>1300</v>
      </c>
      <c r="G24" s="145" t="s">
        <v>787</v>
      </c>
    </row>
    <row r="25" spans="2:7" ht="26.4" x14ac:dyDescent="0.3">
      <c r="B25" s="145" t="s">
        <v>646</v>
      </c>
      <c r="C25" s="145" t="s">
        <v>344</v>
      </c>
      <c r="D25" s="146" t="s">
        <v>665</v>
      </c>
      <c r="E25" s="145" t="s">
        <v>454</v>
      </c>
      <c r="F25" s="145" t="s">
        <v>1360</v>
      </c>
      <c r="G25" s="145" t="s">
        <v>787</v>
      </c>
    </row>
    <row r="26" spans="2:7" ht="26.4" x14ac:dyDescent="0.3">
      <c r="B26" s="145" t="s">
        <v>646</v>
      </c>
      <c r="C26" s="145" t="s">
        <v>344</v>
      </c>
      <c r="D26" s="146" t="s">
        <v>676</v>
      </c>
      <c r="E26" s="145" t="s">
        <v>484</v>
      </c>
      <c r="F26" s="145" t="s">
        <v>903</v>
      </c>
      <c r="G26" s="145" t="s">
        <v>788</v>
      </c>
    </row>
    <row r="27" spans="2:7" ht="26.4" x14ac:dyDescent="0.3">
      <c r="B27" s="145" t="s">
        <v>646</v>
      </c>
      <c r="C27" s="145" t="s">
        <v>344</v>
      </c>
      <c r="D27" s="146" t="s">
        <v>676</v>
      </c>
      <c r="E27" s="145" t="s">
        <v>484</v>
      </c>
      <c r="F27" s="145" t="s">
        <v>1017</v>
      </c>
      <c r="G27" s="145" t="s">
        <v>788</v>
      </c>
    </row>
    <row r="28" spans="2:7" ht="26.4" x14ac:dyDescent="0.3">
      <c r="B28" s="145" t="s">
        <v>646</v>
      </c>
      <c r="C28" s="145" t="s">
        <v>344</v>
      </c>
      <c r="D28" s="146" t="s">
        <v>676</v>
      </c>
      <c r="E28" s="145" t="s">
        <v>484</v>
      </c>
      <c r="F28" s="145" t="s">
        <v>1128</v>
      </c>
      <c r="G28" s="145" t="s">
        <v>788</v>
      </c>
    </row>
    <row r="29" spans="2:7" ht="26.4" x14ac:dyDescent="0.3">
      <c r="B29" s="145" t="s">
        <v>646</v>
      </c>
      <c r="C29" s="145" t="s">
        <v>344</v>
      </c>
      <c r="D29" s="146" t="s">
        <v>676</v>
      </c>
      <c r="E29" s="145" t="s">
        <v>484</v>
      </c>
      <c r="F29" s="145" t="s">
        <v>1222</v>
      </c>
      <c r="G29" s="145" t="s">
        <v>788</v>
      </c>
    </row>
    <row r="30" spans="2:7" ht="26.4" x14ac:dyDescent="0.3">
      <c r="B30" s="145" t="s">
        <v>646</v>
      </c>
      <c r="C30" s="145" t="s">
        <v>344</v>
      </c>
      <c r="D30" s="146" t="s">
        <v>676</v>
      </c>
      <c r="E30" s="145" t="s">
        <v>484</v>
      </c>
      <c r="F30" s="145" t="s">
        <v>1301</v>
      </c>
      <c r="G30" s="145" t="s">
        <v>788</v>
      </c>
    </row>
    <row r="31" spans="2:7" ht="26.4" x14ac:dyDescent="0.3">
      <c r="B31" s="145" t="s">
        <v>646</v>
      </c>
      <c r="C31" s="145" t="s">
        <v>344</v>
      </c>
      <c r="D31" s="146" t="s">
        <v>676</v>
      </c>
      <c r="E31" s="145" t="s">
        <v>484</v>
      </c>
      <c r="F31" s="145" t="s">
        <v>1361</v>
      </c>
      <c r="G31" s="145" t="s">
        <v>788</v>
      </c>
    </row>
    <row r="32" spans="2:7" ht="26.4" x14ac:dyDescent="0.3">
      <c r="B32" s="145" t="s">
        <v>646</v>
      </c>
      <c r="C32" s="145" t="s">
        <v>344</v>
      </c>
      <c r="D32" s="146" t="s">
        <v>676</v>
      </c>
      <c r="E32" s="145" t="s">
        <v>484</v>
      </c>
      <c r="F32" s="145" t="s">
        <v>1403</v>
      </c>
      <c r="G32" s="145" t="s">
        <v>788</v>
      </c>
    </row>
    <row r="33" spans="2:7" ht="26.4" x14ac:dyDescent="0.3">
      <c r="B33" s="145" t="s">
        <v>646</v>
      </c>
      <c r="C33" s="145" t="s">
        <v>344</v>
      </c>
      <c r="D33" s="146" t="s">
        <v>688</v>
      </c>
      <c r="E33" s="145" t="s">
        <v>513</v>
      </c>
      <c r="F33" s="145" t="s">
        <v>904</v>
      </c>
      <c r="G33" s="145" t="s">
        <v>789</v>
      </c>
    </row>
    <row r="34" spans="2:7" ht="26.4" x14ac:dyDescent="0.3">
      <c r="B34" s="145" t="s">
        <v>646</v>
      </c>
      <c r="C34" s="145" t="s">
        <v>344</v>
      </c>
      <c r="D34" s="146" t="s">
        <v>688</v>
      </c>
      <c r="E34" s="145" t="s">
        <v>513</v>
      </c>
      <c r="F34" s="145" t="s">
        <v>1018</v>
      </c>
      <c r="G34" s="145" t="s">
        <v>789</v>
      </c>
    </row>
    <row r="35" spans="2:7" ht="26.4" x14ac:dyDescent="0.3">
      <c r="B35" s="145" t="s">
        <v>646</v>
      </c>
      <c r="C35" s="145" t="s">
        <v>344</v>
      </c>
      <c r="D35" s="146" t="s">
        <v>688</v>
      </c>
      <c r="E35" s="145" t="s">
        <v>513</v>
      </c>
      <c r="F35" s="145" t="s">
        <v>1129</v>
      </c>
      <c r="G35" s="145" t="s">
        <v>789</v>
      </c>
    </row>
    <row r="36" spans="2:7" ht="26.4" x14ac:dyDescent="0.3">
      <c r="B36" s="145" t="s">
        <v>646</v>
      </c>
      <c r="C36" s="145" t="s">
        <v>344</v>
      </c>
      <c r="D36" s="146" t="s">
        <v>688</v>
      </c>
      <c r="E36" s="145" t="s">
        <v>513</v>
      </c>
      <c r="F36" s="145" t="s">
        <v>1223</v>
      </c>
      <c r="G36" s="145" t="s">
        <v>789</v>
      </c>
    </row>
    <row r="37" spans="2:7" ht="26.4" x14ac:dyDescent="0.3">
      <c r="B37" s="145" t="s">
        <v>646</v>
      </c>
      <c r="C37" s="145" t="s">
        <v>344</v>
      </c>
      <c r="D37" s="146" t="s">
        <v>688</v>
      </c>
      <c r="E37" s="145" t="s">
        <v>513</v>
      </c>
      <c r="F37" s="145" t="s">
        <v>1302</v>
      </c>
      <c r="G37" s="145" t="s">
        <v>789</v>
      </c>
    </row>
    <row r="38" spans="2:7" ht="26.4" x14ac:dyDescent="0.3">
      <c r="B38" s="145" t="s">
        <v>646</v>
      </c>
      <c r="C38" s="145" t="s">
        <v>344</v>
      </c>
      <c r="D38" s="146" t="s">
        <v>699</v>
      </c>
      <c r="E38" s="145" t="s">
        <v>540</v>
      </c>
      <c r="F38" s="145" t="s">
        <v>905</v>
      </c>
      <c r="G38" s="145" t="s">
        <v>790</v>
      </c>
    </row>
    <row r="39" spans="2:7" ht="26.4" x14ac:dyDescent="0.3">
      <c r="B39" s="145" t="s">
        <v>646</v>
      </c>
      <c r="C39" s="145" t="s">
        <v>344</v>
      </c>
      <c r="D39" s="146" t="s">
        <v>699</v>
      </c>
      <c r="E39" s="145" t="s">
        <v>540</v>
      </c>
      <c r="F39" s="145" t="s">
        <v>1019</v>
      </c>
      <c r="G39" s="145" t="s">
        <v>790</v>
      </c>
    </row>
    <row r="40" spans="2:7" ht="26.4" x14ac:dyDescent="0.3">
      <c r="B40" s="145" t="s">
        <v>646</v>
      </c>
      <c r="C40" s="145" t="s">
        <v>344</v>
      </c>
      <c r="D40" s="146" t="s">
        <v>699</v>
      </c>
      <c r="E40" s="145" t="s">
        <v>540</v>
      </c>
      <c r="F40" s="145" t="s">
        <v>1130</v>
      </c>
      <c r="G40" s="145" t="s">
        <v>790</v>
      </c>
    </row>
    <row r="41" spans="2:7" ht="26.4" x14ac:dyDescent="0.3">
      <c r="B41" s="145" t="s">
        <v>646</v>
      </c>
      <c r="C41" s="145" t="s">
        <v>344</v>
      </c>
      <c r="D41" s="146" t="s">
        <v>699</v>
      </c>
      <c r="E41" s="145" t="s">
        <v>540</v>
      </c>
      <c r="F41" s="145" t="s">
        <v>1224</v>
      </c>
      <c r="G41" s="145" t="s">
        <v>790</v>
      </c>
    </row>
    <row r="42" spans="2:7" ht="26.4" x14ac:dyDescent="0.3">
      <c r="B42" s="145" t="s">
        <v>646</v>
      </c>
      <c r="C42" s="145" t="s">
        <v>344</v>
      </c>
      <c r="D42" s="146" t="s">
        <v>699</v>
      </c>
      <c r="E42" s="145" t="s">
        <v>540</v>
      </c>
      <c r="F42" s="145" t="s">
        <v>1303</v>
      </c>
      <c r="G42" s="145" t="s">
        <v>790</v>
      </c>
    </row>
    <row r="43" spans="2:7" ht="26.4" x14ac:dyDescent="0.3">
      <c r="B43" s="145" t="s">
        <v>646</v>
      </c>
      <c r="C43" s="145" t="s">
        <v>344</v>
      </c>
      <c r="D43" s="146" t="s">
        <v>699</v>
      </c>
      <c r="E43" s="145" t="s">
        <v>540</v>
      </c>
      <c r="F43" s="145" t="s">
        <v>1362</v>
      </c>
      <c r="G43" s="145" t="s">
        <v>790</v>
      </c>
    </row>
    <row r="44" spans="2:7" ht="26.4" x14ac:dyDescent="0.3">
      <c r="B44" s="145" t="s">
        <v>646</v>
      </c>
      <c r="C44" s="145" t="s">
        <v>344</v>
      </c>
      <c r="D44" s="146" t="s">
        <v>699</v>
      </c>
      <c r="E44" s="145" t="s">
        <v>540</v>
      </c>
      <c r="F44" s="145" t="s">
        <v>1404</v>
      </c>
      <c r="G44" s="145" t="s">
        <v>790</v>
      </c>
    </row>
    <row r="45" spans="2:7" x14ac:dyDescent="0.3">
      <c r="B45" s="145" t="s">
        <v>646</v>
      </c>
      <c r="C45" s="145" t="s">
        <v>344</v>
      </c>
      <c r="D45" s="146" t="s">
        <v>577</v>
      </c>
      <c r="E45" s="145" t="s">
        <v>565</v>
      </c>
      <c r="F45" s="145" t="s">
        <v>906</v>
      </c>
      <c r="G45" s="145" t="s">
        <v>791</v>
      </c>
    </row>
    <row r="46" spans="2:7" x14ac:dyDescent="0.3">
      <c r="B46" s="145" t="s">
        <v>646</v>
      </c>
      <c r="C46" s="145" t="s">
        <v>344</v>
      </c>
      <c r="D46" s="146" t="s">
        <v>577</v>
      </c>
      <c r="E46" s="145" t="s">
        <v>565</v>
      </c>
      <c r="F46" s="145" t="s">
        <v>1020</v>
      </c>
      <c r="G46" s="145" t="s">
        <v>791</v>
      </c>
    </row>
    <row r="47" spans="2:7" x14ac:dyDescent="0.3">
      <c r="B47" s="145" t="s">
        <v>646</v>
      </c>
      <c r="C47" s="145" t="s">
        <v>344</v>
      </c>
      <c r="D47" s="146" t="s">
        <v>577</v>
      </c>
      <c r="E47" s="145" t="s">
        <v>565</v>
      </c>
      <c r="F47" s="145" t="s">
        <v>1131</v>
      </c>
      <c r="G47" s="145" t="s">
        <v>791</v>
      </c>
    </row>
    <row r="48" spans="2:7" x14ac:dyDescent="0.3">
      <c r="B48" s="145" t="s">
        <v>646</v>
      </c>
      <c r="C48" s="145" t="s">
        <v>344</v>
      </c>
      <c r="D48" s="146" t="s">
        <v>577</v>
      </c>
      <c r="E48" s="145" t="s">
        <v>565</v>
      </c>
      <c r="F48" s="145" t="s">
        <v>1225</v>
      </c>
      <c r="G48" s="145" t="s">
        <v>791</v>
      </c>
    </row>
    <row r="49" spans="2:7" x14ac:dyDescent="0.3">
      <c r="B49" s="145" t="s">
        <v>646</v>
      </c>
      <c r="C49" s="145" t="s">
        <v>344</v>
      </c>
      <c r="D49" s="146" t="s">
        <v>577</v>
      </c>
      <c r="E49" s="145" t="s">
        <v>565</v>
      </c>
      <c r="F49" s="145" t="s">
        <v>1304</v>
      </c>
      <c r="G49" s="145" t="s">
        <v>791</v>
      </c>
    </row>
    <row r="50" spans="2:7" ht="26.4" x14ac:dyDescent="0.3">
      <c r="B50" s="145" t="s">
        <v>646</v>
      </c>
      <c r="C50" s="145" t="s">
        <v>344</v>
      </c>
      <c r="D50" s="146" t="s">
        <v>722</v>
      </c>
      <c r="E50" s="145" t="s">
        <v>590</v>
      </c>
      <c r="F50" s="145" t="s">
        <v>907</v>
      </c>
      <c r="G50" s="145" t="s">
        <v>792</v>
      </c>
    </row>
    <row r="51" spans="2:7" x14ac:dyDescent="0.3">
      <c r="B51" s="145" t="s">
        <v>646</v>
      </c>
      <c r="C51" s="145" t="s">
        <v>344</v>
      </c>
      <c r="D51" s="146" t="s">
        <v>722</v>
      </c>
      <c r="E51" s="145" t="s">
        <v>590</v>
      </c>
      <c r="F51" s="145" t="s">
        <v>1021</v>
      </c>
      <c r="G51" s="145" t="s">
        <v>792</v>
      </c>
    </row>
    <row r="52" spans="2:7" x14ac:dyDescent="0.3">
      <c r="B52" s="145" t="s">
        <v>646</v>
      </c>
      <c r="C52" s="145" t="s">
        <v>344</v>
      </c>
      <c r="D52" s="146" t="s">
        <v>722</v>
      </c>
      <c r="E52" s="145" t="s">
        <v>590</v>
      </c>
      <c r="F52" s="145" t="s">
        <v>1132</v>
      </c>
      <c r="G52" s="145" t="s">
        <v>792</v>
      </c>
    </row>
    <row r="53" spans="2:7" x14ac:dyDescent="0.3">
      <c r="B53" s="145" t="s">
        <v>646</v>
      </c>
      <c r="C53" s="145" t="s">
        <v>344</v>
      </c>
      <c r="D53" s="146" t="s">
        <v>722</v>
      </c>
      <c r="E53" s="145" t="s">
        <v>590</v>
      </c>
      <c r="F53" s="145" t="s">
        <v>1226</v>
      </c>
      <c r="G53" s="145" t="s">
        <v>792</v>
      </c>
    </row>
    <row r="54" spans="2:7" x14ac:dyDescent="0.3">
      <c r="B54" s="145" t="s">
        <v>646</v>
      </c>
      <c r="C54" s="145" t="s">
        <v>344</v>
      </c>
      <c r="D54" s="146" t="s">
        <v>722</v>
      </c>
      <c r="E54" s="145" t="s">
        <v>590</v>
      </c>
      <c r="F54" s="145" t="s">
        <v>1305</v>
      </c>
      <c r="G54" s="145" t="s">
        <v>792</v>
      </c>
    </row>
    <row r="55" spans="2:7" x14ac:dyDescent="0.3">
      <c r="B55" s="145" t="s">
        <v>646</v>
      </c>
      <c r="C55" s="145" t="s">
        <v>344</v>
      </c>
      <c r="D55" s="146" t="s">
        <v>732</v>
      </c>
      <c r="E55" s="145" t="s">
        <v>610</v>
      </c>
      <c r="F55" s="148" t="s">
        <v>908</v>
      </c>
      <c r="G55" s="145" t="s">
        <v>793</v>
      </c>
    </row>
    <row r="56" spans="2:7" x14ac:dyDescent="0.3">
      <c r="B56" s="145" t="s">
        <v>646</v>
      </c>
      <c r="C56" s="145" t="s">
        <v>344</v>
      </c>
      <c r="D56" s="146" t="s">
        <v>732</v>
      </c>
      <c r="E56" s="145" t="s">
        <v>610</v>
      </c>
      <c r="F56" s="148" t="s">
        <v>1022</v>
      </c>
      <c r="G56" s="145" t="s">
        <v>793</v>
      </c>
    </row>
    <row r="57" spans="2:7" x14ac:dyDescent="0.3">
      <c r="B57" s="145" t="s">
        <v>646</v>
      </c>
      <c r="C57" s="145" t="s">
        <v>344</v>
      </c>
      <c r="D57" s="146" t="s">
        <v>732</v>
      </c>
      <c r="E57" s="145" t="s">
        <v>610</v>
      </c>
      <c r="F57" s="148" t="s">
        <v>1133</v>
      </c>
      <c r="G57" s="145" t="s">
        <v>793</v>
      </c>
    </row>
    <row r="58" spans="2:7" x14ac:dyDescent="0.3">
      <c r="B58" s="145" t="s">
        <v>646</v>
      </c>
      <c r="C58" s="145" t="s">
        <v>344</v>
      </c>
      <c r="D58" s="146" t="s">
        <v>732</v>
      </c>
      <c r="E58" s="145" t="s">
        <v>610</v>
      </c>
      <c r="F58" s="148" t="s">
        <v>1227</v>
      </c>
      <c r="G58" s="145" t="s">
        <v>793</v>
      </c>
    </row>
    <row r="59" spans="2:7" ht="26.4" x14ac:dyDescent="0.3">
      <c r="B59" s="145" t="s">
        <v>646</v>
      </c>
      <c r="C59" s="145" t="s">
        <v>344</v>
      </c>
      <c r="D59" s="146" t="s">
        <v>738</v>
      </c>
      <c r="E59" s="145" t="s">
        <v>627</v>
      </c>
      <c r="F59" s="148" t="s">
        <v>909</v>
      </c>
      <c r="G59" s="145" t="s">
        <v>794</v>
      </c>
    </row>
    <row r="60" spans="2:7" ht="26.4" x14ac:dyDescent="0.3">
      <c r="B60" s="145" t="s">
        <v>646</v>
      </c>
      <c r="C60" s="145" t="s">
        <v>344</v>
      </c>
      <c r="D60" s="146" t="s">
        <v>738</v>
      </c>
      <c r="E60" s="145" t="s">
        <v>627</v>
      </c>
      <c r="F60" s="148" t="s">
        <v>1023</v>
      </c>
      <c r="G60" s="145" t="s">
        <v>794</v>
      </c>
    </row>
    <row r="61" spans="2:7" ht="26.4" x14ac:dyDescent="0.3">
      <c r="B61" s="145" t="s">
        <v>646</v>
      </c>
      <c r="C61" s="145" t="s">
        <v>344</v>
      </c>
      <c r="D61" s="146" t="s">
        <v>738</v>
      </c>
      <c r="E61" s="145" t="s">
        <v>627</v>
      </c>
      <c r="F61" s="148" t="s">
        <v>1134</v>
      </c>
      <c r="G61" s="145" t="s">
        <v>794</v>
      </c>
    </row>
    <row r="62" spans="2:7" ht="26.4" x14ac:dyDescent="0.3">
      <c r="B62" s="145" t="s">
        <v>646</v>
      </c>
      <c r="C62" s="145" t="s">
        <v>344</v>
      </c>
      <c r="D62" s="146" t="s">
        <v>738</v>
      </c>
      <c r="E62" s="145" t="s">
        <v>627</v>
      </c>
      <c r="F62" s="148" t="s">
        <v>1228</v>
      </c>
      <c r="G62" s="145" t="s">
        <v>794</v>
      </c>
    </row>
    <row r="63" spans="2:7" ht="26.4" x14ac:dyDescent="0.3">
      <c r="B63" s="145" t="s">
        <v>646</v>
      </c>
      <c r="C63" s="145" t="s">
        <v>653</v>
      </c>
      <c r="D63" s="146" t="s">
        <v>439</v>
      </c>
      <c r="E63" s="145" t="s">
        <v>424</v>
      </c>
      <c r="F63" s="148" t="s">
        <v>910</v>
      </c>
      <c r="G63" s="145" t="s">
        <v>795</v>
      </c>
    </row>
    <row r="64" spans="2:7" ht="26.4" x14ac:dyDescent="0.3">
      <c r="B64" s="145" t="s">
        <v>646</v>
      </c>
      <c r="C64" s="145" t="s">
        <v>653</v>
      </c>
      <c r="D64" s="146" t="s">
        <v>439</v>
      </c>
      <c r="E64" s="145" t="s">
        <v>424</v>
      </c>
      <c r="F64" s="148" t="s">
        <v>1024</v>
      </c>
      <c r="G64" s="145" t="s">
        <v>795</v>
      </c>
    </row>
    <row r="65" spans="2:7" ht="26.4" x14ac:dyDescent="0.3">
      <c r="B65" s="145" t="s">
        <v>646</v>
      </c>
      <c r="C65" s="145" t="s">
        <v>653</v>
      </c>
      <c r="D65" s="146" t="s">
        <v>439</v>
      </c>
      <c r="E65" s="145" t="s">
        <v>424</v>
      </c>
      <c r="F65" s="148" t="s">
        <v>1135</v>
      </c>
      <c r="G65" s="145" t="s">
        <v>795</v>
      </c>
    </row>
    <row r="66" spans="2:7" ht="26.4" x14ac:dyDescent="0.3">
      <c r="B66" s="145" t="s">
        <v>646</v>
      </c>
      <c r="C66" s="145" t="s">
        <v>653</v>
      </c>
      <c r="D66" s="146" t="s">
        <v>439</v>
      </c>
      <c r="E66" s="145" t="s">
        <v>424</v>
      </c>
      <c r="F66" s="148" t="s">
        <v>1229</v>
      </c>
      <c r="G66" s="145" t="s">
        <v>795</v>
      </c>
    </row>
    <row r="67" spans="2:7" ht="26.4" x14ac:dyDescent="0.3">
      <c r="B67" s="145" t="s">
        <v>646</v>
      </c>
      <c r="C67" s="145" t="s">
        <v>653</v>
      </c>
      <c r="D67" s="146" t="s">
        <v>439</v>
      </c>
      <c r="E67" s="145" t="s">
        <v>424</v>
      </c>
      <c r="F67" s="148" t="s">
        <v>1306</v>
      </c>
      <c r="G67" s="145" t="s">
        <v>795</v>
      </c>
    </row>
    <row r="68" spans="2:7" ht="26.4" x14ac:dyDescent="0.3">
      <c r="B68" s="145" t="s">
        <v>646</v>
      </c>
      <c r="C68" s="145" t="s">
        <v>653</v>
      </c>
      <c r="D68" s="146" t="s">
        <v>439</v>
      </c>
      <c r="E68" s="145" t="s">
        <v>424</v>
      </c>
      <c r="F68" s="148" t="s">
        <v>1363</v>
      </c>
      <c r="G68" s="145" t="s">
        <v>795</v>
      </c>
    </row>
    <row r="69" spans="2:7" ht="26.4" x14ac:dyDescent="0.3">
      <c r="B69" s="145" t="s">
        <v>646</v>
      </c>
      <c r="C69" s="145" t="s">
        <v>653</v>
      </c>
      <c r="D69" s="146" t="s">
        <v>439</v>
      </c>
      <c r="E69" s="145" t="s">
        <v>424</v>
      </c>
      <c r="F69" s="148" t="s">
        <v>1405</v>
      </c>
      <c r="G69" s="145" t="s">
        <v>795</v>
      </c>
    </row>
    <row r="70" spans="2:7" ht="39.6" x14ac:dyDescent="0.3">
      <c r="B70" s="145" t="s">
        <v>646</v>
      </c>
      <c r="C70" s="145" t="s">
        <v>653</v>
      </c>
      <c r="D70" s="146" t="s">
        <v>470</v>
      </c>
      <c r="E70" s="145" t="s">
        <v>455</v>
      </c>
      <c r="F70" s="148" t="s">
        <v>911</v>
      </c>
      <c r="G70" s="145" t="s">
        <v>796</v>
      </c>
    </row>
    <row r="71" spans="2:7" ht="39.6" x14ac:dyDescent="0.3">
      <c r="B71" s="145" t="s">
        <v>646</v>
      </c>
      <c r="C71" s="145" t="s">
        <v>653</v>
      </c>
      <c r="D71" s="146" t="s">
        <v>470</v>
      </c>
      <c r="E71" s="145" t="s">
        <v>455</v>
      </c>
      <c r="F71" s="148" t="s">
        <v>1025</v>
      </c>
      <c r="G71" s="145" t="s">
        <v>796</v>
      </c>
    </row>
    <row r="72" spans="2:7" ht="39.6" x14ac:dyDescent="0.3">
      <c r="B72" s="145" t="s">
        <v>646</v>
      </c>
      <c r="C72" s="145" t="s">
        <v>653</v>
      </c>
      <c r="D72" s="146" t="s">
        <v>470</v>
      </c>
      <c r="E72" s="145" t="s">
        <v>455</v>
      </c>
      <c r="F72" s="148" t="s">
        <v>1136</v>
      </c>
      <c r="G72" s="145" t="s">
        <v>796</v>
      </c>
    </row>
    <row r="73" spans="2:7" ht="39.6" x14ac:dyDescent="0.3">
      <c r="B73" s="145" t="s">
        <v>646</v>
      </c>
      <c r="C73" s="145" t="s">
        <v>653</v>
      </c>
      <c r="D73" s="146" t="s">
        <v>470</v>
      </c>
      <c r="E73" s="145" t="s">
        <v>455</v>
      </c>
      <c r="F73" s="148" t="s">
        <v>1230</v>
      </c>
      <c r="G73" s="145" t="s">
        <v>796</v>
      </c>
    </row>
    <row r="74" spans="2:7" ht="39.6" x14ac:dyDescent="0.3">
      <c r="B74" s="145" t="s">
        <v>646</v>
      </c>
      <c r="C74" s="145" t="s">
        <v>653</v>
      </c>
      <c r="D74" s="146" t="s">
        <v>500</v>
      </c>
      <c r="E74" s="145" t="s">
        <v>485</v>
      </c>
      <c r="F74" s="148" t="s">
        <v>912</v>
      </c>
      <c r="G74" s="145" t="s">
        <v>797</v>
      </c>
    </row>
    <row r="75" spans="2:7" ht="39.6" x14ac:dyDescent="0.3">
      <c r="B75" s="145" t="s">
        <v>646</v>
      </c>
      <c r="C75" s="145" t="s">
        <v>653</v>
      </c>
      <c r="D75" s="146" t="s">
        <v>500</v>
      </c>
      <c r="E75" s="145" t="s">
        <v>485</v>
      </c>
      <c r="F75" s="148" t="s">
        <v>1026</v>
      </c>
      <c r="G75" s="145" t="s">
        <v>797</v>
      </c>
    </row>
    <row r="76" spans="2:7" ht="39.6" x14ac:dyDescent="0.3">
      <c r="B76" s="145" t="s">
        <v>646</v>
      </c>
      <c r="C76" s="145" t="s">
        <v>653</v>
      </c>
      <c r="D76" s="146" t="s">
        <v>500</v>
      </c>
      <c r="E76" s="145" t="s">
        <v>485</v>
      </c>
      <c r="F76" s="148" t="s">
        <v>1137</v>
      </c>
      <c r="G76" s="145" t="s">
        <v>797</v>
      </c>
    </row>
    <row r="77" spans="2:7" ht="39.6" x14ac:dyDescent="0.3">
      <c r="B77" s="145" t="s">
        <v>646</v>
      </c>
      <c r="C77" s="145" t="s">
        <v>653</v>
      </c>
      <c r="D77" s="146" t="s">
        <v>500</v>
      </c>
      <c r="E77" s="145" t="s">
        <v>485</v>
      </c>
      <c r="F77" s="148" t="s">
        <v>1231</v>
      </c>
      <c r="G77" s="145" t="s">
        <v>797</v>
      </c>
    </row>
    <row r="78" spans="2:7" ht="39.6" x14ac:dyDescent="0.3">
      <c r="B78" s="145" t="s">
        <v>646</v>
      </c>
      <c r="C78" s="145" t="s">
        <v>653</v>
      </c>
      <c r="D78" s="146" t="s">
        <v>500</v>
      </c>
      <c r="E78" s="145" t="s">
        <v>485</v>
      </c>
      <c r="F78" s="148" t="s">
        <v>1307</v>
      </c>
      <c r="G78" s="145" t="s">
        <v>797</v>
      </c>
    </row>
    <row r="79" spans="2:7" ht="39.6" x14ac:dyDescent="0.3">
      <c r="B79" s="145" t="s">
        <v>646</v>
      </c>
      <c r="C79" s="145" t="s">
        <v>653</v>
      </c>
      <c r="D79" s="146" t="s">
        <v>527</v>
      </c>
      <c r="E79" s="145" t="s">
        <v>514</v>
      </c>
      <c r="F79" s="148" t="s">
        <v>913</v>
      </c>
      <c r="G79" s="145" t="s">
        <v>798</v>
      </c>
    </row>
    <row r="80" spans="2:7" ht="39.6" x14ac:dyDescent="0.3">
      <c r="B80" s="145" t="s">
        <v>646</v>
      </c>
      <c r="C80" s="145" t="s">
        <v>653</v>
      </c>
      <c r="D80" s="146" t="s">
        <v>527</v>
      </c>
      <c r="E80" s="145" t="s">
        <v>514</v>
      </c>
      <c r="F80" s="148" t="s">
        <v>1027</v>
      </c>
      <c r="G80" s="145" t="s">
        <v>798</v>
      </c>
    </row>
    <row r="81" spans="2:7" ht="39.6" x14ac:dyDescent="0.3">
      <c r="B81" s="145" t="s">
        <v>646</v>
      </c>
      <c r="C81" s="145" t="s">
        <v>653</v>
      </c>
      <c r="D81" s="146" t="s">
        <v>527</v>
      </c>
      <c r="E81" s="145" t="s">
        <v>514</v>
      </c>
      <c r="F81" s="148" t="s">
        <v>1138</v>
      </c>
      <c r="G81" s="145" t="s">
        <v>798</v>
      </c>
    </row>
    <row r="82" spans="2:7" ht="39.6" x14ac:dyDescent="0.3">
      <c r="B82" s="145" t="s">
        <v>646</v>
      </c>
      <c r="C82" s="145" t="s">
        <v>653</v>
      </c>
      <c r="D82" s="146" t="s">
        <v>527</v>
      </c>
      <c r="E82" s="145" t="s">
        <v>514</v>
      </c>
      <c r="F82" s="148" t="s">
        <v>1232</v>
      </c>
      <c r="G82" s="145" t="s">
        <v>798</v>
      </c>
    </row>
    <row r="83" spans="2:7" ht="39.6" x14ac:dyDescent="0.3">
      <c r="B83" s="145" t="s">
        <v>646</v>
      </c>
      <c r="C83" s="145" t="s">
        <v>653</v>
      </c>
      <c r="D83" s="146" t="s">
        <v>527</v>
      </c>
      <c r="E83" s="145" t="s">
        <v>514</v>
      </c>
      <c r="F83" s="148" t="s">
        <v>1308</v>
      </c>
      <c r="G83" s="145" t="s">
        <v>798</v>
      </c>
    </row>
    <row r="84" spans="2:7" x14ac:dyDescent="0.3">
      <c r="B84" s="145" t="s">
        <v>646</v>
      </c>
      <c r="C84" s="145" t="s">
        <v>347</v>
      </c>
      <c r="D84" s="146" t="s">
        <v>657</v>
      </c>
      <c r="E84" s="145" t="s">
        <v>425</v>
      </c>
      <c r="F84" s="148" t="s">
        <v>914</v>
      </c>
      <c r="G84" s="145" t="s">
        <v>799</v>
      </c>
    </row>
    <row r="85" spans="2:7" x14ac:dyDescent="0.3">
      <c r="B85" s="145" t="s">
        <v>646</v>
      </c>
      <c r="C85" s="145" t="s">
        <v>347</v>
      </c>
      <c r="D85" s="146" t="s">
        <v>657</v>
      </c>
      <c r="E85" s="145" t="s">
        <v>425</v>
      </c>
      <c r="F85" s="148" t="s">
        <v>1028</v>
      </c>
      <c r="G85" s="145" t="s">
        <v>799</v>
      </c>
    </row>
    <row r="86" spans="2:7" x14ac:dyDescent="0.3">
      <c r="B86" s="145" t="s">
        <v>646</v>
      </c>
      <c r="C86" s="145" t="s">
        <v>347</v>
      </c>
      <c r="D86" s="146" t="s">
        <v>657</v>
      </c>
      <c r="E86" s="145" t="s">
        <v>425</v>
      </c>
      <c r="F86" s="148" t="s">
        <v>1139</v>
      </c>
      <c r="G86" s="145" t="s">
        <v>799</v>
      </c>
    </row>
    <row r="87" spans="2:7" x14ac:dyDescent="0.3">
      <c r="B87" s="145" t="s">
        <v>646</v>
      </c>
      <c r="C87" s="145" t="s">
        <v>347</v>
      </c>
      <c r="D87" s="146" t="s">
        <v>657</v>
      </c>
      <c r="E87" s="145" t="s">
        <v>425</v>
      </c>
      <c r="F87" s="148" t="s">
        <v>1233</v>
      </c>
      <c r="G87" s="145" t="s">
        <v>799</v>
      </c>
    </row>
    <row r="88" spans="2:7" x14ac:dyDescent="0.3">
      <c r="B88" s="145" t="s">
        <v>646</v>
      </c>
      <c r="C88" s="145" t="s">
        <v>347</v>
      </c>
      <c r="D88" s="146" t="s">
        <v>657</v>
      </c>
      <c r="E88" s="145" t="s">
        <v>425</v>
      </c>
      <c r="F88" s="148" t="s">
        <v>1309</v>
      </c>
      <c r="G88" s="145" t="s">
        <v>799</v>
      </c>
    </row>
    <row r="89" spans="2:7" x14ac:dyDescent="0.3">
      <c r="B89" s="145" t="s">
        <v>646</v>
      </c>
      <c r="C89" s="145" t="s">
        <v>347</v>
      </c>
      <c r="D89" s="146" t="s">
        <v>657</v>
      </c>
      <c r="E89" s="145" t="s">
        <v>425</v>
      </c>
      <c r="F89" s="148" t="s">
        <v>1364</v>
      </c>
      <c r="G89" s="145" t="s">
        <v>799</v>
      </c>
    </row>
    <row r="90" spans="2:7" ht="26.4" x14ac:dyDescent="0.3">
      <c r="B90" s="145" t="s">
        <v>646</v>
      </c>
      <c r="C90" s="145" t="s">
        <v>347</v>
      </c>
      <c r="D90" s="146" t="s">
        <v>471</v>
      </c>
      <c r="E90" s="145" t="s">
        <v>456</v>
      </c>
      <c r="F90" s="148" t="s">
        <v>915</v>
      </c>
      <c r="G90" s="145" t="s">
        <v>800</v>
      </c>
    </row>
    <row r="91" spans="2:7" ht="26.4" x14ac:dyDescent="0.3">
      <c r="B91" s="145" t="s">
        <v>646</v>
      </c>
      <c r="C91" s="145" t="s">
        <v>347</v>
      </c>
      <c r="D91" s="146" t="s">
        <v>471</v>
      </c>
      <c r="E91" s="145" t="s">
        <v>456</v>
      </c>
      <c r="F91" s="148" t="s">
        <v>1029</v>
      </c>
      <c r="G91" s="145" t="s">
        <v>800</v>
      </c>
    </row>
    <row r="92" spans="2:7" ht="26.4" x14ac:dyDescent="0.3">
      <c r="B92" s="145" t="s">
        <v>646</v>
      </c>
      <c r="C92" s="145" t="s">
        <v>347</v>
      </c>
      <c r="D92" s="146" t="s">
        <v>471</v>
      </c>
      <c r="E92" s="145" t="s">
        <v>456</v>
      </c>
      <c r="F92" s="148" t="s">
        <v>1140</v>
      </c>
      <c r="G92" s="145" t="s">
        <v>800</v>
      </c>
    </row>
    <row r="93" spans="2:7" ht="26.4" x14ac:dyDescent="0.3">
      <c r="B93" s="145" t="s">
        <v>646</v>
      </c>
      <c r="C93" s="145" t="s">
        <v>347</v>
      </c>
      <c r="D93" s="146" t="s">
        <v>471</v>
      </c>
      <c r="E93" s="145" t="s">
        <v>456</v>
      </c>
      <c r="F93" s="148" t="s">
        <v>1234</v>
      </c>
      <c r="G93" s="145" t="s">
        <v>800</v>
      </c>
    </row>
    <row r="94" spans="2:7" ht="26.4" x14ac:dyDescent="0.3">
      <c r="B94" s="145" t="s">
        <v>646</v>
      </c>
      <c r="C94" s="145" t="s">
        <v>347</v>
      </c>
      <c r="D94" s="146" t="s">
        <v>677</v>
      </c>
      <c r="E94" s="145" t="s">
        <v>486</v>
      </c>
      <c r="F94" s="148" t="s">
        <v>916</v>
      </c>
      <c r="G94" s="145" t="s">
        <v>801</v>
      </c>
    </row>
    <row r="95" spans="2:7" ht="26.4" x14ac:dyDescent="0.3">
      <c r="B95" s="145" t="s">
        <v>646</v>
      </c>
      <c r="C95" s="145" t="s">
        <v>347</v>
      </c>
      <c r="D95" s="146" t="s">
        <v>677</v>
      </c>
      <c r="E95" s="145" t="s">
        <v>486</v>
      </c>
      <c r="F95" s="148" t="s">
        <v>1030</v>
      </c>
      <c r="G95" s="145" t="s">
        <v>801</v>
      </c>
    </row>
    <row r="96" spans="2:7" ht="26.4" x14ac:dyDescent="0.3">
      <c r="B96" s="145" t="s">
        <v>646</v>
      </c>
      <c r="C96" s="145" t="s">
        <v>347</v>
      </c>
      <c r="D96" s="146" t="s">
        <v>689</v>
      </c>
      <c r="E96" s="145" t="s">
        <v>515</v>
      </c>
      <c r="F96" s="148" t="s">
        <v>917</v>
      </c>
      <c r="G96" s="145" t="s">
        <v>802</v>
      </c>
    </row>
    <row r="97" spans="2:7" ht="26.4" x14ac:dyDescent="0.3">
      <c r="B97" s="145" t="s">
        <v>646</v>
      </c>
      <c r="C97" s="145" t="s">
        <v>347</v>
      </c>
      <c r="D97" s="146" t="s">
        <v>689</v>
      </c>
      <c r="E97" s="145" t="s">
        <v>515</v>
      </c>
      <c r="F97" s="148" t="s">
        <v>1031</v>
      </c>
      <c r="G97" s="145" t="s">
        <v>802</v>
      </c>
    </row>
    <row r="98" spans="2:7" ht="26.4" x14ac:dyDescent="0.3">
      <c r="B98" s="145" t="s">
        <v>646</v>
      </c>
      <c r="C98" s="145" t="s">
        <v>347</v>
      </c>
      <c r="D98" s="146" t="s">
        <v>689</v>
      </c>
      <c r="E98" s="145" t="s">
        <v>515</v>
      </c>
      <c r="F98" s="148" t="s">
        <v>1141</v>
      </c>
      <c r="G98" s="145" t="s">
        <v>802</v>
      </c>
    </row>
    <row r="99" spans="2:7" ht="26.4" x14ac:dyDescent="0.3">
      <c r="B99" s="145" t="s">
        <v>646</v>
      </c>
      <c r="C99" s="145" t="s">
        <v>347</v>
      </c>
      <c r="D99" s="146" t="s">
        <v>689</v>
      </c>
      <c r="E99" s="145" t="s">
        <v>515</v>
      </c>
      <c r="F99" s="148" t="s">
        <v>1235</v>
      </c>
      <c r="G99" s="145" t="s">
        <v>802</v>
      </c>
    </row>
    <row r="100" spans="2:7" ht="26.4" x14ac:dyDescent="0.3">
      <c r="B100" s="145" t="s">
        <v>646</v>
      </c>
      <c r="C100" s="145" t="s">
        <v>347</v>
      </c>
      <c r="D100" s="146" t="s">
        <v>689</v>
      </c>
      <c r="E100" s="145" t="s">
        <v>515</v>
      </c>
      <c r="F100" s="148" t="s">
        <v>1310</v>
      </c>
      <c r="G100" s="145" t="s">
        <v>802</v>
      </c>
    </row>
    <row r="101" spans="2:7" ht="26.4" x14ac:dyDescent="0.3">
      <c r="B101" s="145" t="s">
        <v>646</v>
      </c>
      <c r="C101" s="145" t="s">
        <v>347</v>
      </c>
      <c r="D101" s="146" t="s">
        <v>689</v>
      </c>
      <c r="E101" s="145" t="s">
        <v>515</v>
      </c>
      <c r="F101" s="148" t="s">
        <v>1365</v>
      </c>
      <c r="G101" s="145" t="s">
        <v>802</v>
      </c>
    </row>
    <row r="102" spans="2:7" ht="26.4" x14ac:dyDescent="0.3">
      <c r="B102" s="145" t="s">
        <v>646</v>
      </c>
      <c r="C102" s="145" t="s">
        <v>347</v>
      </c>
      <c r="D102" s="146" t="s">
        <v>689</v>
      </c>
      <c r="E102" s="145" t="s">
        <v>515</v>
      </c>
      <c r="F102" s="148" t="s">
        <v>1406</v>
      </c>
      <c r="G102" s="145" t="s">
        <v>802</v>
      </c>
    </row>
    <row r="103" spans="2:7" ht="26.4" x14ac:dyDescent="0.3">
      <c r="B103" s="145" t="s">
        <v>646</v>
      </c>
      <c r="C103" s="145" t="s">
        <v>347</v>
      </c>
      <c r="D103" s="146" t="s">
        <v>689</v>
      </c>
      <c r="E103" s="145" t="s">
        <v>515</v>
      </c>
      <c r="F103" s="148" t="s">
        <v>1441</v>
      </c>
      <c r="G103" s="145" t="s">
        <v>802</v>
      </c>
    </row>
    <row r="104" spans="2:7" ht="26.4" x14ac:dyDescent="0.3">
      <c r="B104" s="145" t="s">
        <v>646</v>
      </c>
      <c r="C104" s="145" t="s">
        <v>347</v>
      </c>
      <c r="D104" s="146" t="s">
        <v>700</v>
      </c>
      <c r="E104" s="145" t="s">
        <v>541</v>
      </c>
      <c r="F104" s="148" t="s">
        <v>918</v>
      </c>
      <c r="G104" s="145" t="s">
        <v>803</v>
      </c>
    </row>
    <row r="105" spans="2:7" ht="26.4" x14ac:dyDescent="0.3">
      <c r="B105" s="145" t="s">
        <v>646</v>
      </c>
      <c r="C105" s="145" t="s">
        <v>347</v>
      </c>
      <c r="D105" s="146" t="s">
        <v>700</v>
      </c>
      <c r="E105" s="145" t="s">
        <v>541</v>
      </c>
      <c r="F105" s="148" t="s">
        <v>1032</v>
      </c>
      <c r="G105" s="145" t="s">
        <v>803</v>
      </c>
    </row>
    <row r="106" spans="2:7" ht="26.4" x14ac:dyDescent="0.3">
      <c r="B106" s="145" t="s">
        <v>646</v>
      </c>
      <c r="C106" s="145" t="s">
        <v>347</v>
      </c>
      <c r="D106" s="146" t="s">
        <v>700</v>
      </c>
      <c r="E106" s="145" t="s">
        <v>541</v>
      </c>
      <c r="F106" s="148" t="s">
        <v>1142</v>
      </c>
      <c r="G106" s="145" t="s">
        <v>803</v>
      </c>
    </row>
    <row r="107" spans="2:7" ht="26.4" x14ac:dyDescent="0.3">
      <c r="B107" s="145" t="s">
        <v>646</v>
      </c>
      <c r="C107" s="145" t="s">
        <v>347</v>
      </c>
      <c r="D107" s="146" t="s">
        <v>700</v>
      </c>
      <c r="E107" s="145" t="s">
        <v>541</v>
      </c>
      <c r="F107" s="148" t="s">
        <v>1236</v>
      </c>
      <c r="G107" s="145" t="s">
        <v>803</v>
      </c>
    </row>
    <row r="108" spans="2:7" ht="26.4" x14ac:dyDescent="0.3">
      <c r="B108" s="145" t="s">
        <v>646</v>
      </c>
      <c r="C108" s="145" t="s">
        <v>347</v>
      </c>
      <c r="D108" s="146" t="s">
        <v>700</v>
      </c>
      <c r="E108" s="145" t="s">
        <v>541</v>
      </c>
      <c r="F108" s="148" t="s">
        <v>1311</v>
      </c>
      <c r="G108" s="145" t="s">
        <v>803</v>
      </c>
    </row>
    <row r="109" spans="2:7" ht="26.4" x14ac:dyDescent="0.3">
      <c r="B109" s="145" t="s">
        <v>646</v>
      </c>
      <c r="C109" s="145" t="s">
        <v>347</v>
      </c>
      <c r="D109" s="146" t="s">
        <v>700</v>
      </c>
      <c r="E109" s="145" t="s">
        <v>541</v>
      </c>
      <c r="F109" s="148" t="s">
        <v>1366</v>
      </c>
      <c r="G109" s="145" t="s">
        <v>803</v>
      </c>
    </row>
    <row r="110" spans="2:7" ht="26.4" x14ac:dyDescent="0.3">
      <c r="B110" s="145" t="s">
        <v>646</v>
      </c>
      <c r="C110" s="145" t="s">
        <v>347</v>
      </c>
      <c r="D110" s="146" t="s">
        <v>700</v>
      </c>
      <c r="E110" s="145" t="s">
        <v>541</v>
      </c>
      <c r="F110" s="148" t="s">
        <v>1407</v>
      </c>
      <c r="G110" s="145" t="s">
        <v>803</v>
      </c>
    </row>
    <row r="111" spans="2:7" ht="26.4" x14ac:dyDescent="0.3">
      <c r="B111" s="145" t="s">
        <v>646</v>
      </c>
      <c r="C111" s="145" t="s">
        <v>347</v>
      </c>
      <c r="D111" s="146" t="s">
        <v>700</v>
      </c>
      <c r="E111" s="145" t="s">
        <v>541</v>
      </c>
      <c r="F111" s="148" t="s">
        <v>1442</v>
      </c>
      <c r="G111" s="145" t="s">
        <v>803</v>
      </c>
    </row>
    <row r="112" spans="2:7" ht="26.4" x14ac:dyDescent="0.3">
      <c r="B112" s="145" t="s">
        <v>646</v>
      </c>
      <c r="C112" s="145" t="s">
        <v>347</v>
      </c>
      <c r="D112" s="146" t="s">
        <v>700</v>
      </c>
      <c r="E112" s="145" t="s">
        <v>541</v>
      </c>
      <c r="F112" s="148" t="s">
        <v>1466</v>
      </c>
      <c r="G112" s="145" t="s">
        <v>803</v>
      </c>
    </row>
    <row r="113" spans="2:7" ht="26.4" x14ac:dyDescent="0.3">
      <c r="B113" s="145" t="s">
        <v>646</v>
      </c>
      <c r="C113" s="145" t="s">
        <v>347</v>
      </c>
      <c r="D113" s="146" t="s">
        <v>700</v>
      </c>
      <c r="E113" s="145" t="s">
        <v>541</v>
      </c>
      <c r="F113" s="148" t="s">
        <v>1485</v>
      </c>
      <c r="G113" s="145" t="s">
        <v>803</v>
      </c>
    </row>
    <row r="114" spans="2:7" ht="26.4" x14ac:dyDescent="0.3">
      <c r="B114" s="145" t="s">
        <v>646</v>
      </c>
      <c r="C114" s="145" t="s">
        <v>347</v>
      </c>
      <c r="D114" s="146" t="s">
        <v>700</v>
      </c>
      <c r="E114" s="145" t="s">
        <v>541</v>
      </c>
      <c r="F114" s="148" t="s">
        <v>1503</v>
      </c>
      <c r="G114" s="145" t="s">
        <v>803</v>
      </c>
    </row>
    <row r="115" spans="2:7" ht="26.4" x14ac:dyDescent="0.3">
      <c r="B115" s="145" t="s">
        <v>646</v>
      </c>
      <c r="C115" s="145" t="s">
        <v>347</v>
      </c>
      <c r="D115" s="146" t="s">
        <v>700</v>
      </c>
      <c r="E115" s="145" t="s">
        <v>541</v>
      </c>
      <c r="F115" s="148" t="s">
        <v>1517</v>
      </c>
      <c r="G115" s="145" t="s">
        <v>803</v>
      </c>
    </row>
    <row r="116" spans="2:7" ht="26.4" x14ac:dyDescent="0.3">
      <c r="B116" s="145" t="s">
        <v>646</v>
      </c>
      <c r="C116" s="145" t="s">
        <v>347</v>
      </c>
      <c r="D116" s="146" t="s">
        <v>711</v>
      </c>
      <c r="E116" s="145" t="s">
        <v>566</v>
      </c>
      <c r="F116" s="148" t="s">
        <v>919</v>
      </c>
      <c r="G116" s="145" t="s">
        <v>804</v>
      </c>
    </row>
    <row r="117" spans="2:7" ht="26.4" x14ac:dyDescent="0.3">
      <c r="B117" s="145" t="s">
        <v>646</v>
      </c>
      <c r="C117" s="145" t="s">
        <v>347</v>
      </c>
      <c r="D117" s="146" t="s">
        <v>711</v>
      </c>
      <c r="E117" s="145" t="s">
        <v>566</v>
      </c>
      <c r="F117" s="148" t="s">
        <v>1033</v>
      </c>
      <c r="G117" s="145" t="s">
        <v>804</v>
      </c>
    </row>
    <row r="118" spans="2:7" ht="26.4" x14ac:dyDescent="0.3">
      <c r="B118" s="145" t="s">
        <v>646</v>
      </c>
      <c r="C118" s="145" t="s">
        <v>347</v>
      </c>
      <c r="D118" s="146" t="s">
        <v>711</v>
      </c>
      <c r="E118" s="145" t="s">
        <v>566</v>
      </c>
      <c r="F118" s="148" t="s">
        <v>1143</v>
      </c>
      <c r="G118" s="145" t="s">
        <v>804</v>
      </c>
    </row>
    <row r="119" spans="2:7" ht="26.4" x14ac:dyDescent="0.3">
      <c r="B119" s="145" t="s">
        <v>646</v>
      </c>
      <c r="C119" s="145" t="s">
        <v>347</v>
      </c>
      <c r="D119" s="146" t="s">
        <v>711</v>
      </c>
      <c r="E119" s="145" t="s">
        <v>566</v>
      </c>
      <c r="F119" s="148" t="s">
        <v>1237</v>
      </c>
      <c r="G119" s="145" t="s">
        <v>804</v>
      </c>
    </row>
    <row r="120" spans="2:7" ht="26.4" x14ac:dyDescent="0.3">
      <c r="B120" s="145" t="s">
        <v>646</v>
      </c>
      <c r="C120" s="145" t="s">
        <v>347</v>
      </c>
      <c r="D120" s="146" t="s">
        <v>711</v>
      </c>
      <c r="E120" s="145" t="s">
        <v>566</v>
      </c>
      <c r="F120" s="148" t="s">
        <v>1312</v>
      </c>
      <c r="G120" s="145" t="s">
        <v>804</v>
      </c>
    </row>
    <row r="121" spans="2:7" ht="26.4" x14ac:dyDescent="0.3">
      <c r="B121" s="145" t="s">
        <v>646</v>
      </c>
      <c r="C121" s="145" t="s">
        <v>347</v>
      </c>
      <c r="D121" s="146" t="s">
        <v>711</v>
      </c>
      <c r="E121" s="145" t="s">
        <v>566</v>
      </c>
      <c r="F121" s="148" t="s">
        <v>1367</v>
      </c>
      <c r="G121" s="145" t="s">
        <v>804</v>
      </c>
    </row>
    <row r="122" spans="2:7" ht="26.4" x14ac:dyDescent="0.3">
      <c r="B122" s="145" t="s">
        <v>646</v>
      </c>
      <c r="C122" s="145" t="s">
        <v>347</v>
      </c>
      <c r="D122" s="146" t="s">
        <v>711</v>
      </c>
      <c r="E122" s="145" t="s">
        <v>566</v>
      </c>
      <c r="F122" s="148" t="s">
        <v>1408</v>
      </c>
      <c r="G122" s="145" t="s">
        <v>804</v>
      </c>
    </row>
    <row r="123" spans="2:7" ht="26.4" x14ac:dyDescent="0.3">
      <c r="B123" s="145" t="s">
        <v>646</v>
      </c>
      <c r="C123" s="145" t="s">
        <v>347</v>
      </c>
      <c r="D123" s="146" t="s">
        <v>711</v>
      </c>
      <c r="E123" s="145" t="s">
        <v>566</v>
      </c>
      <c r="F123" s="148" t="s">
        <v>1443</v>
      </c>
      <c r="G123" s="145" t="s">
        <v>804</v>
      </c>
    </row>
    <row r="124" spans="2:7" ht="26.4" x14ac:dyDescent="0.3">
      <c r="B124" s="145" t="s">
        <v>646</v>
      </c>
      <c r="C124" s="145" t="s">
        <v>347</v>
      </c>
      <c r="D124" s="146" t="s">
        <v>711</v>
      </c>
      <c r="E124" s="145" t="s">
        <v>566</v>
      </c>
      <c r="F124" s="148" t="s">
        <v>1467</v>
      </c>
      <c r="G124" s="145" t="s">
        <v>804</v>
      </c>
    </row>
    <row r="125" spans="2:7" ht="26.4" x14ac:dyDescent="0.3">
      <c r="B125" s="145" t="s">
        <v>646</v>
      </c>
      <c r="C125" s="145" t="s">
        <v>347</v>
      </c>
      <c r="D125" s="146" t="s">
        <v>711</v>
      </c>
      <c r="E125" s="145" t="s">
        <v>566</v>
      </c>
      <c r="F125" s="148" t="s">
        <v>1486</v>
      </c>
      <c r="G125" s="145" t="s">
        <v>804</v>
      </c>
    </row>
    <row r="126" spans="2:7" ht="26.4" x14ac:dyDescent="0.3">
      <c r="B126" s="145" t="s">
        <v>646</v>
      </c>
      <c r="C126" s="145" t="s">
        <v>347</v>
      </c>
      <c r="D126" s="146" t="s">
        <v>723</v>
      </c>
      <c r="E126" s="145" t="s">
        <v>591</v>
      </c>
      <c r="F126" s="148" t="s">
        <v>920</v>
      </c>
      <c r="G126" s="145" t="s">
        <v>805</v>
      </c>
    </row>
    <row r="127" spans="2:7" ht="26.4" x14ac:dyDescent="0.3">
      <c r="B127" s="145" t="s">
        <v>646</v>
      </c>
      <c r="C127" s="145" t="s">
        <v>347</v>
      </c>
      <c r="D127" s="146" t="s">
        <v>723</v>
      </c>
      <c r="E127" s="145" t="s">
        <v>591</v>
      </c>
      <c r="F127" s="148" t="s">
        <v>1034</v>
      </c>
      <c r="G127" s="145" t="s">
        <v>805</v>
      </c>
    </row>
    <row r="128" spans="2:7" ht="26.4" x14ac:dyDescent="0.3">
      <c r="B128" s="145" t="s">
        <v>646</v>
      </c>
      <c r="C128" s="145" t="s">
        <v>347</v>
      </c>
      <c r="D128" s="146" t="s">
        <v>723</v>
      </c>
      <c r="E128" s="145" t="s">
        <v>591</v>
      </c>
      <c r="F128" s="148" t="s">
        <v>1144</v>
      </c>
      <c r="G128" s="145" t="s">
        <v>805</v>
      </c>
    </row>
    <row r="129" spans="2:7" ht="26.4" x14ac:dyDescent="0.3">
      <c r="B129" s="145" t="s">
        <v>646</v>
      </c>
      <c r="C129" s="145" t="s">
        <v>347</v>
      </c>
      <c r="D129" s="146" t="s">
        <v>723</v>
      </c>
      <c r="E129" s="145" t="s">
        <v>591</v>
      </c>
      <c r="F129" s="148" t="s">
        <v>1238</v>
      </c>
      <c r="G129" s="145" t="s">
        <v>805</v>
      </c>
    </row>
    <row r="130" spans="2:7" ht="26.4" x14ac:dyDescent="0.3">
      <c r="B130" s="145" t="s">
        <v>646</v>
      </c>
      <c r="C130" s="145" t="s">
        <v>347</v>
      </c>
      <c r="D130" s="146" t="s">
        <v>619</v>
      </c>
      <c r="E130" s="145" t="s">
        <v>611</v>
      </c>
      <c r="F130" s="148" t="s">
        <v>921</v>
      </c>
      <c r="G130" s="145" t="s">
        <v>806</v>
      </c>
    </row>
    <row r="131" spans="2:7" ht="26.4" x14ac:dyDescent="0.3">
      <c r="B131" s="145" t="s">
        <v>646</v>
      </c>
      <c r="C131" s="145" t="s">
        <v>347</v>
      </c>
      <c r="D131" s="146" t="s">
        <v>619</v>
      </c>
      <c r="E131" s="145" t="s">
        <v>611</v>
      </c>
      <c r="F131" s="148" t="s">
        <v>1035</v>
      </c>
      <c r="G131" s="145" t="s">
        <v>806</v>
      </c>
    </row>
    <row r="132" spans="2:7" ht="26.4" x14ac:dyDescent="0.3">
      <c r="B132" s="145" t="s">
        <v>646</v>
      </c>
      <c r="C132" s="145" t="s">
        <v>347</v>
      </c>
      <c r="D132" s="146" t="s">
        <v>619</v>
      </c>
      <c r="E132" s="145" t="s">
        <v>611</v>
      </c>
      <c r="F132" s="148" t="s">
        <v>1145</v>
      </c>
      <c r="G132" s="145" t="s">
        <v>806</v>
      </c>
    </row>
    <row r="133" spans="2:7" ht="26.4" x14ac:dyDescent="0.3">
      <c r="B133" s="145" t="s">
        <v>646</v>
      </c>
      <c r="C133" s="145" t="s">
        <v>347</v>
      </c>
      <c r="D133" s="146" t="s">
        <v>619</v>
      </c>
      <c r="E133" s="145" t="s">
        <v>611</v>
      </c>
      <c r="F133" s="148" t="s">
        <v>1239</v>
      </c>
      <c r="G133" s="145" t="s">
        <v>806</v>
      </c>
    </row>
    <row r="134" spans="2:7" ht="26.4" x14ac:dyDescent="0.3">
      <c r="B134" s="145" t="s">
        <v>646</v>
      </c>
      <c r="C134" s="145" t="s">
        <v>347</v>
      </c>
      <c r="D134" s="146" t="s">
        <v>619</v>
      </c>
      <c r="E134" s="145" t="s">
        <v>611</v>
      </c>
      <c r="F134" s="148" t="s">
        <v>1313</v>
      </c>
      <c r="G134" s="145" t="s">
        <v>806</v>
      </c>
    </row>
    <row r="135" spans="2:7" ht="26.4" x14ac:dyDescent="0.3">
      <c r="B135" s="145" t="s">
        <v>646</v>
      </c>
      <c r="C135" s="145" t="s">
        <v>347</v>
      </c>
      <c r="D135" s="146" t="s">
        <v>619</v>
      </c>
      <c r="E135" s="145" t="s">
        <v>611</v>
      </c>
      <c r="F135" s="148" t="s">
        <v>1368</v>
      </c>
      <c r="G135" s="145" t="s">
        <v>806</v>
      </c>
    </row>
    <row r="136" spans="2:7" ht="26.4" x14ac:dyDescent="0.3">
      <c r="B136" s="145" t="s">
        <v>646</v>
      </c>
      <c r="C136" s="145" t="s">
        <v>347</v>
      </c>
      <c r="D136" s="146" t="s">
        <v>619</v>
      </c>
      <c r="E136" s="145" t="s">
        <v>611</v>
      </c>
      <c r="F136" s="148" t="s">
        <v>1409</v>
      </c>
      <c r="G136" s="145" t="s">
        <v>806</v>
      </c>
    </row>
    <row r="137" spans="2:7" ht="26.4" x14ac:dyDescent="0.3">
      <c r="B137" s="145" t="s">
        <v>646</v>
      </c>
      <c r="C137" s="145" t="s">
        <v>347</v>
      </c>
      <c r="D137" s="146" t="s">
        <v>619</v>
      </c>
      <c r="E137" s="145" t="s">
        <v>611</v>
      </c>
      <c r="F137" s="148" t="s">
        <v>1444</v>
      </c>
      <c r="G137" s="145" t="s">
        <v>806</v>
      </c>
    </row>
    <row r="138" spans="2:7" ht="52.8" x14ac:dyDescent="0.3">
      <c r="B138" s="145" t="s">
        <v>646</v>
      </c>
      <c r="C138" s="145" t="s">
        <v>347</v>
      </c>
      <c r="D138" s="146" t="s">
        <v>739</v>
      </c>
      <c r="E138" s="145" t="s">
        <v>628</v>
      </c>
      <c r="F138" s="148" t="s">
        <v>922</v>
      </c>
      <c r="G138" s="145" t="s">
        <v>807</v>
      </c>
    </row>
    <row r="139" spans="2:7" ht="52.8" x14ac:dyDescent="0.3">
      <c r="B139" s="145" t="s">
        <v>646</v>
      </c>
      <c r="C139" s="145" t="s">
        <v>347</v>
      </c>
      <c r="D139" s="146" t="s">
        <v>739</v>
      </c>
      <c r="E139" s="145" t="s">
        <v>628</v>
      </c>
      <c r="F139" s="148" t="s">
        <v>1036</v>
      </c>
      <c r="G139" s="145" t="s">
        <v>807</v>
      </c>
    </row>
    <row r="140" spans="2:7" ht="52.8" x14ac:dyDescent="0.3">
      <c r="B140" s="145" t="s">
        <v>646</v>
      </c>
      <c r="C140" s="145" t="s">
        <v>347</v>
      </c>
      <c r="D140" s="146" t="s">
        <v>739</v>
      </c>
      <c r="E140" s="145" t="s">
        <v>628</v>
      </c>
      <c r="F140" s="148" t="s">
        <v>1146</v>
      </c>
      <c r="G140" s="145" t="s">
        <v>807</v>
      </c>
    </row>
    <row r="141" spans="2:7" ht="52.8" x14ac:dyDescent="0.3">
      <c r="B141" s="145" t="s">
        <v>646</v>
      </c>
      <c r="C141" s="145" t="s">
        <v>347</v>
      </c>
      <c r="D141" s="146" t="s">
        <v>739</v>
      </c>
      <c r="E141" s="145" t="s">
        <v>628</v>
      </c>
      <c r="F141" s="148" t="s">
        <v>1240</v>
      </c>
      <c r="G141" s="145" t="s">
        <v>807</v>
      </c>
    </row>
    <row r="142" spans="2:7" ht="52.8" x14ac:dyDescent="0.3">
      <c r="B142" s="145" t="s">
        <v>646</v>
      </c>
      <c r="C142" s="145" t="s">
        <v>347</v>
      </c>
      <c r="D142" s="146" t="s">
        <v>739</v>
      </c>
      <c r="E142" s="145" t="s">
        <v>628</v>
      </c>
      <c r="F142" s="148" t="s">
        <v>1314</v>
      </c>
      <c r="G142" s="145" t="s">
        <v>807</v>
      </c>
    </row>
    <row r="143" spans="2:7" ht="52.8" x14ac:dyDescent="0.3">
      <c r="B143" s="145" t="s">
        <v>646</v>
      </c>
      <c r="C143" s="145" t="s">
        <v>347</v>
      </c>
      <c r="D143" s="146" t="s">
        <v>739</v>
      </c>
      <c r="E143" s="145" t="s">
        <v>628</v>
      </c>
      <c r="F143" s="148" t="s">
        <v>1369</v>
      </c>
      <c r="G143" s="145" t="s">
        <v>807</v>
      </c>
    </row>
    <row r="144" spans="2:7" ht="52.8" x14ac:dyDescent="0.3">
      <c r="B144" s="145" t="s">
        <v>646</v>
      </c>
      <c r="C144" s="145" t="s">
        <v>347</v>
      </c>
      <c r="D144" s="146" t="s">
        <v>739</v>
      </c>
      <c r="E144" s="145" t="s">
        <v>628</v>
      </c>
      <c r="F144" s="148" t="s">
        <v>1410</v>
      </c>
      <c r="G144" s="145" t="s">
        <v>807</v>
      </c>
    </row>
    <row r="145" spans="2:7" ht="52.8" x14ac:dyDescent="0.3">
      <c r="B145" s="145" t="s">
        <v>646</v>
      </c>
      <c r="C145" s="145" t="s">
        <v>347</v>
      </c>
      <c r="D145" s="146" t="s">
        <v>739</v>
      </c>
      <c r="E145" s="145" t="s">
        <v>628</v>
      </c>
      <c r="F145" s="148" t="s">
        <v>1445</v>
      </c>
      <c r="G145" s="145" t="s">
        <v>807</v>
      </c>
    </row>
    <row r="146" spans="2:7" ht="52.8" x14ac:dyDescent="0.3">
      <c r="B146" s="145" t="s">
        <v>646</v>
      </c>
      <c r="C146" s="145" t="s">
        <v>347</v>
      </c>
      <c r="D146" s="146" t="s">
        <v>739</v>
      </c>
      <c r="E146" s="145" t="s">
        <v>628</v>
      </c>
      <c r="F146" s="148" t="s">
        <v>1468</v>
      </c>
      <c r="G146" s="145" t="s">
        <v>807</v>
      </c>
    </row>
    <row r="147" spans="2:7" ht="52.8" x14ac:dyDescent="0.3">
      <c r="B147" s="145" t="s">
        <v>646</v>
      </c>
      <c r="C147" s="145" t="s">
        <v>347</v>
      </c>
      <c r="D147" s="146" t="s">
        <v>739</v>
      </c>
      <c r="E147" s="145" t="s">
        <v>628</v>
      </c>
      <c r="F147" s="148" t="s">
        <v>1487</v>
      </c>
      <c r="G147" s="145" t="s">
        <v>807</v>
      </c>
    </row>
    <row r="148" spans="2:7" ht="52.8" x14ac:dyDescent="0.3">
      <c r="B148" s="145" t="s">
        <v>646</v>
      </c>
      <c r="C148" s="145" t="s">
        <v>347</v>
      </c>
      <c r="D148" s="146" t="s">
        <v>739</v>
      </c>
      <c r="E148" s="145" t="s">
        <v>628</v>
      </c>
      <c r="F148" s="148" t="s">
        <v>1504</v>
      </c>
      <c r="G148" s="145" t="s">
        <v>807</v>
      </c>
    </row>
    <row r="149" spans="2:7" ht="52.8" x14ac:dyDescent="0.3">
      <c r="B149" s="145" t="s">
        <v>646</v>
      </c>
      <c r="C149" s="145" t="s">
        <v>347</v>
      </c>
      <c r="D149" s="146" t="s">
        <v>739</v>
      </c>
      <c r="E149" s="145" t="s">
        <v>628</v>
      </c>
      <c r="F149" s="148" t="s">
        <v>1518</v>
      </c>
      <c r="G149" s="145" t="s">
        <v>807</v>
      </c>
    </row>
    <row r="150" spans="2:7" ht="52.8" x14ac:dyDescent="0.3">
      <c r="B150" s="145" t="s">
        <v>646</v>
      </c>
      <c r="C150" s="145" t="s">
        <v>347</v>
      </c>
      <c r="D150" s="146" t="s">
        <v>739</v>
      </c>
      <c r="E150" s="145" t="s">
        <v>628</v>
      </c>
      <c r="F150" s="148" t="s">
        <v>1530</v>
      </c>
      <c r="G150" s="145" t="s">
        <v>807</v>
      </c>
    </row>
    <row r="151" spans="2:7" ht="52.8" x14ac:dyDescent="0.3">
      <c r="B151" s="145" t="s">
        <v>646</v>
      </c>
      <c r="C151" s="145" t="s">
        <v>347</v>
      </c>
      <c r="D151" s="146" t="s">
        <v>739</v>
      </c>
      <c r="E151" s="145" t="s">
        <v>628</v>
      </c>
      <c r="F151" s="148" t="s">
        <v>1540</v>
      </c>
      <c r="G151" s="145" t="s">
        <v>807</v>
      </c>
    </row>
    <row r="152" spans="2:7" ht="26.4" x14ac:dyDescent="0.3">
      <c r="B152" s="145" t="s">
        <v>646</v>
      </c>
      <c r="C152" s="145" t="s">
        <v>347</v>
      </c>
      <c r="D152" s="146" t="s">
        <v>743</v>
      </c>
      <c r="E152" s="145" t="s">
        <v>636</v>
      </c>
      <c r="F152" s="148" t="s">
        <v>923</v>
      </c>
      <c r="G152" s="145" t="s">
        <v>808</v>
      </c>
    </row>
    <row r="153" spans="2:7" ht="26.4" x14ac:dyDescent="0.3">
      <c r="B153" s="145" t="s">
        <v>646</v>
      </c>
      <c r="C153" s="145" t="s">
        <v>347</v>
      </c>
      <c r="D153" s="146" t="s">
        <v>743</v>
      </c>
      <c r="E153" s="145" t="s">
        <v>636</v>
      </c>
      <c r="F153" s="148" t="s">
        <v>1037</v>
      </c>
      <c r="G153" s="145" t="s">
        <v>808</v>
      </c>
    </row>
    <row r="154" spans="2:7" x14ac:dyDescent="0.3">
      <c r="B154" s="145" t="s">
        <v>646</v>
      </c>
      <c r="C154" s="145" t="s">
        <v>347</v>
      </c>
      <c r="D154" s="146" t="s">
        <v>644</v>
      </c>
      <c r="E154" s="145" t="s">
        <v>642</v>
      </c>
      <c r="F154" s="148" t="s">
        <v>924</v>
      </c>
      <c r="G154" s="145" t="s">
        <v>809</v>
      </c>
    </row>
    <row r="155" spans="2:7" x14ac:dyDescent="0.3">
      <c r="B155" s="145" t="s">
        <v>646</v>
      </c>
      <c r="C155" s="145" t="s">
        <v>347</v>
      </c>
      <c r="D155" s="146" t="s">
        <v>644</v>
      </c>
      <c r="E155" s="145" t="s">
        <v>642</v>
      </c>
      <c r="F155" s="148" t="s">
        <v>1038</v>
      </c>
      <c r="G155" s="145" t="s">
        <v>809</v>
      </c>
    </row>
    <row r="156" spans="2:7" ht="26.4" x14ac:dyDescent="0.3">
      <c r="B156" s="145" t="s">
        <v>646</v>
      </c>
      <c r="C156" s="145" t="s">
        <v>342</v>
      </c>
      <c r="D156" s="146" t="s">
        <v>441</v>
      </c>
      <c r="E156" s="145" t="s">
        <v>426</v>
      </c>
      <c r="F156" s="148" t="s">
        <v>925</v>
      </c>
      <c r="G156" s="145" t="s">
        <v>810</v>
      </c>
    </row>
    <row r="157" spans="2:7" ht="26.4" x14ac:dyDescent="0.3">
      <c r="B157" s="145" t="s">
        <v>646</v>
      </c>
      <c r="C157" s="145" t="s">
        <v>342</v>
      </c>
      <c r="D157" s="146" t="s">
        <v>441</v>
      </c>
      <c r="E157" s="145" t="s">
        <v>426</v>
      </c>
      <c r="F157" s="148" t="s">
        <v>1039</v>
      </c>
      <c r="G157" s="145" t="s">
        <v>810</v>
      </c>
    </row>
    <row r="158" spans="2:7" ht="26.4" x14ac:dyDescent="0.3">
      <c r="B158" s="145" t="s">
        <v>646</v>
      </c>
      <c r="C158" s="145" t="s">
        <v>342</v>
      </c>
      <c r="D158" s="146" t="s">
        <v>441</v>
      </c>
      <c r="E158" s="145" t="s">
        <v>426</v>
      </c>
      <c r="F158" s="148" t="s">
        <v>1147</v>
      </c>
      <c r="G158" s="145" t="s">
        <v>810</v>
      </c>
    </row>
    <row r="159" spans="2:7" ht="26.4" x14ac:dyDescent="0.3">
      <c r="B159" s="145" t="s">
        <v>646</v>
      </c>
      <c r="C159" s="145" t="s">
        <v>342</v>
      </c>
      <c r="D159" s="146" t="s">
        <v>441</v>
      </c>
      <c r="E159" s="145" t="s">
        <v>426</v>
      </c>
      <c r="F159" s="148" t="s">
        <v>1241</v>
      </c>
      <c r="G159" s="145" t="s">
        <v>810</v>
      </c>
    </row>
    <row r="160" spans="2:7" ht="26.4" x14ac:dyDescent="0.3">
      <c r="B160" s="145" t="s">
        <v>646</v>
      </c>
      <c r="C160" s="145" t="s">
        <v>342</v>
      </c>
      <c r="D160" s="146" t="s">
        <v>441</v>
      </c>
      <c r="E160" s="145" t="s">
        <v>426</v>
      </c>
      <c r="F160" s="148" t="s">
        <v>1315</v>
      </c>
      <c r="G160" s="145" t="s">
        <v>810</v>
      </c>
    </row>
    <row r="161" spans="2:7" ht="26.4" x14ac:dyDescent="0.3">
      <c r="B161" s="145" t="s">
        <v>646</v>
      </c>
      <c r="C161" s="145" t="s">
        <v>342</v>
      </c>
      <c r="D161" s="146" t="s">
        <v>441</v>
      </c>
      <c r="E161" s="145" t="s">
        <v>426</v>
      </c>
      <c r="F161" s="148" t="s">
        <v>1370</v>
      </c>
      <c r="G161" s="145" t="s">
        <v>810</v>
      </c>
    </row>
    <row r="162" spans="2:7" ht="26.4" x14ac:dyDescent="0.3">
      <c r="B162" s="145" t="s">
        <v>646</v>
      </c>
      <c r="C162" s="145" t="s">
        <v>342</v>
      </c>
      <c r="D162" s="146" t="s">
        <v>441</v>
      </c>
      <c r="E162" s="145" t="s">
        <v>426</v>
      </c>
      <c r="F162" s="148" t="s">
        <v>1411</v>
      </c>
      <c r="G162" s="145" t="s">
        <v>810</v>
      </c>
    </row>
    <row r="163" spans="2:7" ht="26.4" x14ac:dyDescent="0.3">
      <c r="B163" s="145" t="s">
        <v>646</v>
      </c>
      <c r="C163" s="145" t="s">
        <v>342</v>
      </c>
      <c r="D163" s="146" t="s">
        <v>441</v>
      </c>
      <c r="E163" s="145" t="s">
        <v>426</v>
      </c>
      <c r="F163" s="148" t="s">
        <v>1446</v>
      </c>
      <c r="G163" s="145" t="s">
        <v>810</v>
      </c>
    </row>
    <row r="164" spans="2:7" ht="26.4" x14ac:dyDescent="0.3">
      <c r="B164" s="145" t="s">
        <v>646</v>
      </c>
      <c r="C164" s="145" t="s">
        <v>342</v>
      </c>
      <c r="D164" s="146" t="s">
        <v>441</v>
      </c>
      <c r="E164" s="145" t="s">
        <v>426</v>
      </c>
      <c r="F164" s="148" t="s">
        <v>1469</v>
      </c>
      <c r="G164" s="145" t="s">
        <v>810</v>
      </c>
    </row>
    <row r="165" spans="2:7" ht="39.6" x14ac:dyDescent="0.3">
      <c r="B165" s="145" t="s">
        <v>646</v>
      </c>
      <c r="C165" s="145" t="s">
        <v>342</v>
      </c>
      <c r="D165" s="146" t="s">
        <v>472</v>
      </c>
      <c r="E165" s="145" t="s">
        <v>457</v>
      </c>
      <c r="F165" s="148" t="s">
        <v>926</v>
      </c>
      <c r="G165" s="145" t="s">
        <v>811</v>
      </c>
    </row>
    <row r="166" spans="2:7" ht="39.6" x14ac:dyDescent="0.3">
      <c r="B166" s="145" t="s">
        <v>646</v>
      </c>
      <c r="C166" s="145" t="s">
        <v>342</v>
      </c>
      <c r="D166" s="146" t="s">
        <v>472</v>
      </c>
      <c r="E166" s="145" t="s">
        <v>457</v>
      </c>
      <c r="F166" s="148" t="s">
        <v>1040</v>
      </c>
      <c r="G166" s="145" t="s">
        <v>811</v>
      </c>
    </row>
    <row r="167" spans="2:7" ht="39.6" x14ac:dyDescent="0.3">
      <c r="B167" s="145" t="s">
        <v>646</v>
      </c>
      <c r="C167" s="145" t="s">
        <v>342</v>
      </c>
      <c r="D167" s="146" t="s">
        <v>472</v>
      </c>
      <c r="E167" s="145" t="s">
        <v>457</v>
      </c>
      <c r="F167" s="148" t="s">
        <v>1148</v>
      </c>
      <c r="G167" s="145" t="s">
        <v>811</v>
      </c>
    </row>
    <row r="168" spans="2:7" ht="39.6" x14ac:dyDescent="0.3">
      <c r="B168" s="145" t="s">
        <v>646</v>
      </c>
      <c r="C168" s="145" t="s">
        <v>342</v>
      </c>
      <c r="D168" s="146" t="s">
        <v>472</v>
      </c>
      <c r="E168" s="145" t="s">
        <v>457</v>
      </c>
      <c r="F168" s="148" t="s">
        <v>1242</v>
      </c>
      <c r="G168" s="145" t="s">
        <v>811</v>
      </c>
    </row>
    <row r="169" spans="2:7" ht="39.6" x14ac:dyDescent="0.3">
      <c r="B169" s="145" t="s">
        <v>646</v>
      </c>
      <c r="C169" s="145" t="s">
        <v>342</v>
      </c>
      <c r="D169" s="146" t="s">
        <v>472</v>
      </c>
      <c r="E169" s="145" t="s">
        <v>457</v>
      </c>
      <c r="F169" s="148" t="s">
        <v>1316</v>
      </c>
      <c r="G169" s="145" t="s">
        <v>811</v>
      </c>
    </row>
    <row r="170" spans="2:7" ht="39.6" x14ac:dyDescent="0.3">
      <c r="B170" s="145" t="s">
        <v>646</v>
      </c>
      <c r="C170" s="145" t="s">
        <v>342</v>
      </c>
      <c r="D170" s="146" t="s">
        <v>472</v>
      </c>
      <c r="E170" s="145" t="s">
        <v>457</v>
      </c>
      <c r="F170" s="148" t="s">
        <v>1371</v>
      </c>
      <c r="G170" s="145" t="s">
        <v>811</v>
      </c>
    </row>
    <row r="171" spans="2:7" ht="39.6" x14ac:dyDescent="0.3">
      <c r="B171" s="145" t="s">
        <v>646</v>
      </c>
      <c r="C171" s="145" t="s">
        <v>342</v>
      </c>
      <c r="D171" s="146" t="s">
        <v>472</v>
      </c>
      <c r="E171" s="145" t="s">
        <v>457</v>
      </c>
      <c r="F171" s="148" t="s">
        <v>1412</v>
      </c>
      <c r="G171" s="145" t="s">
        <v>811</v>
      </c>
    </row>
    <row r="172" spans="2:7" ht="39.6" x14ac:dyDescent="0.3">
      <c r="B172" s="145" t="s">
        <v>646</v>
      </c>
      <c r="C172" s="145" t="s">
        <v>342</v>
      </c>
      <c r="D172" s="146" t="s">
        <v>472</v>
      </c>
      <c r="E172" s="145" t="s">
        <v>457</v>
      </c>
      <c r="F172" s="148" t="s">
        <v>1447</v>
      </c>
      <c r="G172" s="145" t="s">
        <v>811</v>
      </c>
    </row>
    <row r="173" spans="2:7" ht="39.6" x14ac:dyDescent="0.3">
      <c r="B173" s="145" t="s">
        <v>646</v>
      </c>
      <c r="C173" s="145" t="s">
        <v>342</v>
      </c>
      <c r="D173" s="146" t="s">
        <v>472</v>
      </c>
      <c r="E173" s="145" t="s">
        <v>457</v>
      </c>
      <c r="F173" s="148" t="s">
        <v>1470</v>
      </c>
      <c r="G173" s="145" t="s">
        <v>811</v>
      </c>
    </row>
    <row r="174" spans="2:7" ht="39.6" x14ac:dyDescent="0.3">
      <c r="B174" s="145" t="s">
        <v>646</v>
      </c>
      <c r="C174" s="145" t="s">
        <v>342</v>
      </c>
      <c r="D174" s="146" t="s">
        <v>472</v>
      </c>
      <c r="E174" s="145" t="s">
        <v>457</v>
      </c>
      <c r="F174" s="148" t="s">
        <v>1488</v>
      </c>
      <c r="G174" s="145" t="s">
        <v>811</v>
      </c>
    </row>
    <row r="175" spans="2:7" ht="39.6" x14ac:dyDescent="0.3">
      <c r="B175" s="145" t="s">
        <v>646</v>
      </c>
      <c r="C175" s="145" t="s">
        <v>342</v>
      </c>
      <c r="D175" s="146" t="s">
        <v>472</v>
      </c>
      <c r="E175" s="145" t="s">
        <v>457</v>
      </c>
      <c r="F175" s="148" t="s">
        <v>1505</v>
      </c>
      <c r="G175" s="145" t="s">
        <v>811</v>
      </c>
    </row>
    <row r="176" spans="2:7" ht="39.6" x14ac:dyDescent="0.3">
      <c r="B176" s="145" t="s">
        <v>646</v>
      </c>
      <c r="C176" s="145" t="s">
        <v>342</v>
      </c>
      <c r="D176" s="146" t="s">
        <v>472</v>
      </c>
      <c r="E176" s="145" t="s">
        <v>457</v>
      </c>
      <c r="F176" s="148" t="s">
        <v>1519</v>
      </c>
      <c r="G176" s="145" t="s">
        <v>811</v>
      </c>
    </row>
    <row r="177" spans="2:7" ht="39.6" x14ac:dyDescent="0.3">
      <c r="B177" s="145" t="s">
        <v>646</v>
      </c>
      <c r="C177" s="145" t="s">
        <v>342</v>
      </c>
      <c r="D177" s="146" t="s">
        <v>472</v>
      </c>
      <c r="E177" s="145" t="s">
        <v>457</v>
      </c>
      <c r="F177" s="148" t="s">
        <v>1531</v>
      </c>
      <c r="G177" s="145" t="s">
        <v>811</v>
      </c>
    </row>
    <row r="178" spans="2:7" ht="39.6" x14ac:dyDescent="0.3">
      <c r="B178" s="145" t="s">
        <v>646</v>
      </c>
      <c r="C178" s="145" t="s">
        <v>342</v>
      </c>
      <c r="D178" s="146" t="s">
        <v>472</v>
      </c>
      <c r="E178" s="145" t="s">
        <v>457</v>
      </c>
      <c r="F178" s="148" t="s">
        <v>1541</v>
      </c>
      <c r="G178" s="145" t="s">
        <v>811</v>
      </c>
    </row>
    <row r="179" spans="2:7" ht="39.6" x14ac:dyDescent="0.3">
      <c r="B179" s="145" t="s">
        <v>646</v>
      </c>
      <c r="C179" s="145" t="s">
        <v>342</v>
      </c>
      <c r="D179" s="146" t="s">
        <v>472</v>
      </c>
      <c r="E179" s="145" t="s">
        <v>457</v>
      </c>
      <c r="F179" s="148" t="s">
        <v>1550</v>
      </c>
      <c r="G179" s="145" t="s">
        <v>811</v>
      </c>
    </row>
    <row r="180" spans="2:7" ht="39.6" x14ac:dyDescent="0.3">
      <c r="B180" s="145" t="s">
        <v>646</v>
      </c>
      <c r="C180" s="145" t="s">
        <v>342</v>
      </c>
      <c r="D180" s="146" t="s">
        <v>472</v>
      </c>
      <c r="E180" s="145" t="s">
        <v>457</v>
      </c>
      <c r="F180" s="148" t="s">
        <v>1558</v>
      </c>
      <c r="G180" s="145" t="s">
        <v>811</v>
      </c>
    </row>
    <row r="181" spans="2:7" ht="39.6" x14ac:dyDescent="0.3">
      <c r="B181" s="145" t="s">
        <v>646</v>
      </c>
      <c r="C181" s="145" t="s">
        <v>342</v>
      </c>
      <c r="D181" s="146" t="s">
        <v>472</v>
      </c>
      <c r="E181" s="145" t="s">
        <v>457</v>
      </c>
      <c r="F181" s="148" t="s">
        <v>1566</v>
      </c>
      <c r="G181" s="145" t="s">
        <v>811</v>
      </c>
    </row>
    <row r="182" spans="2:7" ht="39.6" x14ac:dyDescent="0.3">
      <c r="B182" s="145" t="s">
        <v>646</v>
      </c>
      <c r="C182" s="145" t="s">
        <v>342</v>
      </c>
      <c r="D182" s="146" t="s">
        <v>472</v>
      </c>
      <c r="E182" s="145" t="s">
        <v>457</v>
      </c>
      <c r="F182" s="148" t="s">
        <v>1574</v>
      </c>
      <c r="G182" s="145" t="s">
        <v>811</v>
      </c>
    </row>
    <row r="183" spans="2:7" ht="39.6" x14ac:dyDescent="0.3">
      <c r="B183" s="145" t="s">
        <v>646</v>
      </c>
      <c r="C183" s="145" t="s">
        <v>342</v>
      </c>
      <c r="D183" s="146" t="s">
        <v>472</v>
      </c>
      <c r="E183" s="145" t="s">
        <v>457</v>
      </c>
      <c r="F183" s="148" t="s">
        <v>1581</v>
      </c>
      <c r="G183" s="145" t="s">
        <v>811</v>
      </c>
    </row>
    <row r="184" spans="2:7" ht="39.6" x14ac:dyDescent="0.3">
      <c r="B184" s="145" t="s">
        <v>646</v>
      </c>
      <c r="C184" s="145" t="s">
        <v>342</v>
      </c>
      <c r="D184" s="146" t="s">
        <v>472</v>
      </c>
      <c r="E184" s="145" t="s">
        <v>457</v>
      </c>
      <c r="F184" s="148" t="s">
        <v>1587</v>
      </c>
      <c r="G184" s="145" t="s">
        <v>811</v>
      </c>
    </row>
    <row r="185" spans="2:7" ht="39.6" x14ac:dyDescent="0.3">
      <c r="B185" s="145" t="s">
        <v>646</v>
      </c>
      <c r="C185" s="145" t="s">
        <v>342</v>
      </c>
      <c r="D185" s="146" t="s">
        <v>472</v>
      </c>
      <c r="E185" s="145" t="s">
        <v>457</v>
      </c>
      <c r="F185" s="148" t="s">
        <v>1593</v>
      </c>
      <c r="G185" s="145" t="s">
        <v>811</v>
      </c>
    </row>
    <row r="186" spans="2:7" ht="39.6" x14ac:dyDescent="0.3">
      <c r="B186" s="145" t="s">
        <v>646</v>
      </c>
      <c r="C186" s="145" t="s">
        <v>342</v>
      </c>
      <c r="D186" s="146" t="s">
        <v>472</v>
      </c>
      <c r="E186" s="145" t="s">
        <v>457</v>
      </c>
      <c r="F186" s="148" t="s">
        <v>1599</v>
      </c>
      <c r="G186" s="145" t="s">
        <v>811</v>
      </c>
    </row>
    <row r="187" spans="2:7" ht="26.4" x14ac:dyDescent="0.3">
      <c r="B187" s="145" t="s">
        <v>646</v>
      </c>
      <c r="C187" s="145" t="s">
        <v>342</v>
      </c>
      <c r="D187" s="146" t="s">
        <v>678</v>
      </c>
      <c r="E187" s="145" t="s">
        <v>487</v>
      </c>
      <c r="F187" s="148" t="s">
        <v>927</v>
      </c>
      <c r="G187" s="145" t="s">
        <v>812</v>
      </c>
    </row>
    <row r="188" spans="2:7" ht="26.4" x14ac:dyDescent="0.3">
      <c r="B188" s="145" t="s">
        <v>646</v>
      </c>
      <c r="C188" s="145" t="s">
        <v>342</v>
      </c>
      <c r="D188" s="146" t="s">
        <v>678</v>
      </c>
      <c r="E188" s="145" t="s">
        <v>487</v>
      </c>
      <c r="F188" s="148" t="s">
        <v>1041</v>
      </c>
      <c r="G188" s="145" t="s">
        <v>812</v>
      </c>
    </row>
    <row r="189" spans="2:7" ht="26.4" x14ac:dyDescent="0.3">
      <c r="B189" s="145" t="s">
        <v>646</v>
      </c>
      <c r="C189" s="145" t="s">
        <v>342</v>
      </c>
      <c r="D189" s="146" t="s">
        <v>678</v>
      </c>
      <c r="E189" s="145" t="s">
        <v>487</v>
      </c>
      <c r="F189" s="148" t="s">
        <v>1149</v>
      </c>
      <c r="G189" s="145" t="s">
        <v>812</v>
      </c>
    </row>
    <row r="190" spans="2:7" ht="26.4" x14ac:dyDescent="0.3">
      <c r="B190" s="145" t="s">
        <v>646</v>
      </c>
      <c r="C190" s="145" t="s">
        <v>342</v>
      </c>
      <c r="D190" s="146" t="s">
        <v>678</v>
      </c>
      <c r="E190" s="145" t="s">
        <v>487</v>
      </c>
      <c r="F190" s="148" t="s">
        <v>1243</v>
      </c>
      <c r="G190" s="145" t="s">
        <v>812</v>
      </c>
    </row>
    <row r="191" spans="2:7" ht="26.4" x14ac:dyDescent="0.3">
      <c r="B191" s="145" t="s">
        <v>646</v>
      </c>
      <c r="C191" s="145" t="s">
        <v>342</v>
      </c>
      <c r="D191" s="146" t="s">
        <v>678</v>
      </c>
      <c r="E191" s="145" t="s">
        <v>487</v>
      </c>
      <c r="F191" s="148" t="s">
        <v>1317</v>
      </c>
      <c r="G191" s="145" t="s">
        <v>812</v>
      </c>
    </row>
    <row r="192" spans="2:7" ht="26.4" x14ac:dyDescent="0.3">
      <c r="B192" s="145" t="s">
        <v>646</v>
      </c>
      <c r="C192" s="145" t="s">
        <v>342</v>
      </c>
      <c r="D192" s="146" t="s">
        <v>678</v>
      </c>
      <c r="E192" s="145" t="s">
        <v>487</v>
      </c>
      <c r="F192" s="148" t="s">
        <v>1372</v>
      </c>
      <c r="G192" s="145" t="s">
        <v>812</v>
      </c>
    </row>
    <row r="193" spans="2:7" ht="26.4" x14ac:dyDescent="0.3">
      <c r="B193" s="145" t="s">
        <v>646</v>
      </c>
      <c r="C193" s="145" t="s">
        <v>342</v>
      </c>
      <c r="D193" s="146" t="s">
        <v>678</v>
      </c>
      <c r="E193" s="145" t="s">
        <v>487</v>
      </c>
      <c r="F193" s="148" t="s">
        <v>1413</v>
      </c>
      <c r="G193" s="145" t="s">
        <v>812</v>
      </c>
    </row>
    <row r="194" spans="2:7" ht="26.4" x14ac:dyDescent="0.3">
      <c r="B194" s="145" t="s">
        <v>646</v>
      </c>
      <c r="C194" s="145" t="s">
        <v>342</v>
      </c>
      <c r="D194" s="146" t="s">
        <v>678</v>
      </c>
      <c r="E194" s="145" t="s">
        <v>487</v>
      </c>
      <c r="F194" s="148" t="s">
        <v>1448</v>
      </c>
      <c r="G194" s="145" t="s">
        <v>812</v>
      </c>
    </row>
    <row r="195" spans="2:7" ht="26.4" x14ac:dyDescent="0.3">
      <c r="B195" s="145" t="s">
        <v>646</v>
      </c>
      <c r="C195" s="145" t="s">
        <v>342</v>
      </c>
      <c r="D195" s="146" t="s">
        <v>678</v>
      </c>
      <c r="E195" s="145" t="s">
        <v>487</v>
      </c>
      <c r="F195" s="148" t="s">
        <v>1471</v>
      </c>
      <c r="G195" s="145" t="s">
        <v>812</v>
      </c>
    </row>
    <row r="196" spans="2:7" ht="26.4" x14ac:dyDescent="0.3">
      <c r="B196" s="145" t="s">
        <v>646</v>
      </c>
      <c r="C196" s="145" t="s">
        <v>342</v>
      </c>
      <c r="D196" s="146" t="s">
        <v>678</v>
      </c>
      <c r="E196" s="145" t="s">
        <v>487</v>
      </c>
      <c r="F196" s="148" t="s">
        <v>1489</v>
      </c>
      <c r="G196" s="145" t="s">
        <v>812</v>
      </c>
    </row>
    <row r="197" spans="2:7" ht="26.4" x14ac:dyDescent="0.3">
      <c r="B197" s="145" t="s">
        <v>646</v>
      </c>
      <c r="C197" s="145" t="s">
        <v>342</v>
      </c>
      <c r="D197" s="146" t="s">
        <v>678</v>
      </c>
      <c r="E197" s="145" t="s">
        <v>487</v>
      </c>
      <c r="F197" s="148" t="s">
        <v>1506</v>
      </c>
      <c r="G197" s="145" t="s">
        <v>812</v>
      </c>
    </row>
    <row r="198" spans="2:7" ht="26.4" x14ac:dyDescent="0.3">
      <c r="B198" s="145" t="s">
        <v>646</v>
      </c>
      <c r="C198" s="145" t="s">
        <v>342</v>
      </c>
      <c r="D198" s="146" t="s">
        <v>678</v>
      </c>
      <c r="E198" s="145" t="s">
        <v>487</v>
      </c>
      <c r="F198" s="148" t="s">
        <v>1520</v>
      </c>
      <c r="G198" s="145" t="s">
        <v>812</v>
      </c>
    </row>
    <row r="199" spans="2:7" ht="26.4" x14ac:dyDescent="0.3">
      <c r="B199" s="145" t="s">
        <v>646</v>
      </c>
      <c r="C199" s="145" t="s">
        <v>342</v>
      </c>
      <c r="D199" s="146" t="s">
        <v>678</v>
      </c>
      <c r="E199" s="145" t="s">
        <v>487</v>
      </c>
      <c r="F199" s="148" t="s">
        <v>1532</v>
      </c>
      <c r="G199" s="145" t="s">
        <v>812</v>
      </c>
    </row>
    <row r="200" spans="2:7" ht="26.4" x14ac:dyDescent="0.3">
      <c r="B200" s="145" t="s">
        <v>646</v>
      </c>
      <c r="C200" s="145" t="s">
        <v>342</v>
      </c>
      <c r="D200" s="146" t="s">
        <v>678</v>
      </c>
      <c r="E200" s="145" t="s">
        <v>487</v>
      </c>
      <c r="F200" s="148" t="s">
        <v>1542</v>
      </c>
      <c r="G200" s="145" t="s">
        <v>812</v>
      </c>
    </row>
    <row r="201" spans="2:7" ht="26.4" x14ac:dyDescent="0.3">
      <c r="B201" s="145" t="s">
        <v>646</v>
      </c>
      <c r="C201" s="145" t="s">
        <v>342</v>
      </c>
      <c r="D201" s="146" t="s">
        <v>678</v>
      </c>
      <c r="E201" s="145" t="s">
        <v>487</v>
      </c>
      <c r="F201" s="148" t="s">
        <v>1551</v>
      </c>
      <c r="G201" s="145" t="s">
        <v>812</v>
      </c>
    </row>
    <row r="202" spans="2:7" ht="26.4" x14ac:dyDescent="0.3">
      <c r="B202" s="145" t="s">
        <v>646</v>
      </c>
      <c r="C202" s="145" t="s">
        <v>342</v>
      </c>
      <c r="D202" s="146" t="s">
        <v>678</v>
      </c>
      <c r="E202" s="145" t="s">
        <v>487</v>
      </c>
      <c r="F202" s="148" t="s">
        <v>1559</v>
      </c>
      <c r="G202" s="145" t="s">
        <v>812</v>
      </c>
    </row>
    <row r="203" spans="2:7" ht="26.4" x14ac:dyDescent="0.3">
      <c r="B203" s="145" t="s">
        <v>646</v>
      </c>
      <c r="C203" s="145" t="s">
        <v>342</v>
      </c>
      <c r="D203" s="146" t="s">
        <v>678</v>
      </c>
      <c r="E203" s="145" t="s">
        <v>487</v>
      </c>
      <c r="F203" s="148" t="s">
        <v>1567</v>
      </c>
      <c r="G203" s="145" t="s">
        <v>812</v>
      </c>
    </row>
    <row r="204" spans="2:7" ht="26.4" x14ac:dyDescent="0.3">
      <c r="B204" s="145" t="s">
        <v>646</v>
      </c>
      <c r="C204" s="145" t="s">
        <v>342</v>
      </c>
      <c r="D204" s="146" t="s">
        <v>690</v>
      </c>
      <c r="E204" s="145" t="s">
        <v>516</v>
      </c>
      <c r="F204" s="148" t="s">
        <v>928</v>
      </c>
      <c r="G204" s="145" t="s">
        <v>813</v>
      </c>
    </row>
    <row r="205" spans="2:7" ht="26.4" x14ac:dyDescent="0.3">
      <c r="B205" s="145" t="s">
        <v>646</v>
      </c>
      <c r="C205" s="145" t="s">
        <v>342</v>
      </c>
      <c r="D205" s="146" t="s">
        <v>690</v>
      </c>
      <c r="E205" s="145" t="s">
        <v>516</v>
      </c>
      <c r="F205" s="148" t="s">
        <v>1042</v>
      </c>
      <c r="G205" s="145" t="s">
        <v>813</v>
      </c>
    </row>
    <row r="206" spans="2:7" ht="26.4" x14ac:dyDescent="0.3">
      <c r="B206" s="145" t="s">
        <v>646</v>
      </c>
      <c r="C206" s="145" t="s">
        <v>342</v>
      </c>
      <c r="D206" s="146" t="s">
        <v>690</v>
      </c>
      <c r="E206" s="145" t="s">
        <v>516</v>
      </c>
      <c r="F206" s="148" t="s">
        <v>1150</v>
      </c>
      <c r="G206" s="145" t="s">
        <v>813</v>
      </c>
    </row>
    <row r="207" spans="2:7" ht="26.4" x14ac:dyDescent="0.3">
      <c r="B207" s="145" t="s">
        <v>646</v>
      </c>
      <c r="C207" s="145" t="s">
        <v>342</v>
      </c>
      <c r="D207" s="146" t="s">
        <v>690</v>
      </c>
      <c r="E207" s="145" t="s">
        <v>516</v>
      </c>
      <c r="F207" s="148" t="s">
        <v>1244</v>
      </c>
      <c r="G207" s="145" t="s">
        <v>813</v>
      </c>
    </row>
    <row r="208" spans="2:7" ht="26.4" x14ac:dyDescent="0.3">
      <c r="B208" s="145" t="s">
        <v>646</v>
      </c>
      <c r="C208" s="145" t="s">
        <v>342</v>
      </c>
      <c r="D208" s="146" t="s">
        <v>690</v>
      </c>
      <c r="E208" s="145" t="s">
        <v>516</v>
      </c>
      <c r="F208" s="148" t="s">
        <v>1318</v>
      </c>
      <c r="G208" s="145" t="s">
        <v>813</v>
      </c>
    </row>
    <row r="209" spans="2:7" ht="26.4" x14ac:dyDescent="0.3">
      <c r="B209" s="145" t="s">
        <v>646</v>
      </c>
      <c r="C209" s="145" t="s">
        <v>342</v>
      </c>
      <c r="D209" s="146" t="s">
        <v>690</v>
      </c>
      <c r="E209" s="145" t="s">
        <v>516</v>
      </c>
      <c r="F209" s="148" t="s">
        <v>1373</v>
      </c>
      <c r="G209" s="145" t="s">
        <v>813</v>
      </c>
    </row>
    <row r="210" spans="2:7" ht="39.6" x14ac:dyDescent="0.3">
      <c r="B210" s="145" t="s">
        <v>646</v>
      </c>
      <c r="C210" s="145" t="s">
        <v>342</v>
      </c>
      <c r="D210" s="146" t="s">
        <v>701</v>
      </c>
      <c r="E210" s="145" t="s">
        <v>542</v>
      </c>
      <c r="F210" s="148" t="s">
        <v>929</v>
      </c>
      <c r="G210" s="145" t="s">
        <v>814</v>
      </c>
    </row>
    <row r="211" spans="2:7" ht="39.6" x14ac:dyDescent="0.3">
      <c r="B211" s="145" t="s">
        <v>646</v>
      </c>
      <c r="C211" s="145" t="s">
        <v>342</v>
      </c>
      <c r="D211" s="146" t="s">
        <v>701</v>
      </c>
      <c r="E211" s="145" t="s">
        <v>542</v>
      </c>
      <c r="F211" s="148" t="s">
        <v>1043</v>
      </c>
      <c r="G211" s="145" t="s">
        <v>814</v>
      </c>
    </row>
    <row r="212" spans="2:7" ht="39.6" x14ac:dyDescent="0.3">
      <c r="B212" s="145" t="s">
        <v>646</v>
      </c>
      <c r="C212" s="145" t="s">
        <v>342</v>
      </c>
      <c r="D212" s="146" t="s">
        <v>701</v>
      </c>
      <c r="E212" s="145" t="s">
        <v>542</v>
      </c>
      <c r="F212" s="148" t="s">
        <v>1151</v>
      </c>
      <c r="G212" s="145" t="s">
        <v>814</v>
      </c>
    </row>
    <row r="213" spans="2:7" ht="39.6" x14ac:dyDescent="0.3">
      <c r="B213" s="145" t="s">
        <v>646</v>
      </c>
      <c r="C213" s="145" t="s">
        <v>342</v>
      </c>
      <c r="D213" s="146" t="s">
        <v>701</v>
      </c>
      <c r="E213" s="145" t="s">
        <v>542</v>
      </c>
      <c r="F213" s="148" t="s">
        <v>1245</v>
      </c>
      <c r="G213" s="145" t="s">
        <v>814</v>
      </c>
    </row>
    <row r="214" spans="2:7" ht="39.6" x14ac:dyDescent="0.3">
      <c r="B214" s="145" t="s">
        <v>646</v>
      </c>
      <c r="C214" s="145" t="s">
        <v>342</v>
      </c>
      <c r="D214" s="146" t="s">
        <v>701</v>
      </c>
      <c r="E214" s="145" t="s">
        <v>542</v>
      </c>
      <c r="F214" s="148" t="s">
        <v>1319</v>
      </c>
      <c r="G214" s="145" t="s">
        <v>814</v>
      </c>
    </row>
    <row r="215" spans="2:7" ht="39.6" x14ac:dyDescent="0.3">
      <c r="B215" s="145" t="s">
        <v>646</v>
      </c>
      <c r="C215" s="145" t="s">
        <v>342</v>
      </c>
      <c r="D215" s="146" t="s">
        <v>701</v>
      </c>
      <c r="E215" s="145" t="s">
        <v>542</v>
      </c>
      <c r="F215" s="148" t="s">
        <v>1374</v>
      </c>
      <c r="G215" s="145" t="s">
        <v>814</v>
      </c>
    </row>
    <row r="216" spans="2:7" ht="39.6" x14ac:dyDescent="0.3">
      <c r="B216" s="145" t="s">
        <v>646</v>
      </c>
      <c r="C216" s="145" t="s">
        <v>342</v>
      </c>
      <c r="D216" s="146" t="s">
        <v>701</v>
      </c>
      <c r="E216" s="145" t="s">
        <v>542</v>
      </c>
      <c r="F216" s="148" t="s">
        <v>1414</v>
      </c>
      <c r="G216" s="145" t="s">
        <v>814</v>
      </c>
    </row>
    <row r="217" spans="2:7" ht="39.6" x14ac:dyDescent="0.3">
      <c r="B217" s="145" t="s">
        <v>646</v>
      </c>
      <c r="C217" s="145" t="s">
        <v>342</v>
      </c>
      <c r="D217" s="146" t="s">
        <v>701</v>
      </c>
      <c r="E217" s="145" t="s">
        <v>542</v>
      </c>
      <c r="F217" s="148" t="s">
        <v>1449</v>
      </c>
      <c r="G217" s="145" t="s">
        <v>814</v>
      </c>
    </row>
    <row r="218" spans="2:7" ht="39.6" x14ac:dyDescent="0.3">
      <c r="B218" s="145" t="s">
        <v>646</v>
      </c>
      <c r="C218" s="145" t="s">
        <v>342</v>
      </c>
      <c r="D218" s="146" t="s">
        <v>701</v>
      </c>
      <c r="E218" s="145" t="s">
        <v>542</v>
      </c>
      <c r="F218" s="148" t="s">
        <v>1472</v>
      </c>
      <c r="G218" s="145" t="s">
        <v>814</v>
      </c>
    </row>
    <row r="219" spans="2:7" ht="39.6" x14ac:dyDescent="0.3">
      <c r="B219" s="145" t="s">
        <v>646</v>
      </c>
      <c r="C219" s="145" t="s">
        <v>342</v>
      </c>
      <c r="D219" s="146" t="s">
        <v>701</v>
      </c>
      <c r="E219" s="145" t="s">
        <v>542</v>
      </c>
      <c r="F219" s="148" t="s">
        <v>1490</v>
      </c>
      <c r="G219" s="145" t="s">
        <v>814</v>
      </c>
    </row>
    <row r="220" spans="2:7" ht="39.6" x14ac:dyDescent="0.3">
      <c r="B220" s="145" t="s">
        <v>646</v>
      </c>
      <c r="C220" s="145" t="s">
        <v>342</v>
      </c>
      <c r="D220" s="146" t="s">
        <v>701</v>
      </c>
      <c r="E220" s="145" t="s">
        <v>542</v>
      </c>
      <c r="F220" s="148" t="s">
        <v>1507</v>
      </c>
      <c r="G220" s="145" t="s">
        <v>814</v>
      </c>
    </row>
    <row r="221" spans="2:7" ht="39.6" x14ac:dyDescent="0.3">
      <c r="B221" s="145" t="s">
        <v>646</v>
      </c>
      <c r="C221" s="145" t="s">
        <v>342</v>
      </c>
      <c r="D221" s="146" t="s">
        <v>701</v>
      </c>
      <c r="E221" s="145" t="s">
        <v>542</v>
      </c>
      <c r="F221" s="148" t="s">
        <v>1521</v>
      </c>
      <c r="G221" s="145" t="s">
        <v>814</v>
      </c>
    </row>
    <row r="222" spans="2:7" ht="39.6" x14ac:dyDescent="0.3">
      <c r="B222" s="145" t="s">
        <v>646</v>
      </c>
      <c r="C222" s="145" t="s">
        <v>342</v>
      </c>
      <c r="D222" s="146" t="s">
        <v>701</v>
      </c>
      <c r="E222" s="145" t="s">
        <v>542</v>
      </c>
      <c r="F222" s="148" t="s">
        <v>1533</v>
      </c>
      <c r="G222" s="145" t="s">
        <v>814</v>
      </c>
    </row>
    <row r="223" spans="2:7" ht="39.6" x14ac:dyDescent="0.3">
      <c r="B223" s="145" t="s">
        <v>646</v>
      </c>
      <c r="C223" s="145" t="s">
        <v>342</v>
      </c>
      <c r="D223" s="146" t="s">
        <v>701</v>
      </c>
      <c r="E223" s="145" t="s">
        <v>542</v>
      </c>
      <c r="F223" s="148" t="s">
        <v>1543</v>
      </c>
      <c r="G223" s="145" t="s">
        <v>814</v>
      </c>
    </row>
    <row r="224" spans="2:7" ht="39.6" x14ac:dyDescent="0.3">
      <c r="B224" s="145" t="s">
        <v>646</v>
      </c>
      <c r="C224" s="145" t="s">
        <v>342</v>
      </c>
      <c r="D224" s="146" t="s">
        <v>701</v>
      </c>
      <c r="E224" s="145" t="s">
        <v>542</v>
      </c>
      <c r="F224" s="148" t="s">
        <v>1552</v>
      </c>
      <c r="G224" s="145" t="s">
        <v>814</v>
      </c>
    </row>
    <row r="225" spans="2:7" ht="39.6" x14ac:dyDescent="0.3">
      <c r="B225" s="145" t="s">
        <v>646</v>
      </c>
      <c r="C225" s="145" t="s">
        <v>342</v>
      </c>
      <c r="D225" s="146" t="s">
        <v>701</v>
      </c>
      <c r="E225" s="145" t="s">
        <v>542</v>
      </c>
      <c r="F225" s="148" t="s">
        <v>1560</v>
      </c>
      <c r="G225" s="145" t="s">
        <v>814</v>
      </c>
    </row>
    <row r="226" spans="2:7" ht="39.6" x14ac:dyDescent="0.3">
      <c r="B226" s="145" t="s">
        <v>646</v>
      </c>
      <c r="C226" s="145" t="s">
        <v>342</v>
      </c>
      <c r="D226" s="146" t="s">
        <v>701</v>
      </c>
      <c r="E226" s="145" t="s">
        <v>542</v>
      </c>
      <c r="F226" s="148" t="s">
        <v>1568</v>
      </c>
      <c r="G226" s="145" t="s">
        <v>814</v>
      </c>
    </row>
    <row r="227" spans="2:7" ht="39.6" x14ac:dyDescent="0.3">
      <c r="B227" s="145" t="s">
        <v>646</v>
      </c>
      <c r="C227" s="145" t="s">
        <v>342</v>
      </c>
      <c r="D227" s="146" t="s">
        <v>701</v>
      </c>
      <c r="E227" s="145" t="s">
        <v>542</v>
      </c>
      <c r="F227" s="148" t="s">
        <v>1575</v>
      </c>
      <c r="G227" s="145" t="s">
        <v>814</v>
      </c>
    </row>
    <row r="228" spans="2:7" ht="39.6" x14ac:dyDescent="0.3">
      <c r="B228" s="145" t="s">
        <v>646</v>
      </c>
      <c r="C228" s="145" t="s">
        <v>342</v>
      </c>
      <c r="D228" s="146" t="s">
        <v>701</v>
      </c>
      <c r="E228" s="145" t="s">
        <v>542</v>
      </c>
      <c r="F228" s="148" t="s">
        <v>1582</v>
      </c>
      <c r="G228" s="145" t="s">
        <v>814</v>
      </c>
    </row>
    <row r="229" spans="2:7" ht="39.6" x14ac:dyDescent="0.3">
      <c r="B229" s="145" t="s">
        <v>646</v>
      </c>
      <c r="C229" s="145" t="s">
        <v>342</v>
      </c>
      <c r="D229" s="146" t="s">
        <v>701</v>
      </c>
      <c r="E229" s="145" t="s">
        <v>542</v>
      </c>
      <c r="F229" s="148" t="s">
        <v>1588</v>
      </c>
      <c r="G229" s="145" t="s">
        <v>814</v>
      </c>
    </row>
    <row r="230" spans="2:7" ht="39.6" x14ac:dyDescent="0.3">
      <c r="B230" s="145" t="s">
        <v>646</v>
      </c>
      <c r="C230" s="145" t="s">
        <v>342</v>
      </c>
      <c r="D230" s="146" t="s">
        <v>701</v>
      </c>
      <c r="E230" s="145" t="s">
        <v>542</v>
      </c>
      <c r="F230" s="148" t="s">
        <v>1594</v>
      </c>
      <c r="G230" s="145" t="s">
        <v>814</v>
      </c>
    </row>
    <row r="231" spans="2:7" ht="39.6" x14ac:dyDescent="0.3">
      <c r="B231" s="145" t="s">
        <v>646</v>
      </c>
      <c r="C231" s="145" t="s">
        <v>342</v>
      </c>
      <c r="D231" s="146" t="s">
        <v>701</v>
      </c>
      <c r="E231" s="145" t="s">
        <v>542</v>
      </c>
      <c r="F231" s="148" t="s">
        <v>1600</v>
      </c>
      <c r="G231" s="145" t="s">
        <v>814</v>
      </c>
    </row>
    <row r="232" spans="2:7" ht="39.6" x14ac:dyDescent="0.3">
      <c r="B232" s="145" t="s">
        <v>646</v>
      </c>
      <c r="C232" s="145" t="s">
        <v>342</v>
      </c>
      <c r="D232" s="146" t="s">
        <v>701</v>
      </c>
      <c r="E232" s="145" t="s">
        <v>542</v>
      </c>
      <c r="F232" s="148" t="s">
        <v>1605</v>
      </c>
      <c r="G232" s="145" t="s">
        <v>814</v>
      </c>
    </row>
    <row r="233" spans="2:7" ht="39.6" x14ac:dyDescent="0.3">
      <c r="B233" s="145" t="s">
        <v>646</v>
      </c>
      <c r="C233" s="145" t="s">
        <v>342</v>
      </c>
      <c r="D233" s="146" t="s">
        <v>701</v>
      </c>
      <c r="E233" s="145" t="s">
        <v>542</v>
      </c>
      <c r="F233" s="148" t="s">
        <v>1610</v>
      </c>
      <c r="G233" s="145" t="s">
        <v>814</v>
      </c>
    </row>
    <row r="234" spans="2:7" ht="39.6" x14ac:dyDescent="0.3">
      <c r="B234" s="145" t="s">
        <v>646</v>
      </c>
      <c r="C234" s="145" t="s">
        <v>342</v>
      </c>
      <c r="D234" s="146" t="s">
        <v>701</v>
      </c>
      <c r="E234" s="145" t="s">
        <v>542</v>
      </c>
      <c r="F234" s="148" t="s">
        <v>1614</v>
      </c>
      <c r="G234" s="145" t="s">
        <v>814</v>
      </c>
    </row>
    <row r="235" spans="2:7" ht="39.6" x14ac:dyDescent="0.3">
      <c r="B235" s="145" t="s">
        <v>646</v>
      </c>
      <c r="C235" s="145" t="s">
        <v>342</v>
      </c>
      <c r="D235" s="146" t="s">
        <v>701</v>
      </c>
      <c r="E235" s="145" t="s">
        <v>542</v>
      </c>
      <c r="F235" s="148" t="s">
        <v>1618</v>
      </c>
      <c r="G235" s="145" t="s">
        <v>814</v>
      </c>
    </row>
    <row r="236" spans="2:7" ht="39.6" x14ac:dyDescent="0.3">
      <c r="B236" s="145" t="s">
        <v>646</v>
      </c>
      <c r="C236" s="145" t="s">
        <v>342</v>
      </c>
      <c r="D236" s="146" t="s">
        <v>701</v>
      </c>
      <c r="E236" s="145" t="s">
        <v>542</v>
      </c>
      <c r="F236" s="148" t="s">
        <v>1621</v>
      </c>
      <c r="G236" s="145" t="s">
        <v>814</v>
      </c>
    </row>
    <row r="237" spans="2:7" ht="39.6" x14ac:dyDescent="0.3">
      <c r="B237" s="145" t="s">
        <v>646</v>
      </c>
      <c r="C237" s="145" t="s">
        <v>342</v>
      </c>
      <c r="D237" s="146" t="s">
        <v>701</v>
      </c>
      <c r="E237" s="145" t="s">
        <v>542</v>
      </c>
      <c r="F237" s="148" t="s">
        <v>1624</v>
      </c>
      <c r="G237" s="145" t="s">
        <v>814</v>
      </c>
    </row>
    <row r="238" spans="2:7" ht="39.6" x14ac:dyDescent="0.3">
      <c r="B238" s="145" t="s">
        <v>646</v>
      </c>
      <c r="C238" s="145" t="s">
        <v>342</v>
      </c>
      <c r="D238" s="146" t="s">
        <v>701</v>
      </c>
      <c r="E238" s="145" t="s">
        <v>542</v>
      </c>
      <c r="F238" s="148" t="s">
        <v>1626</v>
      </c>
      <c r="G238" s="145" t="s">
        <v>814</v>
      </c>
    </row>
    <row r="239" spans="2:7" ht="39.6" x14ac:dyDescent="0.3">
      <c r="B239" s="145" t="s">
        <v>646</v>
      </c>
      <c r="C239" s="145" t="s">
        <v>342</v>
      </c>
      <c r="D239" s="146" t="s">
        <v>701</v>
      </c>
      <c r="E239" s="145" t="s">
        <v>542</v>
      </c>
      <c r="F239" s="148" t="s">
        <v>1628</v>
      </c>
      <c r="G239" s="145" t="s">
        <v>814</v>
      </c>
    </row>
    <row r="240" spans="2:7" ht="39.6" x14ac:dyDescent="0.3">
      <c r="B240" s="145" t="s">
        <v>646</v>
      </c>
      <c r="C240" s="145" t="s">
        <v>342</v>
      </c>
      <c r="D240" s="146" t="s">
        <v>701</v>
      </c>
      <c r="E240" s="145" t="s">
        <v>542</v>
      </c>
      <c r="F240" s="148" t="s">
        <v>1630</v>
      </c>
      <c r="G240" s="145" t="s">
        <v>814</v>
      </c>
    </row>
    <row r="241" spans="2:7" ht="39.6" x14ac:dyDescent="0.3">
      <c r="B241" s="145" t="s">
        <v>646</v>
      </c>
      <c r="C241" s="145" t="s">
        <v>342</v>
      </c>
      <c r="D241" s="146" t="s">
        <v>701</v>
      </c>
      <c r="E241" s="145" t="s">
        <v>542</v>
      </c>
      <c r="F241" s="148" t="s">
        <v>1632</v>
      </c>
      <c r="G241" s="145" t="s">
        <v>814</v>
      </c>
    </row>
    <row r="242" spans="2:7" x14ac:dyDescent="0.3">
      <c r="B242" s="145" t="s">
        <v>646</v>
      </c>
      <c r="C242" s="145" t="s">
        <v>342</v>
      </c>
      <c r="D242" s="146" t="s">
        <v>712</v>
      </c>
      <c r="E242" s="145" t="s">
        <v>567</v>
      </c>
      <c r="F242" s="148" t="s">
        <v>930</v>
      </c>
      <c r="G242" s="145" t="s">
        <v>815</v>
      </c>
    </row>
    <row r="243" spans="2:7" x14ac:dyDescent="0.3">
      <c r="B243" s="145" t="s">
        <v>646</v>
      </c>
      <c r="C243" s="145" t="s">
        <v>342</v>
      </c>
      <c r="D243" s="146" t="s">
        <v>712</v>
      </c>
      <c r="E243" s="145" t="s">
        <v>567</v>
      </c>
      <c r="F243" s="148" t="s">
        <v>1044</v>
      </c>
      <c r="G243" s="145" t="s">
        <v>815</v>
      </c>
    </row>
    <row r="244" spans="2:7" x14ac:dyDescent="0.3">
      <c r="B244" s="145" t="s">
        <v>646</v>
      </c>
      <c r="C244" s="145" t="s">
        <v>342</v>
      </c>
      <c r="D244" s="146" t="s">
        <v>712</v>
      </c>
      <c r="E244" s="145" t="s">
        <v>567</v>
      </c>
      <c r="F244" s="148" t="s">
        <v>1152</v>
      </c>
      <c r="G244" s="145" t="s">
        <v>815</v>
      </c>
    </row>
    <row r="245" spans="2:7" x14ac:dyDescent="0.3">
      <c r="B245" s="145" t="s">
        <v>646</v>
      </c>
      <c r="C245" s="145" t="s">
        <v>342</v>
      </c>
      <c r="D245" s="146" t="s">
        <v>712</v>
      </c>
      <c r="E245" s="145" t="s">
        <v>567</v>
      </c>
      <c r="F245" s="148" t="s">
        <v>1246</v>
      </c>
      <c r="G245" s="145" t="s">
        <v>815</v>
      </c>
    </row>
    <row r="246" spans="2:7" x14ac:dyDescent="0.3">
      <c r="B246" s="145" t="s">
        <v>646</v>
      </c>
      <c r="C246" s="145" t="s">
        <v>342</v>
      </c>
      <c r="D246" s="146" t="s">
        <v>712</v>
      </c>
      <c r="E246" s="145" t="s">
        <v>567</v>
      </c>
      <c r="F246" s="148" t="s">
        <v>1320</v>
      </c>
      <c r="G246" s="145" t="s">
        <v>815</v>
      </c>
    </row>
    <row r="247" spans="2:7" x14ac:dyDescent="0.3">
      <c r="B247" s="145" t="s">
        <v>646</v>
      </c>
      <c r="C247" s="145" t="s">
        <v>654</v>
      </c>
      <c r="D247" s="146" t="s">
        <v>658</v>
      </c>
      <c r="E247" s="145" t="s">
        <v>427</v>
      </c>
      <c r="F247" s="148" t="s">
        <v>931</v>
      </c>
      <c r="G247" s="145" t="s">
        <v>816</v>
      </c>
    </row>
    <row r="248" spans="2:7" x14ac:dyDescent="0.3">
      <c r="B248" s="145" t="s">
        <v>646</v>
      </c>
      <c r="C248" s="145" t="s">
        <v>654</v>
      </c>
      <c r="D248" s="146" t="s">
        <v>658</v>
      </c>
      <c r="E248" s="145" t="s">
        <v>427</v>
      </c>
      <c r="F248" s="148" t="s">
        <v>1045</v>
      </c>
      <c r="G248" s="145" t="s">
        <v>816</v>
      </c>
    </row>
    <row r="249" spans="2:7" x14ac:dyDescent="0.3">
      <c r="B249" s="145" t="s">
        <v>646</v>
      </c>
      <c r="C249" s="145" t="s">
        <v>654</v>
      </c>
      <c r="D249" s="146" t="s">
        <v>658</v>
      </c>
      <c r="E249" s="145" t="s">
        <v>427</v>
      </c>
      <c r="F249" s="148" t="s">
        <v>1153</v>
      </c>
      <c r="G249" s="145" t="s">
        <v>816</v>
      </c>
    </row>
    <row r="250" spans="2:7" x14ac:dyDescent="0.3">
      <c r="B250" s="145" t="s">
        <v>646</v>
      </c>
      <c r="C250" s="145" t="s">
        <v>654</v>
      </c>
      <c r="D250" s="146" t="s">
        <v>658</v>
      </c>
      <c r="E250" s="145" t="s">
        <v>427</v>
      </c>
      <c r="F250" s="148" t="s">
        <v>1247</v>
      </c>
      <c r="G250" s="145" t="s">
        <v>816</v>
      </c>
    </row>
    <row r="251" spans="2:7" x14ac:dyDescent="0.3">
      <c r="B251" s="145" t="s">
        <v>646</v>
      </c>
      <c r="C251" s="145" t="s">
        <v>654</v>
      </c>
      <c r="D251" s="146" t="s">
        <v>658</v>
      </c>
      <c r="E251" s="145" t="s">
        <v>427</v>
      </c>
      <c r="F251" s="148" t="s">
        <v>1321</v>
      </c>
      <c r="G251" s="145" t="s">
        <v>816</v>
      </c>
    </row>
    <row r="252" spans="2:7" ht="26.4" x14ac:dyDescent="0.3">
      <c r="B252" s="145" t="s">
        <v>646</v>
      </c>
      <c r="C252" s="145" t="s">
        <v>654</v>
      </c>
      <c r="D252" s="146" t="s">
        <v>666</v>
      </c>
      <c r="E252" s="145" t="s">
        <v>458</v>
      </c>
      <c r="F252" s="148" t="s">
        <v>932</v>
      </c>
      <c r="G252" s="145" t="s">
        <v>817</v>
      </c>
    </row>
    <row r="253" spans="2:7" ht="26.4" x14ac:dyDescent="0.3">
      <c r="B253" s="145" t="s">
        <v>646</v>
      </c>
      <c r="C253" s="145" t="s">
        <v>654</v>
      </c>
      <c r="D253" s="146" t="s">
        <v>666</v>
      </c>
      <c r="E253" s="145" t="s">
        <v>458</v>
      </c>
      <c r="F253" s="148" t="s">
        <v>1046</v>
      </c>
      <c r="G253" s="145" t="s">
        <v>817</v>
      </c>
    </row>
    <row r="254" spans="2:7" ht="26.4" x14ac:dyDescent="0.3">
      <c r="B254" s="145" t="s">
        <v>646</v>
      </c>
      <c r="C254" s="145" t="s">
        <v>654</v>
      </c>
      <c r="D254" s="146" t="s">
        <v>666</v>
      </c>
      <c r="E254" s="145" t="s">
        <v>458</v>
      </c>
      <c r="F254" s="148" t="s">
        <v>1154</v>
      </c>
      <c r="G254" s="145" t="s">
        <v>817</v>
      </c>
    </row>
    <row r="255" spans="2:7" ht="26.4" x14ac:dyDescent="0.3">
      <c r="B255" s="145" t="s">
        <v>646</v>
      </c>
      <c r="C255" s="145" t="s">
        <v>654</v>
      </c>
      <c r="D255" s="146" t="s">
        <v>666</v>
      </c>
      <c r="E255" s="145" t="s">
        <v>458</v>
      </c>
      <c r="F255" s="148" t="s">
        <v>1248</v>
      </c>
      <c r="G255" s="145" t="s">
        <v>817</v>
      </c>
    </row>
    <row r="256" spans="2:7" ht="26.4" x14ac:dyDescent="0.3">
      <c r="B256" s="145" t="s">
        <v>646</v>
      </c>
      <c r="C256" s="145" t="s">
        <v>654</v>
      </c>
      <c r="D256" s="146" t="s">
        <v>666</v>
      </c>
      <c r="E256" s="145" t="s">
        <v>458</v>
      </c>
      <c r="F256" s="148" t="s">
        <v>1322</v>
      </c>
      <c r="G256" s="145" t="s">
        <v>817</v>
      </c>
    </row>
    <row r="257" spans="2:7" ht="26.4" x14ac:dyDescent="0.3">
      <c r="B257" s="145" t="s">
        <v>646</v>
      </c>
      <c r="C257" s="145" t="s">
        <v>654</v>
      </c>
      <c r="D257" s="146" t="s">
        <v>666</v>
      </c>
      <c r="E257" s="145" t="s">
        <v>458</v>
      </c>
      <c r="F257" s="148" t="s">
        <v>1375</v>
      </c>
      <c r="G257" s="145" t="s">
        <v>817</v>
      </c>
    </row>
    <row r="258" spans="2:7" ht="26.4" x14ac:dyDescent="0.3">
      <c r="B258" s="145" t="s">
        <v>646</v>
      </c>
      <c r="C258" s="145" t="s">
        <v>654</v>
      </c>
      <c r="D258" s="146" t="s">
        <v>666</v>
      </c>
      <c r="E258" s="145" t="s">
        <v>458</v>
      </c>
      <c r="F258" s="148" t="s">
        <v>1415</v>
      </c>
      <c r="G258" s="145" t="s">
        <v>817</v>
      </c>
    </row>
    <row r="259" spans="2:7" ht="26.4" x14ac:dyDescent="0.3">
      <c r="B259" s="145" t="s">
        <v>646</v>
      </c>
      <c r="C259" s="145" t="s">
        <v>654</v>
      </c>
      <c r="D259" s="146" t="s">
        <v>666</v>
      </c>
      <c r="E259" s="145" t="s">
        <v>458</v>
      </c>
      <c r="F259" s="148" t="s">
        <v>1450</v>
      </c>
      <c r="G259" s="145" t="s">
        <v>817</v>
      </c>
    </row>
    <row r="260" spans="2:7" ht="26.4" x14ac:dyDescent="0.3">
      <c r="B260" s="145" t="s">
        <v>646</v>
      </c>
      <c r="C260" s="145" t="s">
        <v>654</v>
      </c>
      <c r="D260" s="146" t="s">
        <v>666</v>
      </c>
      <c r="E260" s="145" t="s">
        <v>458</v>
      </c>
      <c r="F260" s="148" t="s">
        <v>1473</v>
      </c>
      <c r="G260" s="145" t="s">
        <v>817</v>
      </c>
    </row>
    <row r="261" spans="2:7" ht="26.4" x14ac:dyDescent="0.3">
      <c r="B261" s="145" t="s">
        <v>646</v>
      </c>
      <c r="C261" s="145" t="s">
        <v>654</v>
      </c>
      <c r="D261" s="146" t="s">
        <v>666</v>
      </c>
      <c r="E261" s="145" t="s">
        <v>458</v>
      </c>
      <c r="F261" s="148" t="s">
        <v>1491</v>
      </c>
      <c r="G261" s="145" t="s">
        <v>817</v>
      </c>
    </row>
    <row r="262" spans="2:7" ht="26.4" x14ac:dyDescent="0.3">
      <c r="B262" s="145" t="s">
        <v>646</v>
      </c>
      <c r="C262" s="145" t="s">
        <v>654</v>
      </c>
      <c r="D262" s="146" t="s">
        <v>666</v>
      </c>
      <c r="E262" s="145" t="s">
        <v>458</v>
      </c>
      <c r="F262" s="148" t="s">
        <v>1508</v>
      </c>
      <c r="G262" s="145" t="s">
        <v>817</v>
      </c>
    </row>
    <row r="263" spans="2:7" ht="26.4" x14ac:dyDescent="0.3">
      <c r="B263" s="145" t="s">
        <v>646</v>
      </c>
      <c r="C263" s="145" t="s">
        <v>654</v>
      </c>
      <c r="D263" s="146" t="s">
        <v>679</v>
      </c>
      <c r="E263" s="145" t="s">
        <v>488</v>
      </c>
      <c r="F263" s="148" t="s">
        <v>933</v>
      </c>
      <c r="G263" s="145" t="s">
        <v>818</v>
      </c>
    </row>
    <row r="264" spans="2:7" ht="26.4" x14ac:dyDescent="0.3">
      <c r="B264" s="145" t="s">
        <v>646</v>
      </c>
      <c r="C264" s="145" t="s">
        <v>654</v>
      </c>
      <c r="D264" s="146" t="s">
        <v>679</v>
      </c>
      <c r="E264" s="145" t="s">
        <v>488</v>
      </c>
      <c r="F264" s="148" t="s">
        <v>1047</v>
      </c>
      <c r="G264" s="145" t="s">
        <v>818</v>
      </c>
    </row>
    <row r="265" spans="2:7" ht="26.4" x14ac:dyDescent="0.3">
      <c r="B265" s="145" t="s">
        <v>646</v>
      </c>
      <c r="C265" s="145" t="s">
        <v>654</v>
      </c>
      <c r="D265" s="146" t="s">
        <v>679</v>
      </c>
      <c r="E265" s="145" t="s">
        <v>488</v>
      </c>
      <c r="F265" s="148" t="s">
        <v>1155</v>
      </c>
      <c r="G265" s="145" t="s">
        <v>818</v>
      </c>
    </row>
    <row r="266" spans="2:7" ht="26.4" x14ac:dyDescent="0.3">
      <c r="B266" s="145" t="s">
        <v>646</v>
      </c>
      <c r="C266" s="145" t="s">
        <v>654</v>
      </c>
      <c r="D266" s="146" t="s">
        <v>679</v>
      </c>
      <c r="E266" s="145" t="s">
        <v>488</v>
      </c>
      <c r="F266" s="148" t="s">
        <v>1249</v>
      </c>
      <c r="G266" s="145" t="s">
        <v>818</v>
      </c>
    </row>
    <row r="267" spans="2:7" ht="26.4" x14ac:dyDescent="0.3">
      <c r="B267" s="145" t="s">
        <v>646</v>
      </c>
      <c r="C267" s="145" t="s">
        <v>654</v>
      </c>
      <c r="D267" s="146" t="s">
        <v>691</v>
      </c>
      <c r="E267" s="145" t="s">
        <v>517</v>
      </c>
      <c r="F267" s="148" t="s">
        <v>934</v>
      </c>
      <c r="G267" s="145" t="s">
        <v>819</v>
      </c>
    </row>
    <row r="268" spans="2:7" ht="26.4" x14ac:dyDescent="0.3">
      <c r="B268" s="145" t="s">
        <v>646</v>
      </c>
      <c r="C268" s="145" t="s">
        <v>654</v>
      </c>
      <c r="D268" s="146" t="s">
        <v>691</v>
      </c>
      <c r="E268" s="145" t="s">
        <v>517</v>
      </c>
      <c r="F268" s="148" t="s">
        <v>1048</v>
      </c>
      <c r="G268" s="145" t="s">
        <v>819</v>
      </c>
    </row>
    <row r="269" spans="2:7" ht="26.4" x14ac:dyDescent="0.3">
      <c r="B269" s="145" t="s">
        <v>646</v>
      </c>
      <c r="C269" s="145" t="s">
        <v>654</v>
      </c>
      <c r="D269" s="146" t="s">
        <v>691</v>
      </c>
      <c r="E269" s="145" t="s">
        <v>517</v>
      </c>
      <c r="F269" s="148" t="s">
        <v>1156</v>
      </c>
      <c r="G269" s="145" t="s">
        <v>819</v>
      </c>
    </row>
    <row r="270" spans="2:7" ht="26.4" x14ac:dyDescent="0.3">
      <c r="B270" s="145" t="s">
        <v>646</v>
      </c>
      <c r="C270" s="145" t="s">
        <v>654</v>
      </c>
      <c r="D270" s="146" t="s">
        <v>691</v>
      </c>
      <c r="E270" s="145" t="s">
        <v>517</v>
      </c>
      <c r="F270" s="148" t="s">
        <v>1250</v>
      </c>
      <c r="G270" s="145" t="s">
        <v>819</v>
      </c>
    </row>
    <row r="271" spans="2:7" ht="26.4" x14ac:dyDescent="0.3">
      <c r="B271" s="145" t="s">
        <v>646</v>
      </c>
      <c r="C271" s="145" t="s">
        <v>654</v>
      </c>
      <c r="D271" s="146" t="s">
        <v>691</v>
      </c>
      <c r="E271" s="145" t="s">
        <v>517</v>
      </c>
      <c r="F271" s="148" t="s">
        <v>1323</v>
      </c>
      <c r="G271" s="145" t="s">
        <v>819</v>
      </c>
    </row>
    <row r="272" spans="2:7" ht="26.4" x14ac:dyDescent="0.3">
      <c r="B272" s="145" t="s">
        <v>646</v>
      </c>
      <c r="C272" s="145" t="s">
        <v>654</v>
      </c>
      <c r="D272" s="146" t="s">
        <v>691</v>
      </c>
      <c r="E272" s="145" t="s">
        <v>517</v>
      </c>
      <c r="F272" s="148" t="s">
        <v>1376</v>
      </c>
      <c r="G272" s="145" t="s">
        <v>819</v>
      </c>
    </row>
    <row r="273" spans="2:7" ht="26.4" x14ac:dyDescent="0.3">
      <c r="B273" s="145" t="s">
        <v>646</v>
      </c>
      <c r="C273" s="145" t="s">
        <v>654</v>
      </c>
      <c r="D273" s="146" t="s">
        <v>691</v>
      </c>
      <c r="E273" s="145" t="s">
        <v>517</v>
      </c>
      <c r="F273" s="148" t="s">
        <v>1416</v>
      </c>
      <c r="G273" s="145" t="s">
        <v>819</v>
      </c>
    </row>
    <row r="274" spans="2:7" ht="26.4" x14ac:dyDescent="0.3">
      <c r="B274" s="145" t="s">
        <v>646</v>
      </c>
      <c r="C274" s="145" t="s">
        <v>654</v>
      </c>
      <c r="D274" s="146" t="s">
        <v>691</v>
      </c>
      <c r="E274" s="145" t="s">
        <v>517</v>
      </c>
      <c r="F274" s="148" t="s">
        <v>1451</v>
      </c>
      <c r="G274" s="145" t="s">
        <v>819</v>
      </c>
    </row>
    <row r="275" spans="2:7" ht="26.4" x14ac:dyDescent="0.3">
      <c r="B275" s="145" t="s">
        <v>646</v>
      </c>
      <c r="C275" s="145" t="s">
        <v>654</v>
      </c>
      <c r="D275" s="146" t="s">
        <v>691</v>
      </c>
      <c r="E275" s="145" t="s">
        <v>517</v>
      </c>
      <c r="F275" s="148" t="s">
        <v>1474</v>
      </c>
      <c r="G275" s="145" t="s">
        <v>819</v>
      </c>
    </row>
    <row r="276" spans="2:7" ht="26.4" x14ac:dyDescent="0.3">
      <c r="B276" s="145" t="s">
        <v>646</v>
      </c>
      <c r="C276" s="145" t="s">
        <v>654</v>
      </c>
      <c r="D276" s="146" t="s">
        <v>691</v>
      </c>
      <c r="E276" s="145" t="s">
        <v>517</v>
      </c>
      <c r="F276" s="148" t="s">
        <v>1492</v>
      </c>
      <c r="G276" s="145" t="s">
        <v>819</v>
      </c>
    </row>
    <row r="277" spans="2:7" ht="26.4" x14ac:dyDescent="0.3">
      <c r="B277" s="145" t="s">
        <v>646</v>
      </c>
      <c r="C277" s="145" t="s">
        <v>654</v>
      </c>
      <c r="D277" s="146" t="s">
        <v>691</v>
      </c>
      <c r="E277" s="145" t="s">
        <v>517</v>
      </c>
      <c r="F277" s="148" t="s">
        <v>1509</v>
      </c>
      <c r="G277" s="145" t="s">
        <v>819</v>
      </c>
    </row>
    <row r="278" spans="2:7" ht="26.4" x14ac:dyDescent="0.3">
      <c r="B278" s="145" t="s">
        <v>646</v>
      </c>
      <c r="C278" s="145" t="s">
        <v>654</v>
      </c>
      <c r="D278" s="146" t="s">
        <v>691</v>
      </c>
      <c r="E278" s="145" t="s">
        <v>517</v>
      </c>
      <c r="F278" s="148" t="s">
        <v>1522</v>
      </c>
      <c r="G278" s="145" t="s">
        <v>819</v>
      </c>
    </row>
    <row r="279" spans="2:7" ht="26.4" x14ac:dyDescent="0.3">
      <c r="B279" s="145" t="s">
        <v>646</v>
      </c>
      <c r="C279" s="145" t="s">
        <v>654</v>
      </c>
      <c r="D279" s="146" t="s">
        <v>691</v>
      </c>
      <c r="E279" s="145" t="s">
        <v>517</v>
      </c>
      <c r="F279" s="148" t="s">
        <v>1534</v>
      </c>
      <c r="G279" s="145" t="s">
        <v>819</v>
      </c>
    </row>
    <row r="280" spans="2:7" ht="26.4" x14ac:dyDescent="0.3">
      <c r="B280" s="145" t="s">
        <v>646</v>
      </c>
      <c r="C280" s="145" t="s">
        <v>654</v>
      </c>
      <c r="D280" s="146" t="s">
        <v>691</v>
      </c>
      <c r="E280" s="145" t="s">
        <v>517</v>
      </c>
      <c r="F280" s="148" t="s">
        <v>1544</v>
      </c>
      <c r="G280" s="145" t="s">
        <v>819</v>
      </c>
    </row>
    <row r="281" spans="2:7" ht="26.4" x14ac:dyDescent="0.3">
      <c r="B281" s="145" t="s">
        <v>646</v>
      </c>
      <c r="C281" s="145" t="s">
        <v>654</v>
      </c>
      <c r="D281" s="146" t="s">
        <v>691</v>
      </c>
      <c r="E281" s="145" t="s">
        <v>517</v>
      </c>
      <c r="F281" s="148" t="s">
        <v>1324</v>
      </c>
      <c r="G281" s="145" t="s">
        <v>819</v>
      </c>
    </row>
    <row r="282" spans="2:7" ht="26.4" x14ac:dyDescent="0.3">
      <c r="B282" s="145" t="s">
        <v>646</v>
      </c>
      <c r="C282" s="145" t="s">
        <v>654</v>
      </c>
      <c r="D282" s="146" t="s">
        <v>691</v>
      </c>
      <c r="E282" s="145" t="s">
        <v>517</v>
      </c>
      <c r="F282" s="148" t="s">
        <v>1561</v>
      </c>
      <c r="G282" s="145" t="s">
        <v>819</v>
      </c>
    </row>
    <row r="283" spans="2:7" ht="26.4" x14ac:dyDescent="0.3">
      <c r="B283" s="145" t="s">
        <v>646</v>
      </c>
      <c r="C283" s="145" t="s">
        <v>654</v>
      </c>
      <c r="D283" s="146" t="s">
        <v>691</v>
      </c>
      <c r="E283" s="145" t="s">
        <v>517</v>
      </c>
      <c r="F283" s="148" t="s">
        <v>1569</v>
      </c>
      <c r="G283" s="145" t="s">
        <v>819</v>
      </c>
    </row>
    <row r="284" spans="2:7" ht="26.4" x14ac:dyDescent="0.3">
      <c r="B284" s="145" t="s">
        <v>646</v>
      </c>
      <c r="C284" s="145" t="s">
        <v>654</v>
      </c>
      <c r="D284" s="146" t="s">
        <v>691</v>
      </c>
      <c r="E284" s="145" t="s">
        <v>517</v>
      </c>
      <c r="F284" s="148" t="s">
        <v>1576</v>
      </c>
      <c r="G284" s="145" t="s">
        <v>819</v>
      </c>
    </row>
    <row r="285" spans="2:7" ht="26.4" x14ac:dyDescent="0.3">
      <c r="B285" s="145" t="s">
        <v>646</v>
      </c>
      <c r="C285" s="145" t="s">
        <v>654</v>
      </c>
      <c r="D285" s="146" t="s">
        <v>691</v>
      </c>
      <c r="E285" s="145" t="s">
        <v>517</v>
      </c>
      <c r="F285" s="148" t="s">
        <v>1583</v>
      </c>
      <c r="G285" s="145" t="s">
        <v>819</v>
      </c>
    </row>
    <row r="286" spans="2:7" ht="26.4" x14ac:dyDescent="0.3">
      <c r="B286" s="145" t="s">
        <v>646</v>
      </c>
      <c r="C286" s="145" t="s">
        <v>654</v>
      </c>
      <c r="D286" s="146" t="s">
        <v>691</v>
      </c>
      <c r="E286" s="145" t="s">
        <v>517</v>
      </c>
      <c r="F286" s="148" t="s">
        <v>1589</v>
      </c>
      <c r="G286" s="145" t="s">
        <v>819</v>
      </c>
    </row>
    <row r="287" spans="2:7" ht="26.4" x14ac:dyDescent="0.3">
      <c r="B287" s="145" t="s">
        <v>646</v>
      </c>
      <c r="C287" s="145" t="s">
        <v>654</v>
      </c>
      <c r="D287" s="146" t="s">
        <v>691</v>
      </c>
      <c r="E287" s="145" t="s">
        <v>517</v>
      </c>
      <c r="F287" s="148" t="s">
        <v>1595</v>
      </c>
      <c r="G287" s="145" t="s">
        <v>819</v>
      </c>
    </row>
    <row r="288" spans="2:7" ht="26.4" x14ac:dyDescent="0.3">
      <c r="B288" s="145" t="s">
        <v>646</v>
      </c>
      <c r="C288" s="145" t="s">
        <v>654</v>
      </c>
      <c r="D288" s="146" t="s">
        <v>691</v>
      </c>
      <c r="E288" s="145" t="s">
        <v>517</v>
      </c>
      <c r="F288" s="148" t="s">
        <v>1601</v>
      </c>
      <c r="G288" s="145" t="s">
        <v>819</v>
      </c>
    </row>
    <row r="289" spans="2:7" ht="26.4" x14ac:dyDescent="0.3">
      <c r="B289" s="145" t="s">
        <v>646</v>
      </c>
      <c r="C289" s="145" t="s">
        <v>654</v>
      </c>
      <c r="D289" s="146" t="s">
        <v>691</v>
      </c>
      <c r="E289" s="145" t="s">
        <v>517</v>
      </c>
      <c r="F289" s="148" t="s">
        <v>1606</v>
      </c>
      <c r="G289" s="145" t="s">
        <v>819</v>
      </c>
    </row>
    <row r="290" spans="2:7" ht="26.4" x14ac:dyDescent="0.3">
      <c r="B290" s="145" t="s">
        <v>646</v>
      </c>
      <c r="C290" s="145" t="s">
        <v>654</v>
      </c>
      <c r="D290" s="146" t="s">
        <v>691</v>
      </c>
      <c r="E290" s="145" t="s">
        <v>517</v>
      </c>
      <c r="F290" s="148" t="s">
        <v>1611</v>
      </c>
      <c r="G290" s="145" t="s">
        <v>819</v>
      </c>
    </row>
    <row r="291" spans="2:7" ht="26.4" x14ac:dyDescent="0.3">
      <c r="B291" s="145" t="s">
        <v>646</v>
      </c>
      <c r="C291" s="145" t="s">
        <v>654</v>
      </c>
      <c r="D291" s="146" t="s">
        <v>691</v>
      </c>
      <c r="E291" s="145" t="s">
        <v>517</v>
      </c>
      <c r="F291" s="148" t="s">
        <v>1615</v>
      </c>
      <c r="G291" s="145" t="s">
        <v>819</v>
      </c>
    </row>
    <row r="292" spans="2:7" ht="26.4" x14ac:dyDescent="0.3">
      <c r="B292" s="145" t="s">
        <v>646</v>
      </c>
      <c r="C292" s="145" t="s">
        <v>654</v>
      </c>
      <c r="D292" s="146" t="s">
        <v>691</v>
      </c>
      <c r="E292" s="145" t="s">
        <v>517</v>
      </c>
      <c r="F292" s="148" t="s">
        <v>1619</v>
      </c>
      <c r="G292" s="145" t="s">
        <v>819</v>
      </c>
    </row>
    <row r="293" spans="2:7" ht="26.4" x14ac:dyDescent="0.3">
      <c r="B293" s="145" t="s">
        <v>646</v>
      </c>
      <c r="C293" s="145" t="s">
        <v>654</v>
      </c>
      <c r="D293" s="146" t="s">
        <v>691</v>
      </c>
      <c r="E293" s="145" t="s">
        <v>517</v>
      </c>
      <c r="F293" s="148" t="s">
        <v>1622</v>
      </c>
      <c r="G293" s="145" t="s">
        <v>819</v>
      </c>
    </row>
    <row r="294" spans="2:7" x14ac:dyDescent="0.3">
      <c r="B294" s="145" t="s">
        <v>646</v>
      </c>
      <c r="C294" s="145" t="s">
        <v>654</v>
      </c>
      <c r="D294" s="146" t="s">
        <v>702</v>
      </c>
      <c r="E294" s="145" t="s">
        <v>543</v>
      </c>
      <c r="F294" s="148" t="s">
        <v>935</v>
      </c>
      <c r="G294" s="145" t="s">
        <v>820</v>
      </c>
    </row>
    <row r="295" spans="2:7" x14ac:dyDescent="0.3">
      <c r="B295" s="145" t="s">
        <v>646</v>
      </c>
      <c r="C295" s="145" t="s">
        <v>654</v>
      </c>
      <c r="D295" s="146" t="s">
        <v>702</v>
      </c>
      <c r="E295" s="145" t="s">
        <v>543</v>
      </c>
      <c r="F295" s="148" t="s">
        <v>1049</v>
      </c>
      <c r="G295" s="145" t="s">
        <v>820</v>
      </c>
    </row>
    <row r="296" spans="2:7" ht="26.4" x14ac:dyDescent="0.3">
      <c r="B296" s="145" t="s">
        <v>646</v>
      </c>
      <c r="C296" s="145" t="s">
        <v>654</v>
      </c>
      <c r="D296" s="146" t="s">
        <v>713</v>
      </c>
      <c r="E296" s="145" t="s">
        <v>568</v>
      </c>
      <c r="F296" s="148" t="s">
        <v>936</v>
      </c>
      <c r="G296" s="145" t="s">
        <v>821</v>
      </c>
    </row>
    <row r="297" spans="2:7" ht="26.4" x14ac:dyDescent="0.3">
      <c r="B297" s="145" t="s">
        <v>646</v>
      </c>
      <c r="C297" s="145" t="s">
        <v>654</v>
      </c>
      <c r="D297" s="146" t="s">
        <v>713</v>
      </c>
      <c r="E297" s="145" t="s">
        <v>568</v>
      </c>
      <c r="F297" s="148" t="s">
        <v>1050</v>
      </c>
      <c r="G297" s="145" t="s">
        <v>821</v>
      </c>
    </row>
    <row r="298" spans="2:7" ht="26.4" x14ac:dyDescent="0.3">
      <c r="B298" s="145" t="s">
        <v>646</v>
      </c>
      <c r="C298" s="145" t="s">
        <v>654</v>
      </c>
      <c r="D298" s="146" t="s">
        <v>713</v>
      </c>
      <c r="E298" s="145" t="s">
        <v>568</v>
      </c>
      <c r="F298" s="148" t="s">
        <v>1157</v>
      </c>
      <c r="G298" s="145" t="s">
        <v>821</v>
      </c>
    </row>
    <row r="299" spans="2:7" ht="26.4" x14ac:dyDescent="0.3">
      <c r="B299" s="145" t="s">
        <v>646</v>
      </c>
      <c r="C299" s="145" t="s">
        <v>654</v>
      </c>
      <c r="D299" s="146" t="s">
        <v>713</v>
      </c>
      <c r="E299" s="145" t="s">
        <v>568</v>
      </c>
      <c r="F299" s="148" t="s">
        <v>1251</v>
      </c>
      <c r="G299" s="145" t="s">
        <v>821</v>
      </c>
    </row>
    <row r="300" spans="2:7" ht="26.4" x14ac:dyDescent="0.3">
      <c r="B300" s="145" t="s">
        <v>646</v>
      </c>
      <c r="C300" s="145" t="s">
        <v>654</v>
      </c>
      <c r="D300" s="146" t="s">
        <v>713</v>
      </c>
      <c r="E300" s="145" t="s">
        <v>568</v>
      </c>
      <c r="F300" s="148" t="s">
        <v>1324</v>
      </c>
      <c r="G300" s="145" t="s">
        <v>821</v>
      </c>
    </row>
    <row r="301" spans="2:7" ht="26.4" x14ac:dyDescent="0.3">
      <c r="B301" s="145" t="s">
        <v>646</v>
      </c>
      <c r="C301" s="145" t="s">
        <v>654</v>
      </c>
      <c r="D301" s="146" t="s">
        <v>713</v>
      </c>
      <c r="E301" s="145" t="s">
        <v>568</v>
      </c>
      <c r="F301" s="148" t="s">
        <v>1377</v>
      </c>
      <c r="G301" s="145" t="s">
        <v>821</v>
      </c>
    </row>
    <row r="302" spans="2:7" ht="26.4" x14ac:dyDescent="0.3">
      <c r="B302" s="145" t="s">
        <v>646</v>
      </c>
      <c r="C302" s="145" t="s">
        <v>654</v>
      </c>
      <c r="D302" s="146" t="s">
        <v>713</v>
      </c>
      <c r="E302" s="145" t="s">
        <v>568</v>
      </c>
      <c r="F302" s="148" t="s">
        <v>1417</v>
      </c>
      <c r="G302" s="145" t="s">
        <v>821</v>
      </c>
    </row>
    <row r="303" spans="2:7" ht="26.4" x14ac:dyDescent="0.3">
      <c r="B303" s="145" t="s">
        <v>646</v>
      </c>
      <c r="C303" s="145" t="s">
        <v>654</v>
      </c>
      <c r="D303" s="146" t="s">
        <v>713</v>
      </c>
      <c r="E303" s="145" t="s">
        <v>568</v>
      </c>
      <c r="F303" s="148" t="s">
        <v>1452</v>
      </c>
      <c r="G303" s="145" t="s">
        <v>821</v>
      </c>
    </row>
    <row r="304" spans="2:7" x14ac:dyDescent="0.3">
      <c r="B304" s="145" t="s">
        <v>646</v>
      </c>
      <c r="C304" s="145" t="s">
        <v>654</v>
      </c>
      <c r="D304" s="146" t="s">
        <v>724</v>
      </c>
      <c r="E304" s="145" t="s">
        <v>592</v>
      </c>
      <c r="F304" s="148" t="s">
        <v>937</v>
      </c>
      <c r="G304" s="145" t="s">
        <v>822</v>
      </c>
    </row>
    <row r="305" spans="2:7" x14ac:dyDescent="0.3">
      <c r="B305" s="145" t="s">
        <v>646</v>
      </c>
      <c r="C305" s="145" t="s">
        <v>654</v>
      </c>
      <c r="D305" s="146" t="s">
        <v>724</v>
      </c>
      <c r="E305" s="145" t="s">
        <v>592</v>
      </c>
      <c r="F305" s="148" t="s">
        <v>1051</v>
      </c>
      <c r="G305" s="145" t="s">
        <v>822</v>
      </c>
    </row>
    <row r="306" spans="2:7" x14ac:dyDescent="0.3">
      <c r="B306" s="145" t="s">
        <v>646</v>
      </c>
      <c r="C306" s="145" t="s">
        <v>654</v>
      </c>
      <c r="D306" s="146" t="s">
        <v>724</v>
      </c>
      <c r="E306" s="145" t="s">
        <v>592</v>
      </c>
      <c r="F306" s="148" t="s">
        <v>1158</v>
      </c>
      <c r="G306" s="145" t="s">
        <v>822</v>
      </c>
    </row>
    <row r="307" spans="2:7" x14ac:dyDescent="0.3">
      <c r="B307" s="145" t="s">
        <v>646</v>
      </c>
      <c r="C307" s="145" t="s">
        <v>654</v>
      </c>
      <c r="D307" s="146" t="s">
        <v>724</v>
      </c>
      <c r="E307" s="145" t="s">
        <v>592</v>
      </c>
      <c r="F307" s="148" t="s">
        <v>1252</v>
      </c>
      <c r="G307" s="145" t="s">
        <v>822</v>
      </c>
    </row>
    <row r="308" spans="2:7" ht="26.4" x14ac:dyDescent="0.3">
      <c r="B308" s="145" t="s">
        <v>646</v>
      </c>
      <c r="C308" s="145" t="s">
        <v>415</v>
      </c>
      <c r="D308" s="146" t="s">
        <v>659</v>
      </c>
      <c r="E308" s="145" t="s">
        <v>428</v>
      </c>
      <c r="F308" s="148" t="s">
        <v>938</v>
      </c>
      <c r="G308" s="145" t="s">
        <v>823</v>
      </c>
    </row>
    <row r="309" spans="2:7" ht="26.4" x14ac:dyDescent="0.3">
      <c r="B309" s="145" t="s">
        <v>646</v>
      </c>
      <c r="C309" s="145" t="s">
        <v>415</v>
      </c>
      <c r="D309" s="146" t="s">
        <v>659</v>
      </c>
      <c r="E309" s="145" t="s">
        <v>428</v>
      </c>
      <c r="F309" s="148" t="s">
        <v>1052</v>
      </c>
      <c r="G309" s="145" t="s">
        <v>823</v>
      </c>
    </row>
    <row r="310" spans="2:7" ht="26.4" x14ac:dyDescent="0.3">
      <c r="B310" s="145" t="s">
        <v>646</v>
      </c>
      <c r="C310" s="145" t="s">
        <v>415</v>
      </c>
      <c r="D310" s="146" t="s">
        <v>659</v>
      </c>
      <c r="E310" s="145" t="s">
        <v>428</v>
      </c>
      <c r="F310" s="148" t="s">
        <v>1159</v>
      </c>
      <c r="G310" s="145" t="s">
        <v>823</v>
      </c>
    </row>
    <row r="311" spans="2:7" ht="26.4" x14ac:dyDescent="0.3">
      <c r="B311" s="145" t="s">
        <v>646</v>
      </c>
      <c r="C311" s="145" t="s">
        <v>415</v>
      </c>
      <c r="D311" s="146" t="s">
        <v>667</v>
      </c>
      <c r="E311" s="145" t="s">
        <v>459</v>
      </c>
      <c r="F311" s="148" t="s">
        <v>939</v>
      </c>
      <c r="G311" s="145" t="s">
        <v>824</v>
      </c>
    </row>
    <row r="312" spans="2:7" ht="26.4" x14ac:dyDescent="0.3">
      <c r="B312" s="145" t="s">
        <v>646</v>
      </c>
      <c r="C312" s="145" t="s">
        <v>415</v>
      </c>
      <c r="D312" s="146" t="s">
        <v>667</v>
      </c>
      <c r="E312" s="145" t="s">
        <v>459</v>
      </c>
      <c r="F312" s="148" t="s">
        <v>1053</v>
      </c>
      <c r="G312" s="145" t="s">
        <v>824</v>
      </c>
    </row>
    <row r="313" spans="2:7" ht="26.4" x14ac:dyDescent="0.3">
      <c r="B313" s="145" t="s">
        <v>646</v>
      </c>
      <c r="C313" s="145" t="s">
        <v>415</v>
      </c>
      <c r="D313" s="146" t="s">
        <v>667</v>
      </c>
      <c r="E313" s="145" t="s">
        <v>459</v>
      </c>
      <c r="F313" s="148" t="s">
        <v>1160</v>
      </c>
      <c r="G313" s="145" t="s">
        <v>824</v>
      </c>
    </row>
    <row r="314" spans="2:7" x14ac:dyDescent="0.3">
      <c r="B314" s="145" t="s">
        <v>646</v>
      </c>
      <c r="C314" s="145" t="s">
        <v>415</v>
      </c>
      <c r="D314" s="146" t="s">
        <v>680</v>
      </c>
      <c r="E314" s="145" t="s">
        <v>489</v>
      </c>
      <c r="F314" s="148" t="s">
        <v>940</v>
      </c>
      <c r="G314" s="145" t="s">
        <v>825</v>
      </c>
    </row>
    <row r="315" spans="2:7" x14ac:dyDescent="0.3">
      <c r="B315" s="145" t="s">
        <v>646</v>
      </c>
      <c r="C315" s="145" t="s">
        <v>415</v>
      </c>
      <c r="D315" s="146" t="s">
        <v>680</v>
      </c>
      <c r="E315" s="145" t="s">
        <v>489</v>
      </c>
      <c r="F315" s="148" t="s">
        <v>1054</v>
      </c>
      <c r="G315" s="145" t="s">
        <v>825</v>
      </c>
    </row>
    <row r="316" spans="2:7" x14ac:dyDescent="0.3">
      <c r="B316" s="145" t="s">
        <v>646</v>
      </c>
      <c r="C316" s="145" t="s">
        <v>415</v>
      </c>
      <c r="D316" s="146" t="s">
        <v>692</v>
      </c>
      <c r="E316" s="145" t="s">
        <v>756</v>
      </c>
      <c r="F316" s="148" t="s">
        <v>941</v>
      </c>
      <c r="G316" s="145" t="s">
        <v>826</v>
      </c>
    </row>
    <row r="317" spans="2:7" x14ac:dyDescent="0.3">
      <c r="B317" s="145" t="s">
        <v>646</v>
      </c>
      <c r="C317" s="145" t="s">
        <v>415</v>
      </c>
      <c r="D317" s="146" t="s">
        <v>692</v>
      </c>
      <c r="E317" s="145" t="s">
        <v>756</v>
      </c>
      <c r="F317" s="148" t="s">
        <v>1055</v>
      </c>
      <c r="G317" s="145" t="s">
        <v>826</v>
      </c>
    </row>
    <row r="318" spans="2:7" x14ac:dyDescent="0.3">
      <c r="B318" s="145" t="s">
        <v>646</v>
      </c>
      <c r="C318" s="145" t="s">
        <v>415</v>
      </c>
      <c r="D318" s="146" t="s">
        <v>692</v>
      </c>
      <c r="E318" s="145" t="s">
        <v>756</v>
      </c>
      <c r="F318" s="148" t="s">
        <v>1161</v>
      </c>
      <c r="G318" s="145" t="s">
        <v>826</v>
      </c>
    </row>
    <row r="319" spans="2:7" ht="26.4" x14ac:dyDescent="0.3">
      <c r="B319" s="145" t="s">
        <v>646</v>
      </c>
      <c r="C319" s="145" t="s">
        <v>415</v>
      </c>
      <c r="D319" s="146" t="s">
        <v>703</v>
      </c>
      <c r="E319" s="145" t="s">
        <v>757</v>
      </c>
      <c r="F319" s="148" t="s">
        <v>942</v>
      </c>
      <c r="G319" s="145" t="s">
        <v>827</v>
      </c>
    </row>
    <row r="320" spans="2:7" ht="26.4" x14ac:dyDescent="0.3">
      <c r="B320" s="145" t="s">
        <v>646</v>
      </c>
      <c r="C320" s="145" t="s">
        <v>415</v>
      </c>
      <c r="D320" s="146" t="s">
        <v>703</v>
      </c>
      <c r="E320" s="145" t="s">
        <v>757</v>
      </c>
      <c r="F320" s="148" t="s">
        <v>1056</v>
      </c>
      <c r="G320" s="145" t="s">
        <v>827</v>
      </c>
    </row>
    <row r="321" spans="2:7" ht="26.4" x14ac:dyDescent="0.3">
      <c r="B321" s="145" t="s">
        <v>646</v>
      </c>
      <c r="C321" s="145" t="s">
        <v>415</v>
      </c>
      <c r="D321" s="146" t="s">
        <v>714</v>
      </c>
      <c r="E321" s="145" t="s">
        <v>758</v>
      </c>
      <c r="F321" s="148" t="s">
        <v>943</v>
      </c>
      <c r="G321" s="145" t="s">
        <v>828</v>
      </c>
    </row>
    <row r="322" spans="2:7" ht="26.4" x14ac:dyDescent="0.3">
      <c r="B322" s="145" t="s">
        <v>646</v>
      </c>
      <c r="C322" s="145" t="s">
        <v>415</v>
      </c>
      <c r="D322" s="146" t="s">
        <v>714</v>
      </c>
      <c r="E322" s="145" t="s">
        <v>758</v>
      </c>
      <c r="F322" s="148" t="s">
        <v>1057</v>
      </c>
      <c r="G322" s="145" t="s">
        <v>828</v>
      </c>
    </row>
    <row r="323" spans="2:7" ht="26.4" x14ac:dyDescent="0.3">
      <c r="B323" s="145" t="s">
        <v>646</v>
      </c>
      <c r="C323" s="145" t="s">
        <v>415</v>
      </c>
      <c r="D323" s="146" t="s">
        <v>714</v>
      </c>
      <c r="E323" s="145" t="s">
        <v>758</v>
      </c>
      <c r="F323" s="148" t="s">
        <v>1162</v>
      </c>
      <c r="G323" s="145" t="s">
        <v>828</v>
      </c>
    </row>
    <row r="324" spans="2:7" x14ac:dyDescent="0.3">
      <c r="B324" s="145" t="s">
        <v>646</v>
      </c>
      <c r="C324" s="145" t="s">
        <v>415</v>
      </c>
      <c r="D324" s="146" t="s">
        <v>725</v>
      </c>
      <c r="E324" s="145" t="s">
        <v>759</v>
      </c>
      <c r="F324" s="148" t="s">
        <v>944</v>
      </c>
      <c r="G324" s="145" t="s">
        <v>829</v>
      </c>
    </row>
    <row r="325" spans="2:7" x14ac:dyDescent="0.3">
      <c r="B325" s="145" t="s">
        <v>646</v>
      </c>
      <c r="C325" s="145" t="s">
        <v>415</v>
      </c>
      <c r="D325" s="146" t="s">
        <v>725</v>
      </c>
      <c r="E325" s="145" t="s">
        <v>759</v>
      </c>
      <c r="F325" s="148" t="s">
        <v>1058</v>
      </c>
      <c r="G325" s="145" t="s">
        <v>829</v>
      </c>
    </row>
    <row r="326" spans="2:7" ht="26.4" x14ac:dyDescent="0.3">
      <c r="B326" s="145" t="s">
        <v>646</v>
      </c>
      <c r="C326" s="145" t="s">
        <v>415</v>
      </c>
      <c r="D326" s="146" t="s">
        <v>733</v>
      </c>
      <c r="E326" s="145" t="s">
        <v>760</v>
      </c>
      <c r="F326" s="148" t="s">
        <v>945</v>
      </c>
      <c r="G326" s="145" t="s">
        <v>830</v>
      </c>
    </row>
    <row r="327" spans="2:7" ht="26.4" x14ac:dyDescent="0.3">
      <c r="B327" s="145" t="s">
        <v>646</v>
      </c>
      <c r="C327" s="145" t="s">
        <v>415</v>
      </c>
      <c r="D327" s="146" t="s">
        <v>733</v>
      </c>
      <c r="E327" s="145" t="s">
        <v>760</v>
      </c>
      <c r="F327" s="148" t="s">
        <v>1059</v>
      </c>
      <c r="G327" s="145" t="s">
        <v>830</v>
      </c>
    </row>
    <row r="328" spans="2:7" ht="26.4" x14ac:dyDescent="0.3">
      <c r="B328" s="145" t="s">
        <v>646</v>
      </c>
      <c r="C328" s="145" t="s">
        <v>415</v>
      </c>
      <c r="D328" s="146" t="s">
        <v>740</v>
      </c>
      <c r="E328" s="145" t="s">
        <v>761</v>
      </c>
      <c r="F328" s="148" t="s">
        <v>946</v>
      </c>
      <c r="G328" s="145" t="s">
        <v>831</v>
      </c>
    </row>
    <row r="329" spans="2:7" ht="26.4" x14ac:dyDescent="0.3">
      <c r="B329" s="145" t="s">
        <v>646</v>
      </c>
      <c r="C329" s="145" t="s">
        <v>415</v>
      </c>
      <c r="D329" s="146" t="s">
        <v>740</v>
      </c>
      <c r="E329" s="145" t="s">
        <v>761</v>
      </c>
      <c r="F329" s="148" t="s">
        <v>1060</v>
      </c>
      <c r="G329" s="145" t="s">
        <v>831</v>
      </c>
    </row>
    <row r="330" spans="2:7" ht="26.4" x14ac:dyDescent="0.3">
      <c r="B330" s="145" t="s">
        <v>646</v>
      </c>
      <c r="C330" s="145" t="s">
        <v>415</v>
      </c>
      <c r="D330" s="146" t="s">
        <v>740</v>
      </c>
      <c r="E330" s="145" t="s">
        <v>761</v>
      </c>
      <c r="F330" s="148" t="s">
        <v>1163</v>
      </c>
      <c r="G330" s="145" t="s">
        <v>831</v>
      </c>
    </row>
    <row r="331" spans="2:7" ht="26.4" x14ac:dyDescent="0.3">
      <c r="B331" s="145" t="s">
        <v>646</v>
      </c>
      <c r="C331" s="145" t="s">
        <v>415</v>
      </c>
      <c r="D331" s="146" t="s">
        <v>740</v>
      </c>
      <c r="E331" s="145" t="s">
        <v>761</v>
      </c>
      <c r="F331" s="148" t="s">
        <v>1253</v>
      </c>
      <c r="G331" s="145" t="s">
        <v>831</v>
      </c>
    </row>
    <row r="332" spans="2:7" x14ac:dyDescent="0.3">
      <c r="B332" s="145" t="s">
        <v>646</v>
      </c>
      <c r="C332" s="145" t="s">
        <v>416</v>
      </c>
      <c r="D332" s="146" t="s">
        <v>660</v>
      </c>
      <c r="E332" s="145" t="s">
        <v>429</v>
      </c>
      <c r="F332" s="148" t="s">
        <v>947</v>
      </c>
      <c r="G332" s="145" t="s">
        <v>832</v>
      </c>
    </row>
    <row r="333" spans="2:7" x14ac:dyDescent="0.3">
      <c r="B333" s="145" t="s">
        <v>646</v>
      </c>
      <c r="C333" s="145" t="s">
        <v>416</v>
      </c>
      <c r="D333" s="146" t="s">
        <v>660</v>
      </c>
      <c r="E333" s="145" t="s">
        <v>429</v>
      </c>
      <c r="F333" s="148" t="s">
        <v>1061</v>
      </c>
      <c r="G333" s="145" t="s">
        <v>832</v>
      </c>
    </row>
    <row r="334" spans="2:7" x14ac:dyDescent="0.3">
      <c r="B334" s="145" t="s">
        <v>646</v>
      </c>
      <c r="C334" s="145" t="s">
        <v>416</v>
      </c>
      <c r="D334" s="146" t="s">
        <v>660</v>
      </c>
      <c r="E334" s="145" t="s">
        <v>429</v>
      </c>
      <c r="F334" s="148" t="s">
        <v>1164</v>
      </c>
      <c r="G334" s="145" t="s">
        <v>832</v>
      </c>
    </row>
    <row r="335" spans="2:7" x14ac:dyDescent="0.3">
      <c r="B335" s="145" t="s">
        <v>646</v>
      </c>
      <c r="C335" s="145" t="s">
        <v>416</v>
      </c>
      <c r="D335" s="146" t="s">
        <v>660</v>
      </c>
      <c r="E335" s="145" t="s">
        <v>429</v>
      </c>
      <c r="F335" s="148" t="s">
        <v>1254</v>
      </c>
      <c r="G335" s="145" t="s">
        <v>832</v>
      </c>
    </row>
    <row r="336" spans="2:7" x14ac:dyDescent="0.3">
      <c r="B336" s="145" t="s">
        <v>646</v>
      </c>
      <c r="C336" s="145" t="s">
        <v>416</v>
      </c>
      <c r="D336" s="146" t="s">
        <v>660</v>
      </c>
      <c r="E336" s="145" t="s">
        <v>429</v>
      </c>
      <c r="F336" s="148" t="s">
        <v>1325</v>
      </c>
      <c r="G336" s="145" t="s">
        <v>832</v>
      </c>
    </row>
    <row r="337" spans="2:7" x14ac:dyDescent="0.3">
      <c r="B337" s="145" t="s">
        <v>646</v>
      </c>
      <c r="C337" s="145" t="s">
        <v>416</v>
      </c>
      <c r="D337" s="146" t="s">
        <v>660</v>
      </c>
      <c r="E337" s="145" t="s">
        <v>429</v>
      </c>
      <c r="F337" s="148" t="s">
        <v>1378</v>
      </c>
      <c r="G337" s="145" t="s">
        <v>832</v>
      </c>
    </row>
    <row r="338" spans="2:7" x14ac:dyDescent="0.3">
      <c r="B338" s="145" t="s">
        <v>646</v>
      </c>
      <c r="C338" s="145" t="s">
        <v>416</v>
      </c>
      <c r="D338" s="146" t="s">
        <v>660</v>
      </c>
      <c r="E338" s="145" t="s">
        <v>429</v>
      </c>
      <c r="F338" s="148" t="s">
        <v>1418</v>
      </c>
      <c r="G338" s="145" t="s">
        <v>832</v>
      </c>
    </row>
    <row r="339" spans="2:7" x14ac:dyDescent="0.3">
      <c r="B339" s="145" t="s">
        <v>646</v>
      </c>
      <c r="C339" s="145" t="s">
        <v>416</v>
      </c>
      <c r="D339" s="146" t="s">
        <v>660</v>
      </c>
      <c r="E339" s="145" t="s">
        <v>429</v>
      </c>
      <c r="F339" s="148" t="s">
        <v>1453</v>
      </c>
      <c r="G339" s="145" t="s">
        <v>832</v>
      </c>
    </row>
    <row r="340" spans="2:7" x14ac:dyDescent="0.3">
      <c r="B340" s="145" t="s">
        <v>646</v>
      </c>
      <c r="C340" s="145" t="s">
        <v>416</v>
      </c>
      <c r="D340" s="146" t="s">
        <v>660</v>
      </c>
      <c r="E340" s="145" t="s">
        <v>429</v>
      </c>
      <c r="F340" s="148" t="s">
        <v>1475</v>
      </c>
      <c r="G340" s="145" t="s">
        <v>832</v>
      </c>
    </row>
    <row r="341" spans="2:7" x14ac:dyDescent="0.3">
      <c r="B341" s="145" t="s">
        <v>646</v>
      </c>
      <c r="C341" s="145" t="s">
        <v>416</v>
      </c>
      <c r="D341" s="146" t="s">
        <v>660</v>
      </c>
      <c r="E341" s="145" t="s">
        <v>429</v>
      </c>
      <c r="F341" s="148" t="s">
        <v>1493</v>
      </c>
      <c r="G341" s="145" t="s">
        <v>832</v>
      </c>
    </row>
    <row r="342" spans="2:7" x14ac:dyDescent="0.3">
      <c r="B342" s="145" t="s">
        <v>646</v>
      </c>
      <c r="C342" s="145" t="s">
        <v>416</v>
      </c>
      <c r="D342" s="146" t="s">
        <v>660</v>
      </c>
      <c r="E342" s="145" t="s">
        <v>429</v>
      </c>
      <c r="F342" s="148" t="s">
        <v>1510</v>
      </c>
      <c r="G342" s="145" t="s">
        <v>832</v>
      </c>
    </row>
    <row r="343" spans="2:7" x14ac:dyDescent="0.3">
      <c r="B343" s="145" t="s">
        <v>646</v>
      </c>
      <c r="C343" s="145" t="s">
        <v>416</v>
      </c>
      <c r="D343" s="146" t="s">
        <v>660</v>
      </c>
      <c r="E343" s="145" t="s">
        <v>429</v>
      </c>
      <c r="F343" s="148" t="s">
        <v>1523</v>
      </c>
      <c r="G343" s="145" t="s">
        <v>832</v>
      </c>
    </row>
    <row r="344" spans="2:7" x14ac:dyDescent="0.3">
      <c r="B344" s="145" t="s">
        <v>646</v>
      </c>
      <c r="C344" s="145" t="s">
        <v>416</v>
      </c>
      <c r="D344" s="146" t="s">
        <v>660</v>
      </c>
      <c r="E344" s="145" t="s">
        <v>429</v>
      </c>
      <c r="F344" s="148" t="s">
        <v>1535</v>
      </c>
      <c r="G344" s="145" t="s">
        <v>832</v>
      </c>
    </row>
    <row r="345" spans="2:7" x14ac:dyDescent="0.3">
      <c r="B345" s="145" t="s">
        <v>646</v>
      </c>
      <c r="C345" s="145" t="s">
        <v>416</v>
      </c>
      <c r="D345" s="146" t="s">
        <v>660</v>
      </c>
      <c r="E345" s="145" t="s">
        <v>429</v>
      </c>
      <c r="F345" s="148" t="s">
        <v>1545</v>
      </c>
      <c r="G345" s="145" t="s">
        <v>832</v>
      </c>
    </row>
    <row r="346" spans="2:7" x14ac:dyDescent="0.3">
      <c r="B346" s="145" t="s">
        <v>646</v>
      </c>
      <c r="C346" s="145" t="s">
        <v>416</v>
      </c>
      <c r="D346" s="146" t="s">
        <v>660</v>
      </c>
      <c r="E346" s="145" t="s">
        <v>429</v>
      </c>
      <c r="F346" s="148" t="s">
        <v>1553</v>
      </c>
      <c r="G346" s="145" t="s">
        <v>832</v>
      </c>
    </row>
    <row r="347" spans="2:7" x14ac:dyDescent="0.3">
      <c r="B347" s="145" t="s">
        <v>646</v>
      </c>
      <c r="C347" s="145" t="s">
        <v>416</v>
      </c>
      <c r="D347" s="146" t="s">
        <v>660</v>
      </c>
      <c r="E347" s="145" t="s">
        <v>429</v>
      </c>
      <c r="F347" s="148" t="s">
        <v>1562</v>
      </c>
      <c r="G347" s="145" t="s">
        <v>832</v>
      </c>
    </row>
    <row r="348" spans="2:7" x14ac:dyDescent="0.3">
      <c r="B348" s="145" t="s">
        <v>646</v>
      </c>
      <c r="C348" s="145" t="s">
        <v>416</v>
      </c>
      <c r="D348" s="146" t="s">
        <v>660</v>
      </c>
      <c r="E348" s="145" t="s">
        <v>429</v>
      </c>
      <c r="F348" s="148" t="s">
        <v>1570</v>
      </c>
      <c r="G348" s="145" t="s">
        <v>832</v>
      </c>
    </row>
    <row r="349" spans="2:7" x14ac:dyDescent="0.3">
      <c r="B349" s="145" t="s">
        <v>646</v>
      </c>
      <c r="C349" s="145" t="s">
        <v>416</v>
      </c>
      <c r="D349" s="146" t="s">
        <v>660</v>
      </c>
      <c r="E349" s="145" t="s">
        <v>429</v>
      </c>
      <c r="F349" s="148" t="s">
        <v>1577</v>
      </c>
      <c r="G349" s="145" t="s">
        <v>832</v>
      </c>
    </row>
    <row r="350" spans="2:7" x14ac:dyDescent="0.3">
      <c r="B350" s="145" t="s">
        <v>646</v>
      </c>
      <c r="C350" s="145" t="s">
        <v>416</v>
      </c>
      <c r="D350" s="146" t="s">
        <v>660</v>
      </c>
      <c r="E350" s="145" t="s">
        <v>429</v>
      </c>
      <c r="F350" s="148" t="s">
        <v>1584</v>
      </c>
      <c r="G350" s="145" t="s">
        <v>832</v>
      </c>
    </row>
    <row r="351" spans="2:7" x14ac:dyDescent="0.3">
      <c r="B351" s="145" t="s">
        <v>646</v>
      </c>
      <c r="C351" s="145" t="s">
        <v>416</v>
      </c>
      <c r="D351" s="146" t="s">
        <v>660</v>
      </c>
      <c r="E351" s="145" t="s">
        <v>429</v>
      </c>
      <c r="F351" s="148" t="s">
        <v>1590</v>
      </c>
      <c r="G351" s="145" t="s">
        <v>832</v>
      </c>
    </row>
    <row r="352" spans="2:7" x14ac:dyDescent="0.3">
      <c r="B352" s="145" t="s">
        <v>646</v>
      </c>
      <c r="C352" s="145" t="s">
        <v>416</v>
      </c>
      <c r="D352" s="146" t="s">
        <v>660</v>
      </c>
      <c r="E352" s="145" t="s">
        <v>429</v>
      </c>
      <c r="F352" s="148" t="s">
        <v>1596</v>
      </c>
      <c r="G352" s="145" t="s">
        <v>832</v>
      </c>
    </row>
    <row r="353" spans="2:7" x14ac:dyDescent="0.3">
      <c r="B353" s="145" t="s">
        <v>646</v>
      </c>
      <c r="C353" s="145" t="s">
        <v>416</v>
      </c>
      <c r="D353" s="146" t="s">
        <v>660</v>
      </c>
      <c r="E353" s="145" t="s">
        <v>429</v>
      </c>
      <c r="F353" s="148" t="s">
        <v>1602</v>
      </c>
      <c r="G353" s="145" t="s">
        <v>832</v>
      </c>
    </row>
    <row r="354" spans="2:7" x14ac:dyDescent="0.3">
      <c r="B354" s="145" t="s">
        <v>646</v>
      </c>
      <c r="C354" s="145" t="s">
        <v>416</v>
      </c>
      <c r="D354" s="146" t="s">
        <v>660</v>
      </c>
      <c r="E354" s="145" t="s">
        <v>429</v>
      </c>
      <c r="F354" s="148" t="s">
        <v>1607</v>
      </c>
      <c r="G354" s="145" t="s">
        <v>832</v>
      </c>
    </row>
    <row r="355" spans="2:7" x14ac:dyDescent="0.3">
      <c r="B355" s="145" t="s">
        <v>646</v>
      </c>
      <c r="C355" s="145" t="s">
        <v>416</v>
      </c>
      <c r="D355" s="146" t="s">
        <v>660</v>
      </c>
      <c r="E355" s="145" t="s">
        <v>429</v>
      </c>
      <c r="F355" s="148" t="s">
        <v>1612</v>
      </c>
      <c r="G355" s="145" t="s">
        <v>832</v>
      </c>
    </row>
    <row r="356" spans="2:7" x14ac:dyDescent="0.3">
      <c r="B356" s="145" t="s">
        <v>646</v>
      </c>
      <c r="C356" s="145" t="s">
        <v>416</v>
      </c>
      <c r="D356" s="146" t="s">
        <v>660</v>
      </c>
      <c r="E356" s="145" t="s">
        <v>429</v>
      </c>
      <c r="F356" s="148" t="s">
        <v>1616</v>
      </c>
      <c r="G356" s="145" t="s">
        <v>832</v>
      </c>
    </row>
    <row r="357" spans="2:7" x14ac:dyDescent="0.3">
      <c r="B357" s="145" t="s">
        <v>646</v>
      </c>
      <c r="C357" s="145" t="s">
        <v>416</v>
      </c>
      <c r="D357" s="146" t="s">
        <v>668</v>
      </c>
      <c r="E357" s="145" t="s">
        <v>460</v>
      </c>
      <c r="F357" s="148" t="s">
        <v>948</v>
      </c>
      <c r="G357" s="145" t="s">
        <v>833</v>
      </c>
    </row>
    <row r="358" spans="2:7" x14ac:dyDescent="0.3">
      <c r="B358" s="145" t="s">
        <v>646</v>
      </c>
      <c r="C358" s="145" t="s">
        <v>416</v>
      </c>
      <c r="D358" s="146" t="s">
        <v>668</v>
      </c>
      <c r="E358" s="145" t="s">
        <v>460</v>
      </c>
      <c r="F358" s="148" t="s">
        <v>1062</v>
      </c>
      <c r="G358" s="145" t="s">
        <v>833</v>
      </c>
    </row>
    <row r="359" spans="2:7" x14ac:dyDescent="0.3">
      <c r="B359" s="145" t="s">
        <v>646</v>
      </c>
      <c r="C359" s="145" t="s">
        <v>416</v>
      </c>
      <c r="D359" s="146" t="s">
        <v>668</v>
      </c>
      <c r="E359" s="145" t="s">
        <v>460</v>
      </c>
      <c r="F359" s="148" t="s">
        <v>1165</v>
      </c>
      <c r="G359" s="145" t="s">
        <v>833</v>
      </c>
    </row>
    <row r="360" spans="2:7" x14ac:dyDescent="0.3">
      <c r="B360" s="145" t="s">
        <v>646</v>
      </c>
      <c r="C360" s="145" t="s">
        <v>416</v>
      </c>
      <c r="D360" s="146" t="s">
        <v>668</v>
      </c>
      <c r="E360" s="145" t="s">
        <v>460</v>
      </c>
      <c r="F360" s="148" t="s">
        <v>1255</v>
      </c>
      <c r="G360" s="145" t="s">
        <v>833</v>
      </c>
    </row>
    <row r="361" spans="2:7" x14ac:dyDescent="0.3">
      <c r="B361" s="145" t="s">
        <v>646</v>
      </c>
      <c r="C361" s="145" t="s">
        <v>416</v>
      </c>
      <c r="D361" s="146" t="s">
        <v>668</v>
      </c>
      <c r="E361" s="145" t="s">
        <v>460</v>
      </c>
      <c r="F361" s="148" t="s">
        <v>1326</v>
      </c>
      <c r="G361" s="145" t="s">
        <v>833</v>
      </c>
    </row>
    <row r="362" spans="2:7" x14ac:dyDescent="0.3">
      <c r="B362" s="145" t="s">
        <v>646</v>
      </c>
      <c r="C362" s="145" t="s">
        <v>416</v>
      </c>
      <c r="D362" s="146" t="s">
        <v>668</v>
      </c>
      <c r="E362" s="145" t="s">
        <v>460</v>
      </c>
      <c r="F362" s="148" t="s">
        <v>1379</v>
      </c>
      <c r="G362" s="145" t="s">
        <v>833</v>
      </c>
    </row>
    <row r="363" spans="2:7" x14ac:dyDescent="0.3">
      <c r="B363" s="145" t="s">
        <v>646</v>
      </c>
      <c r="C363" s="145" t="s">
        <v>416</v>
      </c>
      <c r="D363" s="146" t="s">
        <v>668</v>
      </c>
      <c r="E363" s="145" t="s">
        <v>460</v>
      </c>
      <c r="F363" s="148" t="s">
        <v>1419</v>
      </c>
      <c r="G363" s="145" t="s">
        <v>833</v>
      </c>
    </row>
    <row r="364" spans="2:7" x14ac:dyDescent="0.3">
      <c r="B364" s="145" t="s">
        <v>646</v>
      </c>
      <c r="C364" s="145" t="s">
        <v>416</v>
      </c>
      <c r="D364" s="146" t="s">
        <v>668</v>
      </c>
      <c r="E364" s="145" t="s">
        <v>460</v>
      </c>
      <c r="F364" s="148" t="s">
        <v>1454</v>
      </c>
      <c r="G364" s="145" t="s">
        <v>833</v>
      </c>
    </row>
    <row r="365" spans="2:7" x14ac:dyDescent="0.3">
      <c r="B365" s="145" t="s">
        <v>646</v>
      </c>
      <c r="C365" s="145" t="s">
        <v>416</v>
      </c>
      <c r="D365" s="146" t="s">
        <v>668</v>
      </c>
      <c r="E365" s="145" t="s">
        <v>460</v>
      </c>
      <c r="F365" s="148" t="s">
        <v>1476</v>
      </c>
      <c r="G365" s="145" t="s">
        <v>833</v>
      </c>
    </row>
    <row r="366" spans="2:7" x14ac:dyDescent="0.3">
      <c r="B366" s="145" t="s">
        <v>646</v>
      </c>
      <c r="C366" s="145" t="s">
        <v>416</v>
      </c>
      <c r="D366" s="146" t="s">
        <v>668</v>
      </c>
      <c r="E366" s="145" t="s">
        <v>460</v>
      </c>
      <c r="F366" s="148" t="s">
        <v>1494</v>
      </c>
      <c r="G366" s="145" t="s">
        <v>833</v>
      </c>
    </row>
    <row r="367" spans="2:7" x14ac:dyDescent="0.3">
      <c r="B367" s="145" t="s">
        <v>646</v>
      </c>
      <c r="C367" s="145" t="s">
        <v>416</v>
      </c>
      <c r="D367" s="146" t="s">
        <v>668</v>
      </c>
      <c r="E367" s="145" t="s">
        <v>460</v>
      </c>
      <c r="F367" s="148" t="s">
        <v>1420</v>
      </c>
      <c r="G367" s="145" t="s">
        <v>833</v>
      </c>
    </row>
    <row r="368" spans="2:7" x14ac:dyDescent="0.3">
      <c r="B368" s="145" t="s">
        <v>646</v>
      </c>
      <c r="C368" s="145" t="s">
        <v>416</v>
      </c>
      <c r="D368" s="146" t="s">
        <v>681</v>
      </c>
      <c r="E368" s="145" t="s">
        <v>490</v>
      </c>
      <c r="F368" s="148" t="s">
        <v>949</v>
      </c>
      <c r="G368" s="145" t="s">
        <v>834</v>
      </c>
    </row>
    <row r="369" spans="2:7" x14ac:dyDescent="0.3">
      <c r="B369" s="145" t="s">
        <v>646</v>
      </c>
      <c r="C369" s="145" t="s">
        <v>416</v>
      </c>
      <c r="D369" s="146" t="s">
        <v>681</v>
      </c>
      <c r="E369" s="145" t="s">
        <v>490</v>
      </c>
      <c r="F369" s="148" t="s">
        <v>1063</v>
      </c>
      <c r="G369" s="145" t="s">
        <v>834</v>
      </c>
    </row>
    <row r="370" spans="2:7" x14ac:dyDescent="0.3">
      <c r="B370" s="145" t="s">
        <v>646</v>
      </c>
      <c r="C370" s="145" t="s">
        <v>416</v>
      </c>
      <c r="D370" s="146" t="s">
        <v>681</v>
      </c>
      <c r="E370" s="145" t="s">
        <v>490</v>
      </c>
      <c r="F370" s="148" t="s">
        <v>1166</v>
      </c>
      <c r="G370" s="145" t="s">
        <v>834</v>
      </c>
    </row>
    <row r="371" spans="2:7" x14ac:dyDescent="0.3">
      <c r="B371" s="145" t="s">
        <v>646</v>
      </c>
      <c r="C371" s="145" t="s">
        <v>416</v>
      </c>
      <c r="D371" s="146" t="s">
        <v>681</v>
      </c>
      <c r="E371" s="145" t="s">
        <v>490</v>
      </c>
      <c r="F371" s="148" t="s">
        <v>1256</v>
      </c>
      <c r="G371" s="145" t="s">
        <v>834</v>
      </c>
    </row>
    <row r="372" spans="2:7" ht="26.4" x14ac:dyDescent="0.3">
      <c r="B372" s="145" t="s">
        <v>646</v>
      </c>
      <c r="C372" s="145" t="s">
        <v>416</v>
      </c>
      <c r="D372" s="146" t="s">
        <v>693</v>
      </c>
      <c r="E372" s="145" t="s">
        <v>518</v>
      </c>
      <c r="F372" s="148" t="s">
        <v>950</v>
      </c>
      <c r="G372" s="145" t="s">
        <v>835</v>
      </c>
    </row>
    <row r="373" spans="2:7" ht="26.4" x14ac:dyDescent="0.3">
      <c r="B373" s="145" t="s">
        <v>646</v>
      </c>
      <c r="C373" s="145" t="s">
        <v>416</v>
      </c>
      <c r="D373" s="146" t="s">
        <v>693</v>
      </c>
      <c r="E373" s="145" t="s">
        <v>518</v>
      </c>
      <c r="F373" s="148" t="s">
        <v>1064</v>
      </c>
      <c r="G373" s="145" t="s">
        <v>835</v>
      </c>
    </row>
    <row r="374" spans="2:7" ht="26.4" x14ac:dyDescent="0.3">
      <c r="B374" s="145" t="s">
        <v>646</v>
      </c>
      <c r="C374" s="145" t="s">
        <v>416</v>
      </c>
      <c r="D374" s="146" t="s">
        <v>693</v>
      </c>
      <c r="E374" s="145" t="s">
        <v>518</v>
      </c>
      <c r="F374" s="148" t="s">
        <v>1167</v>
      </c>
      <c r="G374" s="145" t="s">
        <v>835</v>
      </c>
    </row>
    <row r="375" spans="2:7" ht="26.4" x14ac:dyDescent="0.3">
      <c r="B375" s="145" t="s">
        <v>646</v>
      </c>
      <c r="C375" s="145" t="s">
        <v>416</v>
      </c>
      <c r="D375" s="146" t="s">
        <v>704</v>
      </c>
      <c r="E375" s="145" t="s">
        <v>544</v>
      </c>
      <c r="F375" s="148" t="s">
        <v>951</v>
      </c>
      <c r="G375" s="145" t="s">
        <v>836</v>
      </c>
    </row>
    <row r="376" spans="2:7" ht="26.4" x14ac:dyDescent="0.3">
      <c r="B376" s="145" t="s">
        <v>646</v>
      </c>
      <c r="C376" s="145" t="s">
        <v>416</v>
      </c>
      <c r="D376" s="146" t="s">
        <v>704</v>
      </c>
      <c r="E376" s="145" t="s">
        <v>544</v>
      </c>
      <c r="F376" s="148" t="s">
        <v>1065</v>
      </c>
      <c r="G376" s="145" t="s">
        <v>836</v>
      </c>
    </row>
    <row r="377" spans="2:7" ht="26.4" x14ac:dyDescent="0.3">
      <c r="B377" s="145" t="s">
        <v>646</v>
      </c>
      <c r="C377" s="145" t="s">
        <v>416</v>
      </c>
      <c r="D377" s="146" t="s">
        <v>704</v>
      </c>
      <c r="E377" s="145" t="s">
        <v>544</v>
      </c>
      <c r="F377" s="148" t="s">
        <v>1168</v>
      </c>
      <c r="G377" s="145" t="s">
        <v>836</v>
      </c>
    </row>
    <row r="378" spans="2:7" ht="26.4" x14ac:dyDescent="0.3">
      <c r="B378" s="145" t="s">
        <v>646</v>
      </c>
      <c r="C378" s="145" t="s">
        <v>416</v>
      </c>
      <c r="D378" s="146" t="s">
        <v>704</v>
      </c>
      <c r="E378" s="145" t="s">
        <v>544</v>
      </c>
      <c r="F378" s="148" t="s">
        <v>1257</v>
      </c>
      <c r="G378" s="145" t="s">
        <v>836</v>
      </c>
    </row>
    <row r="379" spans="2:7" ht="26.4" x14ac:dyDescent="0.3">
      <c r="B379" s="145" t="s">
        <v>646</v>
      </c>
      <c r="C379" s="145" t="s">
        <v>416</v>
      </c>
      <c r="D379" s="146" t="s">
        <v>704</v>
      </c>
      <c r="E379" s="145" t="s">
        <v>544</v>
      </c>
      <c r="F379" s="148" t="s">
        <v>1327</v>
      </c>
      <c r="G379" s="145" t="s">
        <v>836</v>
      </c>
    </row>
    <row r="380" spans="2:7" ht="26.4" x14ac:dyDescent="0.3">
      <c r="B380" s="145" t="s">
        <v>646</v>
      </c>
      <c r="C380" s="145" t="s">
        <v>416</v>
      </c>
      <c r="D380" s="146" t="s">
        <v>704</v>
      </c>
      <c r="E380" s="145" t="s">
        <v>544</v>
      </c>
      <c r="F380" s="148" t="s">
        <v>1380</v>
      </c>
      <c r="G380" s="145" t="s">
        <v>836</v>
      </c>
    </row>
    <row r="381" spans="2:7" ht="26.4" x14ac:dyDescent="0.3">
      <c r="B381" s="145" t="s">
        <v>646</v>
      </c>
      <c r="C381" s="145" t="s">
        <v>416</v>
      </c>
      <c r="D381" s="146" t="s">
        <v>704</v>
      </c>
      <c r="E381" s="145" t="s">
        <v>544</v>
      </c>
      <c r="F381" s="148" t="s">
        <v>1420</v>
      </c>
      <c r="G381" s="145" t="s">
        <v>836</v>
      </c>
    </row>
    <row r="382" spans="2:7" x14ac:dyDescent="0.3">
      <c r="B382" s="145" t="s">
        <v>646</v>
      </c>
      <c r="C382" s="145" t="s">
        <v>416</v>
      </c>
      <c r="D382" s="146" t="s">
        <v>715</v>
      </c>
      <c r="E382" s="145" t="s">
        <v>569</v>
      </c>
      <c r="F382" s="148" t="s">
        <v>952</v>
      </c>
      <c r="G382" s="145" t="s">
        <v>837</v>
      </c>
    </row>
    <row r="383" spans="2:7" x14ac:dyDescent="0.3">
      <c r="B383" s="145" t="s">
        <v>646</v>
      </c>
      <c r="C383" s="145" t="s">
        <v>416</v>
      </c>
      <c r="D383" s="146" t="s">
        <v>715</v>
      </c>
      <c r="E383" s="145" t="s">
        <v>569</v>
      </c>
      <c r="F383" s="148" t="s">
        <v>1066</v>
      </c>
      <c r="G383" s="145" t="s">
        <v>837</v>
      </c>
    </row>
    <row r="384" spans="2:7" x14ac:dyDescent="0.3">
      <c r="B384" s="145" t="s">
        <v>646</v>
      </c>
      <c r="C384" s="145" t="s">
        <v>416</v>
      </c>
      <c r="D384" s="146" t="s">
        <v>715</v>
      </c>
      <c r="E384" s="145" t="s">
        <v>569</v>
      </c>
      <c r="F384" s="148" t="s">
        <v>1169</v>
      </c>
      <c r="G384" s="145" t="s">
        <v>837</v>
      </c>
    </row>
    <row r="385" spans="2:7" ht="26.4" x14ac:dyDescent="0.3">
      <c r="B385" s="145" t="s">
        <v>646</v>
      </c>
      <c r="C385" s="145" t="s">
        <v>346</v>
      </c>
      <c r="D385" s="146" t="s">
        <v>661</v>
      </c>
      <c r="E385" s="145" t="s">
        <v>430</v>
      </c>
      <c r="F385" s="148" t="s">
        <v>953</v>
      </c>
      <c r="G385" s="145" t="s">
        <v>838</v>
      </c>
    </row>
    <row r="386" spans="2:7" ht="26.4" x14ac:dyDescent="0.3">
      <c r="B386" s="145" t="s">
        <v>646</v>
      </c>
      <c r="C386" s="145" t="s">
        <v>346</v>
      </c>
      <c r="D386" s="146" t="s">
        <v>661</v>
      </c>
      <c r="E386" s="145" t="s">
        <v>430</v>
      </c>
      <c r="F386" s="148" t="s">
        <v>1067</v>
      </c>
      <c r="G386" s="145" t="s">
        <v>838</v>
      </c>
    </row>
    <row r="387" spans="2:7" ht="26.4" x14ac:dyDescent="0.3">
      <c r="B387" s="145" t="s">
        <v>646</v>
      </c>
      <c r="C387" s="145" t="s">
        <v>346</v>
      </c>
      <c r="D387" s="146" t="s">
        <v>661</v>
      </c>
      <c r="E387" s="145" t="s">
        <v>430</v>
      </c>
      <c r="F387" s="148" t="s">
        <v>1170</v>
      </c>
      <c r="G387" s="145" t="s">
        <v>838</v>
      </c>
    </row>
    <row r="388" spans="2:7" ht="26.4" x14ac:dyDescent="0.3">
      <c r="B388" s="145" t="s">
        <v>646</v>
      </c>
      <c r="C388" s="145" t="s">
        <v>346</v>
      </c>
      <c r="D388" s="146" t="s">
        <v>661</v>
      </c>
      <c r="E388" s="145" t="s">
        <v>430</v>
      </c>
      <c r="F388" s="148" t="s">
        <v>1258</v>
      </c>
      <c r="G388" s="145" t="s">
        <v>838</v>
      </c>
    </row>
    <row r="389" spans="2:7" ht="26.4" x14ac:dyDescent="0.3">
      <c r="B389" s="145" t="s">
        <v>646</v>
      </c>
      <c r="C389" s="145" t="s">
        <v>346</v>
      </c>
      <c r="D389" s="146" t="s">
        <v>661</v>
      </c>
      <c r="E389" s="145" t="s">
        <v>430</v>
      </c>
      <c r="F389" s="148" t="s">
        <v>1328</v>
      </c>
      <c r="G389" s="145" t="s">
        <v>838</v>
      </c>
    </row>
    <row r="390" spans="2:7" ht="26.4" x14ac:dyDescent="0.3">
      <c r="B390" s="145" t="s">
        <v>646</v>
      </c>
      <c r="C390" s="145" t="s">
        <v>346</v>
      </c>
      <c r="D390" s="146" t="s">
        <v>661</v>
      </c>
      <c r="E390" s="145" t="s">
        <v>430</v>
      </c>
      <c r="F390" s="148" t="s">
        <v>1381</v>
      </c>
      <c r="G390" s="145" t="s">
        <v>838</v>
      </c>
    </row>
    <row r="391" spans="2:7" ht="26.4" x14ac:dyDescent="0.3">
      <c r="B391" s="145" t="s">
        <v>646</v>
      </c>
      <c r="C391" s="145" t="s">
        <v>346</v>
      </c>
      <c r="D391" s="146" t="s">
        <v>661</v>
      </c>
      <c r="E391" s="145" t="s">
        <v>430</v>
      </c>
      <c r="F391" s="148" t="s">
        <v>1421</v>
      </c>
      <c r="G391" s="145" t="s">
        <v>838</v>
      </c>
    </row>
    <row r="392" spans="2:7" ht="26.4" x14ac:dyDescent="0.3">
      <c r="B392" s="145" t="s">
        <v>646</v>
      </c>
      <c r="C392" s="145" t="s">
        <v>346</v>
      </c>
      <c r="D392" s="146" t="s">
        <v>669</v>
      </c>
      <c r="E392" s="145" t="s">
        <v>461</v>
      </c>
      <c r="F392" s="148" t="s">
        <v>954</v>
      </c>
      <c r="G392" s="145" t="s">
        <v>839</v>
      </c>
    </row>
    <row r="393" spans="2:7" ht="26.4" x14ac:dyDescent="0.3">
      <c r="B393" s="145" t="s">
        <v>646</v>
      </c>
      <c r="C393" s="145" t="s">
        <v>346</v>
      </c>
      <c r="D393" s="146" t="s">
        <v>669</v>
      </c>
      <c r="E393" s="145" t="s">
        <v>461</v>
      </c>
      <c r="F393" s="148" t="s">
        <v>1068</v>
      </c>
      <c r="G393" s="145" t="s">
        <v>839</v>
      </c>
    </row>
    <row r="394" spans="2:7" ht="26.4" x14ac:dyDescent="0.3">
      <c r="B394" s="145" t="s">
        <v>646</v>
      </c>
      <c r="C394" s="145" t="s">
        <v>346</v>
      </c>
      <c r="D394" s="146" t="s">
        <v>669</v>
      </c>
      <c r="E394" s="145" t="s">
        <v>461</v>
      </c>
      <c r="F394" s="148" t="s">
        <v>1171</v>
      </c>
      <c r="G394" s="145" t="s">
        <v>839</v>
      </c>
    </row>
    <row r="395" spans="2:7" ht="26.4" x14ac:dyDescent="0.3">
      <c r="B395" s="145" t="s">
        <v>646</v>
      </c>
      <c r="C395" s="145" t="s">
        <v>346</v>
      </c>
      <c r="D395" s="146" t="s">
        <v>669</v>
      </c>
      <c r="E395" s="145" t="s">
        <v>461</v>
      </c>
      <c r="F395" s="148" t="s">
        <v>1259</v>
      </c>
      <c r="G395" s="145" t="s">
        <v>839</v>
      </c>
    </row>
    <row r="396" spans="2:7" ht="26.4" x14ac:dyDescent="0.3">
      <c r="B396" s="145" t="s">
        <v>646</v>
      </c>
      <c r="C396" s="145" t="s">
        <v>346</v>
      </c>
      <c r="D396" s="146" t="s">
        <v>669</v>
      </c>
      <c r="E396" s="145" t="s">
        <v>461</v>
      </c>
      <c r="F396" s="148" t="s">
        <v>1329</v>
      </c>
      <c r="G396" s="145" t="s">
        <v>839</v>
      </c>
    </row>
    <row r="397" spans="2:7" ht="26.4" x14ac:dyDescent="0.3">
      <c r="B397" s="145" t="s">
        <v>646</v>
      </c>
      <c r="C397" s="145" t="s">
        <v>346</v>
      </c>
      <c r="D397" s="146" t="s">
        <v>669</v>
      </c>
      <c r="E397" s="145" t="s">
        <v>461</v>
      </c>
      <c r="F397" s="148" t="s">
        <v>1382</v>
      </c>
      <c r="G397" s="145" t="s">
        <v>839</v>
      </c>
    </row>
    <row r="398" spans="2:7" ht="26.4" x14ac:dyDescent="0.3">
      <c r="B398" s="145" t="s">
        <v>646</v>
      </c>
      <c r="C398" s="145" t="s">
        <v>346</v>
      </c>
      <c r="D398" s="146" t="s">
        <v>669</v>
      </c>
      <c r="E398" s="145" t="s">
        <v>461</v>
      </c>
      <c r="F398" s="148" t="s">
        <v>1422</v>
      </c>
      <c r="G398" s="145" t="s">
        <v>839</v>
      </c>
    </row>
    <row r="399" spans="2:7" ht="26.4" x14ac:dyDescent="0.3">
      <c r="B399" s="145" t="s">
        <v>646</v>
      </c>
      <c r="C399" s="145" t="s">
        <v>346</v>
      </c>
      <c r="D399" s="146" t="s">
        <v>669</v>
      </c>
      <c r="E399" s="145" t="s">
        <v>461</v>
      </c>
      <c r="F399" s="148" t="s">
        <v>1455</v>
      </c>
      <c r="G399" s="145" t="s">
        <v>839</v>
      </c>
    </row>
    <row r="400" spans="2:7" ht="26.4" x14ac:dyDescent="0.3">
      <c r="B400" s="145" t="s">
        <v>646</v>
      </c>
      <c r="C400" s="145" t="s">
        <v>346</v>
      </c>
      <c r="D400" s="146" t="s">
        <v>669</v>
      </c>
      <c r="E400" s="145" t="s">
        <v>461</v>
      </c>
      <c r="F400" s="148" t="s">
        <v>1477</v>
      </c>
      <c r="G400" s="145" t="s">
        <v>839</v>
      </c>
    </row>
    <row r="401" spans="2:7" ht="26.4" x14ac:dyDescent="0.3">
      <c r="B401" s="145" t="s">
        <v>646</v>
      </c>
      <c r="C401" s="145" t="s">
        <v>346</v>
      </c>
      <c r="D401" s="146" t="s">
        <v>669</v>
      </c>
      <c r="E401" s="145" t="s">
        <v>461</v>
      </c>
      <c r="F401" s="148" t="s">
        <v>1495</v>
      </c>
      <c r="G401" s="145" t="s">
        <v>839</v>
      </c>
    </row>
    <row r="402" spans="2:7" ht="26.4" x14ac:dyDescent="0.3">
      <c r="B402" s="145" t="s">
        <v>646</v>
      </c>
      <c r="C402" s="145" t="s">
        <v>346</v>
      </c>
      <c r="D402" s="146" t="s">
        <v>682</v>
      </c>
      <c r="E402" s="145" t="s">
        <v>491</v>
      </c>
      <c r="F402" s="148" t="s">
        <v>955</v>
      </c>
      <c r="G402" s="145" t="s">
        <v>840</v>
      </c>
    </row>
    <row r="403" spans="2:7" ht="26.4" x14ac:dyDescent="0.3">
      <c r="B403" s="145" t="s">
        <v>646</v>
      </c>
      <c r="C403" s="145" t="s">
        <v>346</v>
      </c>
      <c r="D403" s="146" t="s">
        <v>682</v>
      </c>
      <c r="E403" s="145" t="s">
        <v>491</v>
      </c>
      <c r="F403" s="148" t="s">
        <v>1069</v>
      </c>
      <c r="G403" s="145" t="s">
        <v>840</v>
      </c>
    </row>
    <row r="404" spans="2:7" ht="26.4" x14ac:dyDescent="0.3">
      <c r="B404" s="145" t="s">
        <v>646</v>
      </c>
      <c r="C404" s="145" t="s">
        <v>346</v>
      </c>
      <c r="D404" s="146" t="s">
        <v>682</v>
      </c>
      <c r="E404" s="145" t="s">
        <v>491</v>
      </c>
      <c r="F404" s="148" t="s">
        <v>1172</v>
      </c>
      <c r="G404" s="145" t="s">
        <v>840</v>
      </c>
    </row>
    <row r="405" spans="2:7" ht="26.4" x14ac:dyDescent="0.3">
      <c r="B405" s="145" t="s">
        <v>646</v>
      </c>
      <c r="C405" s="145" t="s">
        <v>346</v>
      </c>
      <c r="D405" s="146" t="s">
        <v>682</v>
      </c>
      <c r="E405" s="145" t="s">
        <v>491</v>
      </c>
      <c r="F405" s="148" t="s">
        <v>1260</v>
      </c>
      <c r="G405" s="145" t="s">
        <v>840</v>
      </c>
    </row>
    <row r="406" spans="2:7" ht="26.4" x14ac:dyDescent="0.3">
      <c r="B406" s="145" t="s">
        <v>646</v>
      </c>
      <c r="C406" s="145" t="s">
        <v>346</v>
      </c>
      <c r="D406" s="146" t="s">
        <v>682</v>
      </c>
      <c r="E406" s="145" t="s">
        <v>491</v>
      </c>
      <c r="F406" s="148" t="s">
        <v>1330</v>
      </c>
      <c r="G406" s="145" t="s">
        <v>840</v>
      </c>
    </row>
    <row r="407" spans="2:7" ht="26.4" x14ac:dyDescent="0.3">
      <c r="B407" s="145" t="s">
        <v>646</v>
      </c>
      <c r="C407" s="145" t="s">
        <v>346</v>
      </c>
      <c r="D407" s="146" t="s">
        <v>694</v>
      </c>
      <c r="E407" s="145" t="s">
        <v>519</v>
      </c>
      <c r="F407" s="148" t="s">
        <v>956</v>
      </c>
      <c r="G407" s="145" t="s">
        <v>841</v>
      </c>
    </row>
    <row r="408" spans="2:7" ht="26.4" x14ac:dyDescent="0.3">
      <c r="B408" s="145" t="s">
        <v>646</v>
      </c>
      <c r="C408" s="145" t="s">
        <v>346</v>
      </c>
      <c r="D408" s="146" t="s">
        <v>694</v>
      </c>
      <c r="E408" s="145" t="s">
        <v>519</v>
      </c>
      <c r="F408" s="148" t="s">
        <v>1070</v>
      </c>
      <c r="G408" s="145" t="s">
        <v>841</v>
      </c>
    </row>
    <row r="409" spans="2:7" ht="26.4" x14ac:dyDescent="0.3">
      <c r="B409" s="145" t="s">
        <v>646</v>
      </c>
      <c r="C409" s="145" t="s">
        <v>346</v>
      </c>
      <c r="D409" s="146" t="s">
        <v>694</v>
      </c>
      <c r="E409" s="145" t="s">
        <v>519</v>
      </c>
      <c r="F409" s="148" t="s">
        <v>1173</v>
      </c>
      <c r="G409" s="145" t="s">
        <v>841</v>
      </c>
    </row>
    <row r="410" spans="2:7" ht="26.4" x14ac:dyDescent="0.3">
      <c r="B410" s="145" t="s">
        <v>646</v>
      </c>
      <c r="C410" s="145" t="s">
        <v>346</v>
      </c>
      <c r="D410" s="146" t="s">
        <v>694</v>
      </c>
      <c r="E410" s="145" t="s">
        <v>519</v>
      </c>
      <c r="F410" s="148" t="s">
        <v>1261</v>
      </c>
      <c r="G410" s="145" t="s">
        <v>841</v>
      </c>
    </row>
    <row r="411" spans="2:7" ht="26.4" x14ac:dyDescent="0.3">
      <c r="B411" s="145" t="s">
        <v>646</v>
      </c>
      <c r="C411" s="145" t="s">
        <v>346</v>
      </c>
      <c r="D411" s="146" t="s">
        <v>694</v>
      </c>
      <c r="E411" s="145" t="s">
        <v>519</v>
      </c>
      <c r="F411" s="148" t="s">
        <v>1331</v>
      </c>
      <c r="G411" s="145" t="s">
        <v>841</v>
      </c>
    </row>
    <row r="412" spans="2:7" ht="26.4" x14ac:dyDescent="0.3">
      <c r="B412" s="145" t="s">
        <v>646</v>
      </c>
      <c r="C412" s="145" t="s">
        <v>346</v>
      </c>
      <c r="D412" s="146" t="s">
        <v>694</v>
      </c>
      <c r="E412" s="145" t="s">
        <v>519</v>
      </c>
      <c r="F412" s="148" t="s">
        <v>1383</v>
      </c>
      <c r="G412" s="145" t="s">
        <v>841</v>
      </c>
    </row>
    <row r="413" spans="2:7" ht="26.4" x14ac:dyDescent="0.3">
      <c r="B413" s="145" t="s">
        <v>646</v>
      </c>
      <c r="C413" s="145" t="s">
        <v>346</v>
      </c>
      <c r="D413" s="146" t="s">
        <v>694</v>
      </c>
      <c r="E413" s="145" t="s">
        <v>519</v>
      </c>
      <c r="F413" s="148" t="s">
        <v>1423</v>
      </c>
      <c r="G413" s="145" t="s">
        <v>841</v>
      </c>
    </row>
    <row r="414" spans="2:7" ht="26.4" x14ac:dyDescent="0.3">
      <c r="B414" s="145" t="s">
        <v>646</v>
      </c>
      <c r="C414" s="145" t="s">
        <v>346</v>
      </c>
      <c r="D414" s="146" t="s">
        <v>705</v>
      </c>
      <c r="E414" s="145" t="s">
        <v>545</v>
      </c>
      <c r="F414" s="148" t="s">
        <v>957</v>
      </c>
      <c r="G414" s="145" t="s">
        <v>842</v>
      </c>
    </row>
    <row r="415" spans="2:7" ht="26.4" x14ac:dyDescent="0.3">
      <c r="B415" s="145" t="s">
        <v>646</v>
      </c>
      <c r="C415" s="145" t="s">
        <v>346</v>
      </c>
      <c r="D415" s="146" t="s">
        <v>705</v>
      </c>
      <c r="E415" s="145" t="s">
        <v>545</v>
      </c>
      <c r="F415" s="148" t="s">
        <v>1071</v>
      </c>
      <c r="G415" s="145" t="s">
        <v>842</v>
      </c>
    </row>
    <row r="416" spans="2:7" ht="26.4" x14ac:dyDescent="0.3">
      <c r="B416" s="145" t="s">
        <v>646</v>
      </c>
      <c r="C416" s="145" t="s">
        <v>346</v>
      </c>
      <c r="D416" s="146" t="s">
        <v>705</v>
      </c>
      <c r="E416" s="145" t="s">
        <v>545</v>
      </c>
      <c r="F416" s="148" t="s">
        <v>1174</v>
      </c>
      <c r="G416" s="145" t="s">
        <v>842</v>
      </c>
    </row>
    <row r="417" spans="2:7" ht="26.4" x14ac:dyDescent="0.3">
      <c r="B417" s="145" t="s">
        <v>646</v>
      </c>
      <c r="C417" s="145" t="s">
        <v>346</v>
      </c>
      <c r="D417" s="146" t="s">
        <v>705</v>
      </c>
      <c r="E417" s="145" t="s">
        <v>545</v>
      </c>
      <c r="F417" s="148" t="s">
        <v>1262</v>
      </c>
      <c r="G417" s="145" t="s">
        <v>842</v>
      </c>
    </row>
    <row r="418" spans="2:7" ht="26.4" x14ac:dyDescent="0.3">
      <c r="B418" s="145" t="s">
        <v>646</v>
      </c>
      <c r="C418" s="145" t="s">
        <v>346</v>
      </c>
      <c r="D418" s="146" t="s">
        <v>705</v>
      </c>
      <c r="E418" s="145" t="s">
        <v>545</v>
      </c>
      <c r="F418" s="148" t="s">
        <v>1332</v>
      </c>
      <c r="G418" s="145" t="s">
        <v>842</v>
      </c>
    </row>
    <row r="419" spans="2:7" ht="26.4" x14ac:dyDescent="0.3">
      <c r="B419" s="145" t="s">
        <v>646</v>
      </c>
      <c r="C419" s="145" t="s">
        <v>346</v>
      </c>
      <c r="D419" s="146" t="s">
        <v>705</v>
      </c>
      <c r="E419" s="145" t="s">
        <v>545</v>
      </c>
      <c r="F419" s="148" t="s">
        <v>1384</v>
      </c>
      <c r="G419" s="145" t="s">
        <v>842</v>
      </c>
    </row>
    <row r="420" spans="2:7" ht="26.4" x14ac:dyDescent="0.3">
      <c r="B420" s="145" t="s">
        <v>646</v>
      </c>
      <c r="C420" s="145" t="s">
        <v>346</v>
      </c>
      <c r="D420" s="146" t="s">
        <v>705</v>
      </c>
      <c r="E420" s="145" t="s">
        <v>545</v>
      </c>
      <c r="F420" s="148" t="s">
        <v>1424</v>
      </c>
      <c r="G420" s="145" t="s">
        <v>842</v>
      </c>
    </row>
    <row r="421" spans="2:7" ht="39.6" x14ac:dyDescent="0.3">
      <c r="B421" s="145" t="s">
        <v>646</v>
      </c>
      <c r="C421" s="145" t="s">
        <v>346</v>
      </c>
      <c r="D421" s="146" t="s">
        <v>582</v>
      </c>
      <c r="E421" s="145" t="s">
        <v>570</v>
      </c>
      <c r="F421" s="148" t="s">
        <v>958</v>
      </c>
      <c r="G421" s="145" t="s">
        <v>843</v>
      </c>
    </row>
    <row r="422" spans="2:7" ht="39.6" x14ac:dyDescent="0.3">
      <c r="B422" s="145" t="s">
        <v>646</v>
      </c>
      <c r="C422" s="145" t="s">
        <v>346</v>
      </c>
      <c r="D422" s="146" t="s">
        <v>582</v>
      </c>
      <c r="E422" s="145" t="s">
        <v>570</v>
      </c>
      <c r="F422" s="148" t="s">
        <v>1072</v>
      </c>
      <c r="G422" s="145" t="s">
        <v>843</v>
      </c>
    </row>
    <row r="423" spans="2:7" ht="39.6" x14ac:dyDescent="0.3">
      <c r="B423" s="145" t="s">
        <v>646</v>
      </c>
      <c r="C423" s="145" t="s">
        <v>346</v>
      </c>
      <c r="D423" s="146" t="s">
        <v>582</v>
      </c>
      <c r="E423" s="145" t="s">
        <v>570</v>
      </c>
      <c r="F423" s="148" t="s">
        <v>1175</v>
      </c>
      <c r="G423" s="145" t="s">
        <v>843</v>
      </c>
    </row>
    <row r="424" spans="2:7" ht="39.6" x14ac:dyDescent="0.3">
      <c r="B424" s="145" t="s">
        <v>646</v>
      </c>
      <c r="C424" s="145" t="s">
        <v>346</v>
      </c>
      <c r="D424" s="146" t="s">
        <v>582</v>
      </c>
      <c r="E424" s="145" t="s">
        <v>570</v>
      </c>
      <c r="F424" s="148" t="s">
        <v>1263</v>
      </c>
      <c r="G424" s="145" t="s">
        <v>843</v>
      </c>
    </row>
    <row r="425" spans="2:7" ht="39.6" x14ac:dyDescent="0.3">
      <c r="B425" s="145" t="s">
        <v>646</v>
      </c>
      <c r="C425" s="145" t="s">
        <v>346</v>
      </c>
      <c r="D425" s="146" t="s">
        <v>582</v>
      </c>
      <c r="E425" s="145" t="s">
        <v>570</v>
      </c>
      <c r="F425" s="148" t="s">
        <v>1333</v>
      </c>
      <c r="G425" s="145" t="s">
        <v>843</v>
      </c>
    </row>
    <row r="426" spans="2:7" ht="39.6" x14ac:dyDescent="0.3">
      <c r="B426" s="145" t="s">
        <v>646</v>
      </c>
      <c r="C426" s="145" t="s">
        <v>346</v>
      </c>
      <c r="D426" s="146" t="s">
        <v>582</v>
      </c>
      <c r="E426" s="145" t="s">
        <v>570</v>
      </c>
      <c r="F426" s="148" t="s">
        <v>1385</v>
      </c>
      <c r="G426" s="145" t="s">
        <v>843</v>
      </c>
    </row>
    <row r="427" spans="2:7" ht="39.6" x14ac:dyDescent="0.3">
      <c r="B427" s="145" t="s">
        <v>646</v>
      </c>
      <c r="C427" s="145" t="s">
        <v>346</v>
      </c>
      <c r="D427" s="146" t="s">
        <v>582</v>
      </c>
      <c r="E427" s="145" t="s">
        <v>570</v>
      </c>
      <c r="F427" s="148" t="s">
        <v>1425</v>
      </c>
      <c r="G427" s="145" t="s">
        <v>843</v>
      </c>
    </row>
    <row r="428" spans="2:7" ht="39.6" x14ac:dyDescent="0.3">
      <c r="B428" s="145" t="s">
        <v>646</v>
      </c>
      <c r="C428" s="145" t="s">
        <v>346</v>
      </c>
      <c r="D428" s="146" t="s">
        <v>582</v>
      </c>
      <c r="E428" s="145" t="s">
        <v>570</v>
      </c>
      <c r="F428" s="148" t="s">
        <v>1456</v>
      </c>
      <c r="G428" s="145" t="s">
        <v>843</v>
      </c>
    </row>
    <row r="429" spans="2:7" ht="26.4" x14ac:dyDescent="0.3">
      <c r="B429" s="145" t="s">
        <v>646</v>
      </c>
      <c r="C429" s="145" t="s">
        <v>346</v>
      </c>
      <c r="D429" s="146" t="s">
        <v>726</v>
      </c>
      <c r="E429" s="145" t="s">
        <v>593</v>
      </c>
      <c r="F429" s="148" t="s">
        <v>959</v>
      </c>
      <c r="G429" s="145" t="s">
        <v>844</v>
      </c>
    </row>
    <row r="430" spans="2:7" ht="26.4" x14ac:dyDescent="0.3">
      <c r="B430" s="145" t="s">
        <v>646</v>
      </c>
      <c r="C430" s="145" t="s">
        <v>346</v>
      </c>
      <c r="D430" s="146" t="s">
        <v>726</v>
      </c>
      <c r="E430" s="145" t="s">
        <v>593</v>
      </c>
      <c r="F430" s="148" t="s">
        <v>1073</v>
      </c>
      <c r="G430" s="145" t="s">
        <v>844</v>
      </c>
    </row>
    <row r="431" spans="2:7" ht="26.4" x14ac:dyDescent="0.3">
      <c r="B431" s="145" t="s">
        <v>646</v>
      </c>
      <c r="C431" s="145" t="s">
        <v>346</v>
      </c>
      <c r="D431" s="146" t="s">
        <v>726</v>
      </c>
      <c r="E431" s="145" t="s">
        <v>593</v>
      </c>
      <c r="F431" s="148" t="s">
        <v>1176</v>
      </c>
      <c r="G431" s="145" t="s">
        <v>844</v>
      </c>
    </row>
    <row r="432" spans="2:7" ht="26.4" x14ac:dyDescent="0.3">
      <c r="B432" s="145" t="s">
        <v>646</v>
      </c>
      <c r="C432" s="145" t="s">
        <v>346</v>
      </c>
      <c r="D432" s="146" t="s">
        <v>726</v>
      </c>
      <c r="E432" s="145" t="s">
        <v>593</v>
      </c>
      <c r="F432" s="148" t="s">
        <v>1264</v>
      </c>
      <c r="G432" s="145" t="s">
        <v>844</v>
      </c>
    </row>
    <row r="433" spans="2:7" ht="26.4" x14ac:dyDescent="0.3">
      <c r="B433" s="145" t="s">
        <v>646</v>
      </c>
      <c r="C433" s="145" t="s">
        <v>346</v>
      </c>
      <c r="D433" s="146" t="s">
        <v>726</v>
      </c>
      <c r="E433" s="145" t="s">
        <v>593</v>
      </c>
      <c r="F433" s="148" t="s">
        <v>1334</v>
      </c>
      <c r="G433" s="145" t="s">
        <v>844</v>
      </c>
    </row>
    <row r="434" spans="2:7" ht="26.4" x14ac:dyDescent="0.3">
      <c r="B434" s="145" t="s">
        <v>646</v>
      </c>
      <c r="C434" s="145" t="s">
        <v>346</v>
      </c>
      <c r="D434" s="146" t="s">
        <v>726</v>
      </c>
      <c r="E434" s="145" t="s">
        <v>593</v>
      </c>
      <c r="F434" s="148" t="s">
        <v>1386</v>
      </c>
      <c r="G434" s="145" t="s">
        <v>844</v>
      </c>
    </row>
    <row r="435" spans="2:7" ht="26.4" x14ac:dyDescent="0.3">
      <c r="B435" s="145" t="s">
        <v>646</v>
      </c>
      <c r="C435" s="145" t="s">
        <v>346</v>
      </c>
      <c r="D435" s="146" t="s">
        <v>726</v>
      </c>
      <c r="E435" s="145" t="s">
        <v>593</v>
      </c>
      <c r="F435" s="148" t="s">
        <v>1426</v>
      </c>
      <c r="G435" s="145" t="s">
        <v>844</v>
      </c>
    </row>
    <row r="436" spans="2:7" ht="26.4" x14ac:dyDescent="0.3">
      <c r="B436" s="145" t="s">
        <v>646</v>
      </c>
      <c r="C436" s="145" t="s">
        <v>346</v>
      </c>
      <c r="D436" s="146" t="s">
        <v>726</v>
      </c>
      <c r="E436" s="145" t="s">
        <v>593</v>
      </c>
      <c r="F436" s="148" t="s">
        <v>1457</v>
      </c>
      <c r="G436" s="145" t="s">
        <v>844</v>
      </c>
    </row>
    <row r="437" spans="2:7" ht="26.4" x14ac:dyDescent="0.3">
      <c r="B437" s="145" t="s">
        <v>646</v>
      </c>
      <c r="C437" s="145" t="s">
        <v>346</v>
      </c>
      <c r="D437" s="146" t="s">
        <v>726</v>
      </c>
      <c r="E437" s="145" t="s">
        <v>593</v>
      </c>
      <c r="F437" s="148" t="s">
        <v>1478</v>
      </c>
      <c r="G437" s="145" t="s">
        <v>844</v>
      </c>
    </row>
    <row r="438" spans="2:7" ht="26.4" x14ac:dyDescent="0.3">
      <c r="B438" s="145" t="s">
        <v>646</v>
      </c>
      <c r="C438" s="145" t="s">
        <v>346</v>
      </c>
      <c r="D438" s="146" t="s">
        <v>726</v>
      </c>
      <c r="E438" s="145" t="s">
        <v>593</v>
      </c>
      <c r="F438" s="148" t="s">
        <v>1496</v>
      </c>
      <c r="G438" s="145" t="s">
        <v>844</v>
      </c>
    </row>
    <row r="439" spans="2:7" ht="26.4" x14ac:dyDescent="0.3">
      <c r="B439" s="145" t="s">
        <v>646</v>
      </c>
      <c r="C439" s="145" t="s">
        <v>346</v>
      </c>
      <c r="D439" s="146" t="s">
        <v>726</v>
      </c>
      <c r="E439" s="145" t="s">
        <v>593</v>
      </c>
      <c r="F439" s="148" t="s">
        <v>1511</v>
      </c>
      <c r="G439" s="145" t="s">
        <v>844</v>
      </c>
    </row>
    <row r="440" spans="2:7" ht="26.4" x14ac:dyDescent="0.3">
      <c r="B440" s="145" t="s">
        <v>646</v>
      </c>
      <c r="C440" s="145" t="s">
        <v>346</v>
      </c>
      <c r="D440" s="146" t="s">
        <v>726</v>
      </c>
      <c r="E440" s="145" t="s">
        <v>593</v>
      </c>
      <c r="F440" s="148" t="s">
        <v>1524</v>
      </c>
      <c r="G440" s="145" t="s">
        <v>844</v>
      </c>
    </row>
    <row r="441" spans="2:7" ht="26.4" x14ac:dyDescent="0.3">
      <c r="B441" s="145" t="s">
        <v>646</v>
      </c>
      <c r="C441" s="145" t="s">
        <v>346</v>
      </c>
      <c r="D441" s="146" t="s">
        <v>726</v>
      </c>
      <c r="E441" s="145" t="s">
        <v>593</v>
      </c>
      <c r="F441" s="148" t="s">
        <v>1536</v>
      </c>
      <c r="G441" s="145" t="s">
        <v>844</v>
      </c>
    </row>
    <row r="442" spans="2:7" ht="26.4" x14ac:dyDescent="0.3">
      <c r="B442" s="145" t="s">
        <v>646</v>
      </c>
      <c r="C442" s="145" t="s">
        <v>346</v>
      </c>
      <c r="D442" s="146" t="s">
        <v>726</v>
      </c>
      <c r="E442" s="145" t="s">
        <v>593</v>
      </c>
      <c r="F442" s="148" t="s">
        <v>1546</v>
      </c>
      <c r="G442" s="145" t="s">
        <v>844</v>
      </c>
    </row>
    <row r="443" spans="2:7" ht="26.4" x14ac:dyDescent="0.3">
      <c r="B443" s="145" t="s">
        <v>646</v>
      </c>
      <c r="C443" s="145" t="s">
        <v>346</v>
      </c>
      <c r="D443" s="146" t="s">
        <v>726</v>
      </c>
      <c r="E443" s="145" t="s">
        <v>593</v>
      </c>
      <c r="F443" s="148" t="s">
        <v>1554</v>
      </c>
      <c r="G443" s="145" t="s">
        <v>844</v>
      </c>
    </row>
    <row r="444" spans="2:7" ht="26.4" x14ac:dyDescent="0.3">
      <c r="B444" s="145" t="s">
        <v>646</v>
      </c>
      <c r="C444" s="145" t="s">
        <v>346</v>
      </c>
      <c r="D444" s="146" t="s">
        <v>726</v>
      </c>
      <c r="E444" s="145" t="s">
        <v>593</v>
      </c>
      <c r="F444" s="148" t="s">
        <v>1563</v>
      </c>
      <c r="G444" s="145" t="s">
        <v>844</v>
      </c>
    </row>
    <row r="445" spans="2:7" ht="26.4" x14ac:dyDescent="0.3">
      <c r="B445" s="145" t="s">
        <v>646</v>
      </c>
      <c r="C445" s="145" t="s">
        <v>346</v>
      </c>
      <c r="D445" s="146" t="s">
        <v>726</v>
      </c>
      <c r="E445" s="145" t="s">
        <v>593</v>
      </c>
      <c r="F445" s="148" t="s">
        <v>1571</v>
      </c>
      <c r="G445" s="145" t="s">
        <v>844</v>
      </c>
    </row>
    <row r="446" spans="2:7" ht="26.4" x14ac:dyDescent="0.3">
      <c r="B446" s="145" t="s">
        <v>646</v>
      </c>
      <c r="C446" s="145" t="s">
        <v>346</v>
      </c>
      <c r="D446" s="146" t="s">
        <v>726</v>
      </c>
      <c r="E446" s="145" t="s">
        <v>593</v>
      </c>
      <c r="F446" s="148" t="s">
        <v>1578</v>
      </c>
      <c r="G446" s="145" t="s">
        <v>844</v>
      </c>
    </row>
    <row r="447" spans="2:7" ht="26.4" x14ac:dyDescent="0.3">
      <c r="B447" s="145" t="s">
        <v>646</v>
      </c>
      <c r="C447" s="145" t="s">
        <v>346</v>
      </c>
      <c r="D447" s="146" t="s">
        <v>726</v>
      </c>
      <c r="E447" s="145" t="s">
        <v>593</v>
      </c>
      <c r="F447" s="148" t="s">
        <v>1585</v>
      </c>
      <c r="G447" s="145" t="s">
        <v>844</v>
      </c>
    </row>
    <row r="448" spans="2:7" ht="26.4" x14ac:dyDescent="0.3">
      <c r="B448" s="145" t="s">
        <v>646</v>
      </c>
      <c r="C448" s="145" t="s">
        <v>346</v>
      </c>
      <c r="D448" s="146" t="s">
        <v>726</v>
      </c>
      <c r="E448" s="145" t="s">
        <v>593</v>
      </c>
      <c r="F448" s="148" t="s">
        <v>1591</v>
      </c>
      <c r="G448" s="145" t="s">
        <v>844</v>
      </c>
    </row>
    <row r="449" spans="2:7" ht="26.4" x14ac:dyDescent="0.3">
      <c r="B449" s="145" t="s">
        <v>646</v>
      </c>
      <c r="C449" s="145" t="s">
        <v>346</v>
      </c>
      <c r="D449" s="146" t="s">
        <v>726</v>
      </c>
      <c r="E449" s="145" t="s">
        <v>593</v>
      </c>
      <c r="F449" s="148" t="s">
        <v>1597</v>
      </c>
      <c r="G449" s="145" t="s">
        <v>844</v>
      </c>
    </row>
    <row r="450" spans="2:7" ht="26.4" x14ac:dyDescent="0.3">
      <c r="B450" s="145" t="s">
        <v>646</v>
      </c>
      <c r="C450" s="145" t="s">
        <v>346</v>
      </c>
      <c r="D450" s="146" t="s">
        <v>726</v>
      </c>
      <c r="E450" s="145" t="s">
        <v>593</v>
      </c>
      <c r="F450" s="148" t="s">
        <v>1603</v>
      </c>
      <c r="G450" s="145" t="s">
        <v>844</v>
      </c>
    </row>
    <row r="451" spans="2:7" ht="26.4" x14ac:dyDescent="0.3">
      <c r="B451" s="145" t="s">
        <v>646</v>
      </c>
      <c r="C451" s="145" t="s">
        <v>346</v>
      </c>
      <c r="D451" s="146" t="s">
        <v>726</v>
      </c>
      <c r="E451" s="145" t="s">
        <v>593</v>
      </c>
      <c r="F451" s="148" t="s">
        <v>1608</v>
      </c>
      <c r="G451" s="145" t="s">
        <v>844</v>
      </c>
    </row>
    <row r="452" spans="2:7" ht="26.4" x14ac:dyDescent="0.3">
      <c r="B452" s="145" t="s">
        <v>646</v>
      </c>
      <c r="C452" s="145" t="s">
        <v>346</v>
      </c>
      <c r="D452" s="146" t="s">
        <v>726</v>
      </c>
      <c r="E452" s="145" t="s">
        <v>593</v>
      </c>
      <c r="F452" s="148" t="s">
        <v>1613</v>
      </c>
      <c r="G452" s="145" t="s">
        <v>844</v>
      </c>
    </row>
    <row r="453" spans="2:7" ht="26.4" x14ac:dyDescent="0.3">
      <c r="B453" s="145" t="s">
        <v>646</v>
      </c>
      <c r="C453" s="145" t="s">
        <v>346</v>
      </c>
      <c r="D453" s="146" t="s">
        <v>726</v>
      </c>
      <c r="E453" s="145" t="s">
        <v>593</v>
      </c>
      <c r="F453" s="148" t="s">
        <v>1617</v>
      </c>
      <c r="G453" s="145" t="s">
        <v>844</v>
      </c>
    </row>
    <row r="454" spans="2:7" ht="26.4" x14ac:dyDescent="0.3">
      <c r="B454" s="145" t="s">
        <v>646</v>
      </c>
      <c r="C454" s="145" t="s">
        <v>346</v>
      </c>
      <c r="D454" s="146" t="s">
        <v>726</v>
      </c>
      <c r="E454" s="145" t="s">
        <v>593</v>
      </c>
      <c r="F454" s="148" t="s">
        <v>1620</v>
      </c>
      <c r="G454" s="145" t="s">
        <v>844</v>
      </c>
    </row>
    <row r="455" spans="2:7" ht="26.4" x14ac:dyDescent="0.3">
      <c r="B455" s="145" t="s">
        <v>646</v>
      </c>
      <c r="C455" s="145" t="s">
        <v>346</v>
      </c>
      <c r="D455" s="146" t="s">
        <v>726</v>
      </c>
      <c r="E455" s="145" t="s">
        <v>593</v>
      </c>
      <c r="F455" s="148" t="s">
        <v>1623</v>
      </c>
      <c r="G455" s="145" t="s">
        <v>844</v>
      </c>
    </row>
    <row r="456" spans="2:7" ht="26.4" x14ac:dyDescent="0.3">
      <c r="B456" s="145" t="s">
        <v>646</v>
      </c>
      <c r="C456" s="145" t="s">
        <v>346</v>
      </c>
      <c r="D456" s="146" t="s">
        <v>726</v>
      </c>
      <c r="E456" s="145" t="s">
        <v>593</v>
      </c>
      <c r="F456" s="148" t="s">
        <v>1625</v>
      </c>
      <c r="G456" s="145" t="s">
        <v>844</v>
      </c>
    </row>
    <row r="457" spans="2:7" ht="26.4" x14ac:dyDescent="0.3">
      <c r="B457" s="145" t="s">
        <v>646</v>
      </c>
      <c r="C457" s="145" t="s">
        <v>346</v>
      </c>
      <c r="D457" s="146" t="s">
        <v>726</v>
      </c>
      <c r="E457" s="145" t="s">
        <v>593</v>
      </c>
      <c r="F457" s="148" t="s">
        <v>1627</v>
      </c>
      <c r="G457" s="145" t="s">
        <v>844</v>
      </c>
    </row>
    <row r="458" spans="2:7" ht="26.4" x14ac:dyDescent="0.3">
      <c r="B458" s="145" t="s">
        <v>646</v>
      </c>
      <c r="C458" s="145" t="s">
        <v>346</v>
      </c>
      <c r="D458" s="146" t="s">
        <v>726</v>
      </c>
      <c r="E458" s="145" t="s">
        <v>593</v>
      </c>
      <c r="F458" s="148" t="s">
        <v>1629</v>
      </c>
      <c r="G458" s="145" t="s">
        <v>844</v>
      </c>
    </row>
    <row r="459" spans="2:7" ht="26.4" x14ac:dyDescent="0.3">
      <c r="B459" s="145" t="s">
        <v>646</v>
      </c>
      <c r="C459" s="145" t="s">
        <v>346</v>
      </c>
      <c r="D459" s="146" t="s">
        <v>726</v>
      </c>
      <c r="E459" s="145" t="s">
        <v>593</v>
      </c>
      <c r="F459" s="148" t="s">
        <v>1631</v>
      </c>
      <c r="G459" s="145" t="s">
        <v>844</v>
      </c>
    </row>
    <row r="460" spans="2:7" ht="26.4" x14ac:dyDescent="0.3">
      <c r="B460" s="145" t="s">
        <v>646</v>
      </c>
      <c r="C460" s="145" t="s">
        <v>346</v>
      </c>
      <c r="D460" s="146" t="s">
        <v>726</v>
      </c>
      <c r="E460" s="145" t="s">
        <v>593</v>
      </c>
      <c r="F460" s="148" t="s">
        <v>1633</v>
      </c>
      <c r="G460" s="145" t="s">
        <v>844</v>
      </c>
    </row>
    <row r="461" spans="2:7" ht="26.4" x14ac:dyDescent="0.3">
      <c r="B461" s="145" t="s">
        <v>646</v>
      </c>
      <c r="C461" s="145" t="s">
        <v>346</v>
      </c>
      <c r="D461" s="146" t="s">
        <v>726</v>
      </c>
      <c r="E461" s="145" t="s">
        <v>593</v>
      </c>
      <c r="F461" s="148" t="s">
        <v>1634</v>
      </c>
      <c r="G461" s="145" t="s">
        <v>844</v>
      </c>
    </row>
    <row r="462" spans="2:7" ht="26.4" x14ac:dyDescent="0.3">
      <c r="B462" s="145" t="s">
        <v>646</v>
      </c>
      <c r="C462" s="145" t="s">
        <v>346</v>
      </c>
      <c r="D462" s="146" t="s">
        <v>726</v>
      </c>
      <c r="E462" s="145" t="s">
        <v>593</v>
      </c>
      <c r="F462" s="148" t="s">
        <v>1635</v>
      </c>
      <c r="G462" s="145" t="s">
        <v>844</v>
      </c>
    </row>
    <row r="463" spans="2:7" ht="26.4" x14ac:dyDescent="0.3">
      <c r="B463" s="145" t="s">
        <v>646</v>
      </c>
      <c r="C463" s="145" t="s">
        <v>346</v>
      </c>
      <c r="D463" s="146" t="s">
        <v>726</v>
      </c>
      <c r="E463" s="145" t="s">
        <v>593</v>
      </c>
      <c r="F463" s="148" t="s">
        <v>1636</v>
      </c>
      <c r="G463" s="145" t="s">
        <v>844</v>
      </c>
    </row>
    <row r="464" spans="2:7" ht="26.4" x14ac:dyDescent="0.3">
      <c r="B464" s="145" t="s">
        <v>646</v>
      </c>
      <c r="C464" s="145" t="s">
        <v>346</v>
      </c>
      <c r="D464" s="146" t="s">
        <v>726</v>
      </c>
      <c r="E464" s="145" t="s">
        <v>593</v>
      </c>
      <c r="F464" s="148" t="s">
        <v>1637</v>
      </c>
      <c r="G464" s="145" t="s">
        <v>844</v>
      </c>
    </row>
    <row r="465" spans="2:7" ht="26.4" x14ac:dyDescent="0.3">
      <c r="B465" s="145" t="s">
        <v>646</v>
      </c>
      <c r="C465" s="145" t="s">
        <v>346</v>
      </c>
      <c r="D465" s="146" t="s">
        <v>726</v>
      </c>
      <c r="E465" s="145" t="s">
        <v>593</v>
      </c>
      <c r="F465" s="148" t="s">
        <v>1638</v>
      </c>
      <c r="G465" s="145" t="s">
        <v>844</v>
      </c>
    </row>
    <row r="466" spans="2:7" ht="26.4" x14ac:dyDescent="0.3">
      <c r="B466" s="145" t="s">
        <v>646</v>
      </c>
      <c r="C466" s="145" t="s">
        <v>346</v>
      </c>
      <c r="D466" s="146" t="s">
        <v>726</v>
      </c>
      <c r="E466" s="145" t="s">
        <v>593</v>
      </c>
      <c r="F466" s="148" t="s">
        <v>1639</v>
      </c>
      <c r="G466" s="145" t="s">
        <v>844</v>
      </c>
    </row>
    <row r="467" spans="2:7" ht="26.4" x14ac:dyDescent="0.3">
      <c r="B467" s="145" t="s">
        <v>646</v>
      </c>
      <c r="C467" s="145" t="s">
        <v>346</v>
      </c>
      <c r="D467" s="146" t="s">
        <v>726</v>
      </c>
      <c r="E467" s="145" t="s">
        <v>593</v>
      </c>
      <c r="F467" s="148" t="s">
        <v>1640</v>
      </c>
      <c r="G467" s="145" t="s">
        <v>844</v>
      </c>
    </row>
    <row r="468" spans="2:7" ht="26.4" x14ac:dyDescent="0.3">
      <c r="B468" s="145" t="s">
        <v>646</v>
      </c>
      <c r="C468" s="145" t="s">
        <v>346</v>
      </c>
      <c r="D468" s="146" t="s">
        <v>726</v>
      </c>
      <c r="E468" s="145" t="s">
        <v>593</v>
      </c>
      <c r="F468" s="148" t="s">
        <v>1641</v>
      </c>
      <c r="G468" s="145" t="s">
        <v>844</v>
      </c>
    </row>
    <row r="469" spans="2:7" ht="26.4" x14ac:dyDescent="0.3">
      <c r="B469" s="145" t="s">
        <v>646</v>
      </c>
      <c r="C469" s="145" t="s">
        <v>346</v>
      </c>
      <c r="D469" s="146" t="s">
        <v>726</v>
      </c>
      <c r="E469" s="145" t="s">
        <v>593</v>
      </c>
      <c r="F469" s="148" t="s">
        <v>1642</v>
      </c>
      <c r="G469" s="145" t="s">
        <v>844</v>
      </c>
    </row>
    <row r="470" spans="2:7" ht="26.4" x14ac:dyDescent="0.3">
      <c r="B470" s="145" t="s">
        <v>646</v>
      </c>
      <c r="C470" s="145" t="s">
        <v>346</v>
      </c>
      <c r="D470" s="146" t="s">
        <v>726</v>
      </c>
      <c r="E470" s="145" t="s">
        <v>593</v>
      </c>
      <c r="F470" s="148" t="s">
        <v>1643</v>
      </c>
      <c r="G470" s="145" t="s">
        <v>844</v>
      </c>
    </row>
    <row r="471" spans="2:7" ht="26.4" x14ac:dyDescent="0.3">
      <c r="B471" s="145" t="s">
        <v>646</v>
      </c>
      <c r="C471" s="145" t="s">
        <v>346</v>
      </c>
      <c r="D471" s="146" t="s">
        <v>726</v>
      </c>
      <c r="E471" s="145" t="s">
        <v>593</v>
      </c>
      <c r="F471" s="148" t="s">
        <v>1644</v>
      </c>
      <c r="G471" s="145" t="s">
        <v>844</v>
      </c>
    </row>
    <row r="472" spans="2:7" ht="26.4" x14ac:dyDescent="0.3">
      <c r="B472" s="145" t="s">
        <v>646</v>
      </c>
      <c r="C472" s="145" t="s">
        <v>346</v>
      </c>
      <c r="D472" s="146" t="s">
        <v>726</v>
      </c>
      <c r="E472" s="145" t="s">
        <v>593</v>
      </c>
      <c r="F472" s="148" t="s">
        <v>1645</v>
      </c>
      <c r="G472" s="145" t="s">
        <v>844</v>
      </c>
    </row>
    <row r="473" spans="2:7" ht="26.4" x14ac:dyDescent="0.3">
      <c r="B473" s="145" t="s">
        <v>646</v>
      </c>
      <c r="C473" s="145" t="s">
        <v>346</v>
      </c>
      <c r="D473" s="146" t="s">
        <v>726</v>
      </c>
      <c r="E473" s="145" t="s">
        <v>593</v>
      </c>
      <c r="F473" s="148" t="s">
        <v>1646</v>
      </c>
      <c r="G473" s="145" t="s">
        <v>844</v>
      </c>
    </row>
    <row r="474" spans="2:7" ht="26.4" x14ac:dyDescent="0.3">
      <c r="B474" s="145" t="s">
        <v>646</v>
      </c>
      <c r="C474" s="145" t="s">
        <v>346</v>
      </c>
      <c r="D474" s="146" t="s">
        <v>726</v>
      </c>
      <c r="E474" s="145" t="s">
        <v>593</v>
      </c>
      <c r="F474" s="148" t="s">
        <v>1647</v>
      </c>
      <c r="G474" s="145" t="s">
        <v>844</v>
      </c>
    </row>
    <row r="475" spans="2:7" ht="26.4" x14ac:dyDescent="0.3">
      <c r="B475" s="145" t="s">
        <v>646</v>
      </c>
      <c r="C475" s="145" t="s">
        <v>346</v>
      </c>
      <c r="D475" s="146" t="s">
        <v>726</v>
      </c>
      <c r="E475" s="145" t="s">
        <v>593</v>
      </c>
      <c r="F475" s="148" t="s">
        <v>1648</v>
      </c>
      <c r="G475" s="145" t="s">
        <v>844</v>
      </c>
    </row>
    <row r="476" spans="2:7" ht="26.4" x14ac:dyDescent="0.3">
      <c r="B476" s="145" t="s">
        <v>646</v>
      </c>
      <c r="C476" s="145" t="s">
        <v>346</v>
      </c>
      <c r="D476" s="146" t="s">
        <v>726</v>
      </c>
      <c r="E476" s="145" t="s">
        <v>593</v>
      </c>
      <c r="F476" s="148" t="s">
        <v>1649</v>
      </c>
      <c r="G476" s="145" t="s">
        <v>844</v>
      </c>
    </row>
    <row r="477" spans="2:7" ht="26.4" x14ac:dyDescent="0.3">
      <c r="B477" s="145" t="s">
        <v>646</v>
      </c>
      <c r="C477" s="145" t="s">
        <v>346</v>
      </c>
      <c r="D477" s="146" t="s">
        <v>726</v>
      </c>
      <c r="E477" s="145" t="s">
        <v>593</v>
      </c>
      <c r="F477" s="148" t="s">
        <v>1650</v>
      </c>
      <c r="G477" s="145" t="s">
        <v>844</v>
      </c>
    </row>
    <row r="478" spans="2:7" ht="26.4" x14ac:dyDescent="0.3">
      <c r="B478" s="145" t="s">
        <v>647</v>
      </c>
      <c r="C478" s="145" t="s">
        <v>345</v>
      </c>
      <c r="D478" s="146" t="s">
        <v>662</v>
      </c>
      <c r="E478" s="145" t="s">
        <v>431</v>
      </c>
      <c r="F478" s="148" t="s">
        <v>960</v>
      </c>
      <c r="G478" s="145" t="s">
        <v>845</v>
      </c>
    </row>
    <row r="479" spans="2:7" ht="26.4" x14ac:dyDescent="0.3">
      <c r="B479" s="145" t="s">
        <v>647</v>
      </c>
      <c r="C479" s="145" t="s">
        <v>345</v>
      </c>
      <c r="D479" s="146" t="s">
        <v>662</v>
      </c>
      <c r="E479" s="145" t="s">
        <v>431</v>
      </c>
      <c r="F479" s="148" t="s">
        <v>1074</v>
      </c>
      <c r="G479" s="145" t="s">
        <v>845</v>
      </c>
    </row>
    <row r="480" spans="2:7" ht="26.4" x14ac:dyDescent="0.3">
      <c r="B480" s="145" t="s">
        <v>647</v>
      </c>
      <c r="C480" s="145" t="s">
        <v>345</v>
      </c>
      <c r="D480" s="146" t="s">
        <v>662</v>
      </c>
      <c r="E480" s="145" t="s">
        <v>431</v>
      </c>
      <c r="F480" s="148" t="s">
        <v>1177</v>
      </c>
      <c r="G480" s="145" t="s">
        <v>845</v>
      </c>
    </row>
    <row r="481" spans="2:7" ht="26.4" x14ac:dyDescent="0.3">
      <c r="B481" s="145" t="s">
        <v>647</v>
      </c>
      <c r="C481" s="145" t="s">
        <v>345</v>
      </c>
      <c r="D481" s="146" t="s">
        <v>662</v>
      </c>
      <c r="E481" s="145" t="s">
        <v>431</v>
      </c>
      <c r="F481" s="148" t="s">
        <v>1265</v>
      </c>
      <c r="G481" s="145" t="s">
        <v>845</v>
      </c>
    </row>
    <row r="482" spans="2:7" ht="26.4" x14ac:dyDescent="0.3">
      <c r="B482" s="145" t="s">
        <v>647</v>
      </c>
      <c r="C482" s="145" t="s">
        <v>345</v>
      </c>
      <c r="D482" s="146" t="s">
        <v>662</v>
      </c>
      <c r="E482" s="145" t="s">
        <v>431</v>
      </c>
      <c r="F482" s="148" t="s">
        <v>1335</v>
      </c>
      <c r="G482" s="145" t="s">
        <v>845</v>
      </c>
    </row>
    <row r="483" spans="2:7" ht="26.4" x14ac:dyDescent="0.3">
      <c r="B483" s="145" t="s">
        <v>647</v>
      </c>
      <c r="C483" s="145" t="s">
        <v>345</v>
      </c>
      <c r="D483" s="146" t="s">
        <v>662</v>
      </c>
      <c r="E483" s="145" t="s">
        <v>431</v>
      </c>
      <c r="F483" s="148" t="s">
        <v>1387</v>
      </c>
      <c r="G483" s="145" t="s">
        <v>845</v>
      </c>
    </row>
    <row r="484" spans="2:7" ht="26.4" x14ac:dyDescent="0.3">
      <c r="B484" s="145" t="s">
        <v>647</v>
      </c>
      <c r="C484" s="145" t="s">
        <v>345</v>
      </c>
      <c r="D484" s="146" t="s">
        <v>662</v>
      </c>
      <c r="E484" s="145" t="s">
        <v>431</v>
      </c>
      <c r="F484" s="148" t="s">
        <v>1427</v>
      </c>
      <c r="G484" s="145" t="s">
        <v>845</v>
      </c>
    </row>
    <row r="485" spans="2:7" ht="26.4" x14ac:dyDescent="0.3">
      <c r="B485" s="145" t="s">
        <v>647</v>
      </c>
      <c r="C485" s="145" t="s">
        <v>345</v>
      </c>
      <c r="D485" s="146" t="s">
        <v>662</v>
      </c>
      <c r="E485" s="145" t="s">
        <v>431</v>
      </c>
      <c r="F485" s="148" t="s">
        <v>1458</v>
      </c>
      <c r="G485" s="145" t="s">
        <v>845</v>
      </c>
    </row>
    <row r="486" spans="2:7" ht="52.8" x14ac:dyDescent="0.3">
      <c r="B486" s="145" t="s">
        <v>647</v>
      </c>
      <c r="C486" s="145" t="s">
        <v>345</v>
      </c>
      <c r="D486" s="146" t="s">
        <v>670</v>
      </c>
      <c r="E486" s="145" t="s">
        <v>462</v>
      </c>
      <c r="F486" s="148" t="s">
        <v>961</v>
      </c>
      <c r="G486" s="145" t="s">
        <v>846</v>
      </c>
    </row>
    <row r="487" spans="2:7" ht="52.8" x14ac:dyDescent="0.3">
      <c r="B487" s="145" t="s">
        <v>647</v>
      </c>
      <c r="C487" s="145" t="s">
        <v>345</v>
      </c>
      <c r="D487" s="146" t="s">
        <v>670</v>
      </c>
      <c r="E487" s="145" t="s">
        <v>462</v>
      </c>
      <c r="F487" s="148" t="s">
        <v>1075</v>
      </c>
      <c r="G487" s="145" t="s">
        <v>846</v>
      </c>
    </row>
    <row r="488" spans="2:7" ht="52.8" x14ac:dyDescent="0.3">
      <c r="B488" s="145" t="s">
        <v>647</v>
      </c>
      <c r="C488" s="145" t="s">
        <v>345</v>
      </c>
      <c r="D488" s="146" t="s">
        <v>670</v>
      </c>
      <c r="E488" s="145" t="s">
        <v>462</v>
      </c>
      <c r="F488" s="148" t="s">
        <v>1178</v>
      </c>
      <c r="G488" s="145" t="s">
        <v>846</v>
      </c>
    </row>
    <row r="489" spans="2:7" ht="52.8" x14ac:dyDescent="0.3">
      <c r="B489" s="145" t="s">
        <v>647</v>
      </c>
      <c r="C489" s="145" t="s">
        <v>345</v>
      </c>
      <c r="D489" s="146" t="s">
        <v>670</v>
      </c>
      <c r="E489" s="145" t="s">
        <v>462</v>
      </c>
      <c r="F489" s="148" t="s">
        <v>1266</v>
      </c>
      <c r="G489" s="145" t="s">
        <v>846</v>
      </c>
    </row>
    <row r="490" spans="2:7" ht="52.8" x14ac:dyDescent="0.3">
      <c r="B490" s="145" t="s">
        <v>647</v>
      </c>
      <c r="C490" s="145" t="s">
        <v>345</v>
      </c>
      <c r="D490" s="146" t="s">
        <v>670</v>
      </c>
      <c r="E490" s="145" t="s">
        <v>462</v>
      </c>
      <c r="F490" s="148" t="s">
        <v>1336</v>
      </c>
      <c r="G490" s="145" t="s">
        <v>846</v>
      </c>
    </row>
    <row r="491" spans="2:7" ht="52.8" x14ac:dyDescent="0.3">
      <c r="B491" s="145" t="s">
        <v>647</v>
      </c>
      <c r="C491" s="145" t="s">
        <v>345</v>
      </c>
      <c r="D491" s="146" t="s">
        <v>670</v>
      </c>
      <c r="E491" s="145" t="s">
        <v>462</v>
      </c>
      <c r="F491" s="148" t="s">
        <v>1388</v>
      </c>
      <c r="G491" s="145" t="s">
        <v>846</v>
      </c>
    </row>
    <row r="492" spans="2:7" ht="52.8" x14ac:dyDescent="0.3">
      <c r="B492" s="145" t="s">
        <v>647</v>
      </c>
      <c r="C492" s="145" t="s">
        <v>345</v>
      </c>
      <c r="D492" s="146" t="s">
        <v>670</v>
      </c>
      <c r="E492" s="145" t="s">
        <v>462</v>
      </c>
      <c r="F492" s="148" t="s">
        <v>1428</v>
      </c>
      <c r="G492" s="145" t="s">
        <v>846</v>
      </c>
    </row>
    <row r="493" spans="2:7" ht="52.8" x14ac:dyDescent="0.3">
      <c r="B493" s="145" t="s">
        <v>647</v>
      </c>
      <c r="C493" s="145" t="s">
        <v>345</v>
      </c>
      <c r="D493" s="146" t="s">
        <v>670</v>
      </c>
      <c r="E493" s="145" t="s">
        <v>462</v>
      </c>
      <c r="F493" s="148" t="s">
        <v>1459</v>
      </c>
      <c r="G493" s="145" t="s">
        <v>846</v>
      </c>
    </row>
    <row r="494" spans="2:7" ht="52.8" x14ac:dyDescent="0.3">
      <c r="B494" s="145" t="s">
        <v>647</v>
      </c>
      <c r="C494" s="145" t="s">
        <v>345</v>
      </c>
      <c r="D494" s="146" t="s">
        <v>670</v>
      </c>
      <c r="E494" s="145" t="s">
        <v>462</v>
      </c>
      <c r="F494" s="148" t="s">
        <v>1479</v>
      </c>
      <c r="G494" s="145" t="s">
        <v>846</v>
      </c>
    </row>
    <row r="495" spans="2:7" ht="52.8" x14ac:dyDescent="0.3">
      <c r="B495" s="145" t="s">
        <v>647</v>
      </c>
      <c r="C495" s="145" t="s">
        <v>345</v>
      </c>
      <c r="D495" s="146" t="s">
        <v>670</v>
      </c>
      <c r="E495" s="145" t="s">
        <v>462</v>
      </c>
      <c r="F495" s="148" t="s">
        <v>1497</v>
      </c>
      <c r="G495" s="145" t="s">
        <v>846</v>
      </c>
    </row>
    <row r="496" spans="2:7" ht="52.8" x14ac:dyDescent="0.3">
      <c r="B496" s="145" t="s">
        <v>647</v>
      </c>
      <c r="C496" s="145" t="s">
        <v>345</v>
      </c>
      <c r="D496" s="146" t="s">
        <v>670</v>
      </c>
      <c r="E496" s="145" t="s">
        <v>462</v>
      </c>
      <c r="F496" s="148" t="s">
        <v>1512</v>
      </c>
      <c r="G496" s="145" t="s">
        <v>846</v>
      </c>
    </row>
    <row r="497" spans="2:7" ht="52.8" x14ac:dyDescent="0.3">
      <c r="B497" s="145" t="s">
        <v>647</v>
      </c>
      <c r="C497" s="145" t="s">
        <v>345</v>
      </c>
      <c r="D497" s="146" t="s">
        <v>670</v>
      </c>
      <c r="E497" s="145" t="s">
        <v>462</v>
      </c>
      <c r="F497" s="148" t="s">
        <v>1525</v>
      </c>
      <c r="G497" s="145" t="s">
        <v>846</v>
      </c>
    </row>
    <row r="498" spans="2:7" ht="39.6" x14ac:dyDescent="0.3">
      <c r="B498" s="145" t="s">
        <v>647</v>
      </c>
      <c r="C498" s="145" t="s">
        <v>345</v>
      </c>
      <c r="D498" s="146" t="s">
        <v>683</v>
      </c>
      <c r="E498" s="145" t="s">
        <v>492</v>
      </c>
      <c r="F498" s="148" t="s">
        <v>962</v>
      </c>
      <c r="G498" s="145" t="s">
        <v>847</v>
      </c>
    </row>
    <row r="499" spans="2:7" ht="39.6" x14ac:dyDescent="0.3">
      <c r="B499" s="145" t="s">
        <v>647</v>
      </c>
      <c r="C499" s="145" t="s">
        <v>345</v>
      </c>
      <c r="D499" s="146" t="s">
        <v>683</v>
      </c>
      <c r="E499" s="145" t="s">
        <v>492</v>
      </c>
      <c r="F499" s="148" t="s">
        <v>1076</v>
      </c>
      <c r="G499" s="145" t="s">
        <v>847</v>
      </c>
    </row>
    <row r="500" spans="2:7" ht="39.6" x14ac:dyDescent="0.3">
      <c r="B500" s="145" t="s">
        <v>647</v>
      </c>
      <c r="C500" s="145" t="s">
        <v>345</v>
      </c>
      <c r="D500" s="146" t="s">
        <v>683</v>
      </c>
      <c r="E500" s="145" t="s">
        <v>492</v>
      </c>
      <c r="F500" s="148" t="s">
        <v>1179</v>
      </c>
      <c r="G500" s="145" t="s">
        <v>847</v>
      </c>
    </row>
    <row r="501" spans="2:7" ht="39.6" x14ac:dyDescent="0.3">
      <c r="B501" s="145" t="s">
        <v>647</v>
      </c>
      <c r="C501" s="145" t="s">
        <v>345</v>
      </c>
      <c r="D501" s="146" t="s">
        <v>683</v>
      </c>
      <c r="E501" s="145" t="s">
        <v>492</v>
      </c>
      <c r="F501" s="148" t="s">
        <v>1267</v>
      </c>
      <c r="G501" s="145" t="s">
        <v>847</v>
      </c>
    </row>
    <row r="502" spans="2:7" ht="39.6" x14ac:dyDescent="0.3">
      <c r="B502" s="145" t="s">
        <v>647</v>
      </c>
      <c r="C502" s="145" t="s">
        <v>345</v>
      </c>
      <c r="D502" s="146" t="s">
        <v>683</v>
      </c>
      <c r="E502" s="145" t="s">
        <v>492</v>
      </c>
      <c r="F502" s="148" t="s">
        <v>1337</v>
      </c>
      <c r="G502" s="145" t="s">
        <v>847</v>
      </c>
    </row>
    <row r="503" spans="2:7" ht="39.6" x14ac:dyDescent="0.3">
      <c r="B503" s="145" t="s">
        <v>647</v>
      </c>
      <c r="C503" s="145" t="s">
        <v>345</v>
      </c>
      <c r="D503" s="146" t="s">
        <v>683</v>
      </c>
      <c r="E503" s="145" t="s">
        <v>492</v>
      </c>
      <c r="F503" s="148" t="s">
        <v>1389</v>
      </c>
      <c r="G503" s="145" t="s">
        <v>847</v>
      </c>
    </row>
    <row r="504" spans="2:7" ht="39.6" x14ac:dyDescent="0.3">
      <c r="B504" s="145" t="s">
        <v>647</v>
      </c>
      <c r="C504" s="145" t="s">
        <v>345</v>
      </c>
      <c r="D504" s="146" t="s">
        <v>683</v>
      </c>
      <c r="E504" s="145" t="s">
        <v>492</v>
      </c>
      <c r="F504" s="148" t="s">
        <v>1429</v>
      </c>
      <c r="G504" s="145" t="s">
        <v>847</v>
      </c>
    </row>
    <row r="505" spans="2:7" x14ac:dyDescent="0.3">
      <c r="B505" s="145" t="s">
        <v>647</v>
      </c>
      <c r="C505" s="145" t="s">
        <v>345</v>
      </c>
      <c r="D505" s="146" t="s">
        <v>695</v>
      </c>
      <c r="E505" s="145" t="s">
        <v>520</v>
      </c>
      <c r="F505" s="148" t="s">
        <v>963</v>
      </c>
      <c r="G505" s="145" t="s">
        <v>848</v>
      </c>
    </row>
    <row r="506" spans="2:7" x14ac:dyDescent="0.3">
      <c r="B506" s="145" t="s">
        <v>647</v>
      </c>
      <c r="C506" s="145" t="s">
        <v>345</v>
      </c>
      <c r="D506" s="146" t="s">
        <v>695</v>
      </c>
      <c r="E506" s="145" t="s">
        <v>520</v>
      </c>
      <c r="F506" s="148" t="s">
        <v>1077</v>
      </c>
      <c r="G506" s="145" t="s">
        <v>848</v>
      </c>
    </row>
    <row r="507" spans="2:7" x14ac:dyDescent="0.3">
      <c r="B507" s="145" t="s">
        <v>647</v>
      </c>
      <c r="C507" s="145" t="s">
        <v>345</v>
      </c>
      <c r="D507" s="146" t="s">
        <v>695</v>
      </c>
      <c r="E507" s="145" t="s">
        <v>520</v>
      </c>
      <c r="F507" s="148" t="s">
        <v>1180</v>
      </c>
      <c r="G507" s="145" t="s">
        <v>848</v>
      </c>
    </row>
    <row r="508" spans="2:7" x14ac:dyDescent="0.3">
      <c r="B508" s="145" t="s">
        <v>647</v>
      </c>
      <c r="C508" s="145" t="s">
        <v>345</v>
      </c>
      <c r="D508" s="146" t="s">
        <v>695</v>
      </c>
      <c r="E508" s="145" t="s">
        <v>520</v>
      </c>
      <c r="F508" s="148" t="s">
        <v>1268</v>
      </c>
      <c r="G508" s="145" t="s">
        <v>848</v>
      </c>
    </row>
    <row r="509" spans="2:7" x14ac:dyDescent="0.3">
      <c r="B509" s="145" t="s">
        <v>647</v>
      </c>
      <c r="C509" s="145" t="s">
        <v>345</v>
      </c>
      <c r="D509" s="146" t="s">
        <v>706</v>
      </c>
      <c r="E509" s="145" t="s">
        <v>546</v>
      </c>
      <c r="F509" s="148" t="s">
        <v>964</v>
      </c>
      <c r="G509" s="145" t="s">
        <v>849</v>
      </c>
    </row>
    <row r="510" spans="2:7" x14ac:dyDescent="0.3">
      <c r="B510" s="145" t="s">
        <v>647</v>
      </c>
      <c r="C510" s="145" t="s">
        <v>345</v>
      </c>
      <c r="D510" s="146" t="s">
        <v>706</v>
      </c>
      <c r="E510" s="145" t="s">
        <v>546</v>
      </c>
      <c r="F510" s="148" t="s">
        <v>1078</v>
      </c>
      <c r="G510" s="145" t="s">
        <v>849</v>
      </c>
    </row>
    <row r="511" spans="2:7" x14ac:dyDescent="0.3">
      <c r="B511" s="145" t="s">
        <v>647</v>
      </c>
      <c r="C511" s="145" t="s">
        <v>345</v>
      </c>
      <c r="D511" s="146" t="s">
        <v>706</v>
      </c>
      <c r="E511" s="145" t="s">
        <v>546</v>
      </c>
      <c r="F511" s="148" t="s">
        <v>1181</v>
      </c>
      <c r="G511" s="145" t="s">
        <v>849</v>
      </c>
    </row>
    <row r="512" spans="2:7" x14ac:dyDescent="0.3">
      <c r="B512" s="145" t="s">
        <v>647</v>
      </c>
      <c r="C512" s="145" t="s">
        <v>345</v>
      </c>
      <c r="D512" s="146" t="s">
        <v>706</v>
      </c>
      <c r="E512" s="145" t="s">
        <v>546</v>
      </c>
      <c r="F512" s="148" t="s">
        <v>1269</v>
      </c>
      <c r="G512" s="145" t="s">
        <v>849</v>
      </c>
    </row>
    <row r="513" spans="2:7" x14ac:dyDescent="0.3">
      <c r="B513" s="145" t="s">
        <v>647</v>
      </c>
      <c r="C513" s="145" t="s">
        <v>345</v>
      </c>
      <c r="D513" s="146" t="s">
        <v>706</v>
      </c>
      <c r="E513" s="145" t="s">
        <v>546</v>
      </c>
      <c r="F513" s="148" t="s">
        <v>1338</v>
      </c>
      <c r="G513" s="145" t="s">
        <v>849</v>
      </c>
    </row>
    <row r="514" spans="2:7" x14ac:dyDescent="0.3">
      <c r="B514" s="145" t="s">
        <v>647</v>
      </c>
      <c r="C514" s="145" t="s">
        <v>345</v>
      </c>
      <c r="D514" s="146" t="s">
        <v>706</v>
      </c>
      <c r="E514" s="145" t="s">
        <v>546</v>
      </c>
      <c r="F514" s="148" t="s">
        <v>1390</v>
      </c>
      <c r="G514" s="145" t="s">
        <v>849</v>
      </c>
    </row>
    <row r="515" spans="2:7" x14ac:dyDescent="0.3">
      <c r="B515" s="145" t="s">
        <v>647</v>
      </c>
      <c r="C515" s="145" t="s">
        <v>345</v>
      </c>
      <c r="D515" s="146" t="s">
        <v>706</v>
      </c>
      <c r="E515" s="145" t="s">
        <v>546</v>
      </c>
      <c r="F515" s="148" t="s">
        <v>1430</v>
      </c>
      <c r="G515" s="145" t="s">
        <v>849</v>
      </c>
    </row>
    <row r="516" spans="2:7" x14ac:dyDescent="0.3">
      <c r="B516" s="145" t="s">
        <v>647</v>
      </c>
      <c r="C516" s="145" t="s">
        <v>345</v>
      </c>
      <c r="D516" s="146" t="s">
        <v>706</v>
      </c>
      <c r="E516" s="145" t="s">
        <v>546</v>
      </c>
      <c r="F516" s="148" t="s">
        <v>1460</v>
      </c>
      <c r="G516" s="145" t="s">
        <v>849</v>
      </c>
    </row>
    <row r="517" spans="2:7" x14ac:dyDescent="0.3">
      <c r="B517" s="145" t="s">
        <v>647</v>
      </c>
      <c r="C517" s="145" t="s">
        <v>345</v>
      </c>
      <c r="D517" s="146" t="s">
        <v>706</v>
      </c>
      <c r="E517" s="145" t="s">
        <v>546</v>
      </c>
      <c r="F517" s="148" t="s">
        <v>1480</v>
      </c>
      <c r="G517" s="145" t="s">
        <v>849</v>
      </c>
    </row>
    <row r="518" spans="2:7" x14ac:dyDescent="0.3">
      <c r="B518" s="145" t="s">
        <v>647</v>
      </c>
      <c r="C518" s="145" t="s">
        <v>345</v>
      </c>
      <c r="D518" s="146" t="s">
        <v>706</v>
      </c>
      <c r="E518" s="145" t="s">
        <v>546</v>
      </c>
      <c r="F518" s="148" t="s">
        <v>1498</v>
      </c>
      <c r="G518" s="145" t="s">
        <v>849</v>
      </c>
    </row>
    <row r="519" spans="2:7" ht="39.6" x14ac:dyDescent="0.3">
      <c r="B519" s="145" t="s">
        <v>647</v>
      </c>
      <c r="C519" s="145" t="s">
        <v>345</v>
      </c>
      <c r="D519" s="146" t="s">
        <v>716</v>
      </c>
      <c r="E519" s="145" t="s">
        <v>571</v>
      </c>
      <c r="F519" s="148" t="s">
        <v>965</v>
      </c>
      <c r="G519" s="145" t="s">
        <v>850</v>
      </c>
    </row>
    <row r="520" spans="2:7" ht="39.6" x14ac:dyDescent="0.3">
      <c r="B520" s="145" t="s">
        <v>647</v>
      </c>
      <c r="C520" s="145" t="s">
        <v>345</v>
      </c>
      <c r="D520" s="146" t="s">
        <v>716</v>
      </c>
      <c r="E520" s="145" t="s">
        <v>571</v>
      </c>
      <c r="F520" s="148" t="s">
        <v>1079</v>
      </c>
      <c r="G520" s="145" t="s">
        <v>850</v>
      </c>
    </row>
    <row r="521" spans="2:7" ht="39.6" x14ac:dyDescent="0.3">
      <c r="B521" s="145" t="s">
        <v>647</v>
      </c>
      <c r="C521" s="145" t="s">
        <v>345</v>
      </c>
      <c r="D521" s="146" t="s">
        <v>716</v>
      </c>
      <c r="E521" s="145" t="s">
        <v>571</v>
      </c>
      <c r="F521" s="148" t="s">
        <v>1182</v>
      </c>
      <c r="G521" s="145" t="s">
        <v>850</v>
      </c>
    </row>
    <row r="522" spans="2:7" ht="39.6" x14ac:dyDescent="0.3">
      <c r="B522" s="145" t="s">
        <v>647</v>
      </c>
      <c r="C522" s="145" t="s">
        <v>345</v>
      </c>
      <c r="D522" s="146" t="s">
        <v>716</v>
      </c>
      <c r="E522" s="145" t="s">
        <v>571</v>
      </c>
      <c r="F522" s="148" t="s">
        <v>1270</v>
      </c>
      <c r="G522" s="145" t="s">
        <v>850</v>
      </c>
    </row>
    <row r="523" spans="2:7" ht="39.6" x14ac:dyDescent="0.3">
      <c r="B523" s="145" t="s">
        <v>647</v>
      </c>
      <c r="C523" s="145" t="s">
        <v>345</v>
      </c>
      <c r="D523" s="146" t="s">
        <v>716</v>
      </c>
      <c r="E523" s="145" t="s">
        <v>571</v>
      </c>
      <c r="F523" s="148" t="s">
        <v>1339</v>
      </c>
      <c r="G523" s="145" t="s">
        <v>850</v>
      </c>
    </row>
    <row r="524" spans="2:7" ht="39.6" x14ac:dyDescent="0.3">
      <c r="B524" s="145" t="s">
        <v>647</v>
      </c>
      <c r="C524" s="145" t="s">
        <v>345</v>
      </c>
      <c r="D524" s="146" t="s">
        <v>716</v>
      </c>
      <c r="E524" s="145" t="s">
        <v>571</v>
      </c>
      <c r="F524" s="148" t="s">
        <v>1391</v>
      </c>
      <c r="G524" s="145" t="s">
        <v>850</v>
      </c>
    </row>
    <row r="525" spans="2:7" ht="39.6" x14ac:dyDescent="0.3">
      <c r="B525" s="145" t="s">
        <v>647</v>
      </c>
      <c r="C525" s="145" t="s">
        <v>345</v>
      </c>
      <c r="D525" s="146" t="s">
        <v>716</v>
      </c>
      <c r="E525" s="145" t="s">
        <v>571</v>
      </c>
      <c r="F525" s="148" t="s">
        <v>1431</v>
      </c>
      <c r="G525" s="145" t="s">
        <v>850</v>
      </c>
    </row>
    <row r="526" spans="2:7" ht="26.4" x14ac:dyDescent="0.3">
      <c r="B526" s="145" t="s">
        <v>647</v>
      </c>
      <c r="C526" s="145" t="s">
        <v>345</v>
      </c>
      <c r="D526" s="146" t="s">
        <v>727</v>
      </c>
      <c r="E526" s="145" t="s">
        <v>594</v>
      </c>
      <c r="F526" s="148" t="s">
        <v>966</v>
      </c>
      <c r="G526" s="145" t="s">
        <v>851</v>
      </c>
    </row>
    <row r="527" spans="2:7" ht="26.4" x14ac:dyDescent="0.3">
      <c r="B527" s="145" t="s">
        <v>647</v>
      </c>
      <c r="C527" s="145" t="s">
        <v>345</v>
      </c>
      <c r="D527" s="146" t="s">
        <v>727</v>
      </c>
      <c r="E527" s="145" t="s">
        <v>594</v>
      </c>
      <c r="F527" s="148" t="s">
        <v>1080</v>
      </c>
      <c r="G527" s="145" t="s">
        <v>851</v>
      </c>
    </row>
    <row r="528" spans="2:7" ht="26.4" x14ac:dyDescent="0.3">
      <c r="B528" s="145" t="s">
        <v>647</v>
      </c>
      <c r="C528" s="145" t="s">
        <v>345</v>
      </c>
      <c r="D528" s="146" t="s">
        <v>727</v>
      </c>
      <c r="E528" s="145" t="s">
        <v>594</v>
      </c>
      <c r="F528" s="148" t="s">
        <v>1183</v>
      </c>
      <c r="G528" s="145" t="s">
        <v>851</v>
      </c>
    </row>
    <row r="529" spans="2:7" ht="26.4" x14ac:dyDescent="0.3">
      <c r="B529" s="145" t="s">
        <v>647</v>
      </c>
      <c r="C529" s="145" t="s">
        <v>345</v>
      </c>
      <c r="D529" s="146" t="s">
        <v>727</v>
      </c>
      <c r="E529" s="145" t="s">
        <v>594</v>
      </c>
      <c r="F529" s="148" t="s">
        <v>1271</v>
      </c>
      <c r="G529" s="145" t="s">
        <v>851</v>
      </c>
    </row>
    <row r="530" spans="2:7" ht="26.4" x14ac:dyDescent="0.3">
      <c r="B530" s="145" t="s">
        <v>647</v>
      </c>
      <c r="C530" s="145" t="s">
        <v>345</v>
      </c>
      <c r="D530" s="146" t="s">
        <v>727</v>
      </c>
      <c r="E530" s="145" t="s">
        <v>594</v>
      </c>
      <c r="F530" s="148" t="s">
        <v>1340</v>
      </c>
      <c r="G530" s="145" t="s">
        <v>851</v>
      </c>
    </row>
    <row r="531" spans="2:7" ht="26.4" x14ac:dyDescent="0.3">
      <c r="B531" s="145" t="s">
        <v>647</v>
      </c>
      <c r="C531" s="145" t="s">
        <v>345</v>
      </c>
      <c r="D531" s="146" t="s">
        <v>727</v>
      </c>
      <c r="E531" s="145" t="s">
        <v>594</v>
      </c>
      <c r="F531" s="148" t="s">
        <v>1392</v>
      </c>
      <c r="G531" s="145" t="s">
        <v>851</v>
      </c>
    </row>
    <row r="532" spans="2:7" ht="26.4" x14ac:dyDescent="0.3">
      <c r="B532" s="145" t="s">
        <v>647</v>
      </c>
      <c r="C532" s="145" t="s">
        <v>345</v>
      </c>
      <c r="D532" s="146" t="s">
        <v>727</v>
      </c>
      <c r="E532" s="145" t="s">
        <v>594</v>
      </c>
      <c r="F532" s="148" t="s">
        <v>1432</v>
      </c>
      <c r="G532" s="145" t="s">
        <v>851</v>
      </c>
    </row>
    <row r="533" spans="2:7" ht="26.4" x14ac:dyDescent="0.3">
      <c r="B533" s="145" t="s">
        <v>647</v>
      </c>
      <c r="C533" s="145" t="s">
        <v>345</v>
      </c>
      <c r="D533" s="146" t="s">
        <v>727</v>
      </c>
      <c r="E533" s="145" t="s">
        <v>594</v>
      </c>
      <c r="F533" s="148" t="s">
        <v>1461</v>
      </c>
      <c r="G533" s="145" t="s">
        <v>851</v>
      </c>
    </row>
    <row r="534" spans="2:7" ht="39.6" x14ac:dyDescent="0.3">
      <c r="B534" s="145" t="s">
        <v>647</v>
      </c>
      <c r="C534" s="145" t="s">
        <v>345</v>
      </c>
      <c r="D534" s="146" t="s">
        <v>734</v>
      </c>
      <c r="E534" s="145" t="s">
        <v>612</v>
      </c>
      <c r="F534" s="148" t="s">
        <v>967</v>
      </c>
      <c r="G534" s="145" t="s">
        <v>852</v>
      </c>
    </row>
    <row r="535" spans="2:7" ht="39.6" x14ac:dyDescent="0.3">
      <c r="B535" s="145" t="s">
        <v>647</v>
      </c>
      <c r="C535" s="145" t="s">
        <v>345</v>
      </c>
      <c r="D535" s="146" t="s">
        <v>734</v>
      </c>
      <c r="E535" s="145" t="s">
        <v>612</v>
      </c>
      <c r="F535" s="148" t="s">
        <v>1081</v>
      </c>
      <c r="G535" s="145" t="s">
        <v>852</v>
      </c>
    </row>
    <row r="536" spans="2:7" ht="39.6" x14ac:dyDescent="0.3">
      <c r="B536" s="145" t="s">
        <v>647</v>
      </c>
      <c r="C536" s="145" t="s">
        <v>345</v>
      </c>
      <c r="D536" s="146" t="s">
        <v>734</v>
      </c>
      <c r="E536" s="145" t="s">
        <v>612</v>
      </c>
      <c r="F536" s="148" t="s">
        <v>1184</v>
      </c>
      <c r="G536" s="145" t="s">
        <v>852</v>
      </c>
    </row>
    <row r="537" spans="2:7" ht="39.6" x14ac:dyDescent="0.3">
      <c r="B537" s="145" t="s">
        <v>647</v>
      </c>
      <c r="C537" s="145" t="s">
        <v>345</v>
      </c>
      <c r="D537" s="146" t="s">
        <v>734</v>
      </c>
      <c r="E537" s="145" t="s">
        <v>612</v>
      </c>
      <c r="F537" s="148" t="s">
        <v>1272</v>
      </c>
      <c r="G537" s="145" t="s">
        <v>852</v>
      </c>
    </row>
    <row r="538" spans="2:7" ht="39.6" x14ac:dyDescent="0.3">
      <c r="B538" s="145" t="s">
        <v>647</v>
      </c>
      <c r="C538" s="145" t="s">
        <v>345</v>
      </c>
      <c r="D538" s="146" t="s">
        <v>734</v>
      </c>
      <c r="E538" s="145" t="s">
        <v>612</v>
      </c>
      <c r="F538" s="148" t="s">
        <v>1341</v>
      </c>
      <c r="G538" s="145" t="s">
        <v>852</v>
      </c>
    </row>
    <row r="539" spans="2:7" ht="26.4" x14ac:dyDescent="0.3">
      <c r="B539" s="145" t="s">
        <v>647</v>
      </c>
      <c r="C539" s="145" t="s">
        <v>417</v>
      </c>
      <c r="D539" s="146" t="s">
        <v>447</v>
      </c>
      <c r="E539" s="145" t="s">
        <v>432</v>
      </c>
      <c r="F539" s="148" t="s">
        <v>968</v>
      </c>
      <c r="G539" s="145" t="s">
        <v>853</v>
      </c>
    </row>
    <row r="540" spans="2:7" ht="26.4" x14ac:dyDescent="0.3">
      <c r="B540" s="145" t="s">
        <v>647</v>
      </c>
      <c r="C540" s="145" t="s">
        <v>417</v>
      </c>
      <c r="D540" s="146" t="s">
        <v>447</v>
      </c>
      <c r="E540" s="145" t="s">
        <v>432</v>
      </c>
      <c r="F540" s="148" t="s">
        <v>1082</v>
      </c>
      <c r="G540" s="145" t="s">
        <v>853</v>
      </c>
    </row>
    <row r="541" spans="2:7" ht="26.4" x14ac:dyDescent="0.3">
      <c r="B541" s="145" t="s">
        <v>647</v>
      </c>
      <c r="C541" s="145" t="s">
        <v>417</v>
      </c>
      <c r="D541" s="146" t="s">
        <v>447</v>
      </c>
      <c r="E541" s="145" t="s">
        <v>432</v>
      </c>
      <c r="F541" s="148" t="s">
        <v>1185</v>
      </c>
      <c r="G541" s="145" t="s">
        <v>853</v>
      </c>
    </row>
    <row r="542" spans="2:7" ht="26.4" x14ac:dyDescent="0.3">
      <c r="B542" s="145" t="s">
        <v>647</v>
      </c>
      <c r="C542" s="145" t="s">
        <v>417</v>
      </c>
      <c r="D542" s="146" t="s">
        <v>447</v>
      </c>
      <c r="E542" s="145" t="s">
        <v>432</v>
      </c>
      <c r="F542" s="148" t="s">
        <v>1273</v>
      </c>
      <c r="G542" s="145" t="s">
        <v>853</v>
      </c>
    </row>
    <row r="543" spans="2:7" x14ac:dyDescent="0.3">
      <c r="B543" s="145" t="s">
        <v>647</v>
      </c>
      <c r="C543" s="145" t="s">
        <v>417</v>
      </c>
      <c r="D543" s="146" t="s">
        <v>671</v>
      </c>
      <c r="E543" s="145" t="s">
        <v>463</v>
      </c>
      <c r="F543" s="148" t="s">
        <v>969</v>
      </c>
      <c r="G543" s="145" t="s">
        <v>854</v>
      </c>
    </row>
    <row r="544" spans="2:7" x14ac:dyDescent="0.3">
      <c r="B544" s="145" t="s">
        <v>647</v>
      </c>
      <c r="C544" s="145" t="s">
        <v>417</v>
      </c>
      <c r="D544" s="146" t="s">
        <v>671</v>
      </c>
      <c r="E544" s="145" t="s">
        <v>463</v>
      </c>
      <c r="F544" s="148" t="s">
        <v>1083</v>
      </c>
      <c r="G544" s="145" t="s">
        <v>854</v>
      </c>
    </row>
    <row r="545" spans="2:7" x14ac:dyDescent="0.3">
      <c r="B545" s="145" t="s">
        <v>647</v>
      </c>
      <c r="C545" s="145" t="s">
        <v>417</v>
      </c>
      <c r="D545" s="146" t="s">
        <v>671</v>
      </c>
      <c r="E545" s="145" t="s">
        <v>463</v>
      </c>
      <c r="F545" s="148" t="s">
        <v>1186</v>
      </c>
      <c r="G545" s="145" t="s">
        <v>854</v>
      </c>
    </row>
    <row r="546" spans="2:7" x14ac:dyDescent="0.3">
      <c r="B546" s="145" t="s">
        <v>647</v>
      </c>
      <c r="C546" s="145" t="s">
        <v>417</v>
      </c>
      <c r="D546" s="146" t="s">
        <v>671</v>
      </c>
      <c r="E546" s="145" t="s">
        <v>463</v>
      </c>
      <c r="F546" s="148" t="s">
        <v>1274</v>
      </c>
      <c r="G546" s="145" t="s">
        <v>854</v>
      </c>
    </row>
    <row r="547" spans="2:7" x14ac:dyDescent="0.3">
      <c r="B547" s="145" t="s">
        <v>647</v>
      </c>
      <c r="C547" s="145" t="s">
        <v>417</v>
      </c>
      <c r="D547" s="146" t="s">
        <v>671</v>
      </c>
      <c r="E547" s="145" t="s">
        <v>463</v>
      </c>
      <c r="F547" s="148" t="s">
        <v>1342</v>
      </c>
      <c r="G547" s="145" t="s">
        <v>854</v>
      </c>
    </row>
    <row r="548" spans="2:7" ht="26.4" x14ac:dyDescent="0.3">
      <c r="B548" s="145" t="s">
        <v>647</v>
      </c>
      <c r="C548" s="145" t="s">
        <v>417</v>
      </c>
      <c r="D548" s="146" t="s">
        <v>684</v>
      </c>
      <c r="E548" s="145" t="s">
        <v>493</v>
      </c>
      <c r="F548" s="148" t="s">
        <v>970</v>
      </c>
      <c r="G548" s="145" t="s">
        <v>855</v>
      </c>
    </row>
    <row r="549" spans="2:7" ht="26.4" x14ac:dyDescent="0.3">
      <c r="B549" s="145" t="s">
        <v>647</v>
      </c>
      <c r="C549" s="145" t="s">
        <v>417</v>
      </c>
      <c r="D549" s="146" t="s">
        <v>684</v>
      </c>
      <c r="E549" s="145" t="s">
        <v>493</v>
      </c>
      <c r="F549" s="148" t="s">
        <v>1084</v>
      </c>
      <c r="G549" s="145" t="s">
        <v>855</v>
      </c>
    </row>
    <row r="550" spans="2:7" ht="26.4" x14ac:dyDescent="0.3">
      <c r="B550" s="145" t="s">
        <v>647</v>
      </c>
      <c r="C550" s="145" t="s">
        <v>417</v>
      </c>
      <c r="D550" s="146" t="s">
        <v>684</v>
      </c>
      <c r="E550" s="145" t="s">
        <v>493</v>
      </c>
      <c r="F550" s="148" t="s">
        <v>1187</v>
      </c>
      <c r="G550" s="145" t="s">
        <v>855</v>
      </c>
    </row>
    <row r="551" spans="2:7" ht="26.4" x14ac:dyDescent="0.3">
      <c r="B551" s="145" t="s">
        <v>647</v>
      </c>
      <c r="C551" s="145" t="s">
        <v>417</v>
      </c>
      <c r="D551" s="146" t="s">
        <v>684</v>
      </c>
      <c r="E551" s="145" t="s">
        <v>493</v>
      </c>
      <c r="F551" s="148" t="s">
        <v>1275</v>
      </c>
      <c r="G551" s="145" t="s">
        <v>855</v>
      </c>
    </row>
    <row r="552" spans="2:7" ht="39.6" x14ac:dyDescent="0.3">
      <c r="B552" s="145" t="s">
        <v>647</v>
      </c>
      <c r="C552" s="145" t="s">
        <v>417</v>
      </c>
      <c r="D552" s="146" t="s">
        <v>696</v>
      </c>
      <c r="E552" s="145" t="s">
        <v>521</v>
      </c>
      <c r="F552" s="148" t="s">
        <v>971</v>
      </c>
      <c r="G552" s="145" t="s">
        <v>856</v>
      </c>
    </row>
    <row r="553" spans="2:7" ht="39.6" x14ac:dyDescent="0.3">
      <c r="B553" s="145" t="s">
        <v>647</v>
      </c>
      <c r="C553" s="145" t="s">
        <v>417</v>
      </c>
      <c r="D553" s="146" t="s">
        <v>696</v>
      </c>
      <c r="E553" s="145" t="s">
        <v>521</v>
      </c>
      <c r="F553" s="148" t="s">
        <v>1085</v>
      </c>
      <c r="G553" s="145" t="s">
        <v>856</v>
      </c>
    </row>
    <row r="554" spans="2:7" ht="39.6" x14ac:dyDescent="0.3">
      <c r="B554" s="145" t="s">
        <v>647</v>
      </c>
      <c r="C554" s="145" t="s">
        <v>417</v>
      </c>
      <c r="D554" s="146" t="s">
        <v>696</v>
      </c>
      <c r="E554" s="145" t="s">
        <v>521</v>
      </c>
      <c r="F554" s="148" t="s">
        <v>1188</v>
      </c>
      <c r="G554" s="145" t="s">
        <v>856</v>
      </c>
    </row>
    <row r="555" spans="2:7" ht="26.4" x14ac:dyDescent="0.3">
      <c r="B555" s="145" t="s">
        <v>647</v>
      </c>
      <c r="C555" s="145" t="s">
        <v>417</v>
      </c>
      <c r="D555" s="146" t="s">
        <v>707</v>
      </c>
      <c r="E555" s="145" t="s">
        <v>547</v>
      </c>
      <c r="F555" s="148" t="s">
        <v>972</v>
      </c>
      <c r="G555" s="145" t="s">
        <v>857</v>
      </c>
    </row>
    <row r="556" spans="2:7" ht="26.4" x14ac:dyDescent="0.3">
      <c r="B556" s="145" t="s">
        <v>647</v>
      </c>
      <c r="C556" s="145" t="s">
        <v>417</v>
      </c>
      <c r="D556" s="146" t="s">
        <v>707</v>
      </c>
      <c r="E556" s="145" t="s">
        <v>547</v>
      </c>
      <c r="F556" s="148" t="s">
        <v>1086</v>
      </c>
      <c r="G556" s="145" t="s">
        <v>857</v>
      </c>
    </row>
    <row r="557" spans="2:7" ht="26.4" x14ac:dyDescent="0.3">
      <c r="B557" s="145" t="s">
        <v>647</v>
      </c>
      <c r="C557" s="145" t="s">
        <v>417</v>
      </c>
      <c r="D557" s="146" t="s">
        <v>707</v>
      </c>
      <c r="E557" s="145" t="s">
        <v>547</v>
      </c>
      <c r="F557" s="148" t="s">
        <v>1189</v>
      </c>
      <c r="G557" s="145" t="s">
        <v>857</v>
      </c>
    </row>
    <row r="558" spans="2:7" x14ac:dyDescent="0.3">
      <c r="B558" s="145" t="s">
        <v>647</v>
      </c>
      <c r="C558" s="145" t="s">
        <v>417</v>
      </c>
      <c r="D558" s="146" t="s">
        <v>717</v>
      </c>
      <c r="E558" s="145" t="s">
        <v>572</v>
      </c>
      <c r="F558" s="148" t="s">
        <v>973</v>
      </c>
      <c r="G558" s="145" t="s">
        <v>858</v>
      </c>
    </row>
    <row r="559" spans="2:7" x14ac:dyDescent="0.3">
      <c r="B559" s="145" t="s">
        <v>647</v>
      </c>
      <c r="C559" s="145" t="s">
        <v>417</v>
      </c>
      <c r="D559" s="146" t="s">
        <v>728</v>
      </c>
      <c r="E559" s="145" t="s">
        <v>595</v>
      </c>
      <c r="F559" s="148" t="s">
        <v>974</v>
      </c>
      <c r="G559" s="145" t="s">
        <v>859</v>
      </c>
    </row>
    <row r="560" spans="2:7" x14ac:dyDescent="0.3">
      <c r="B560" s="145" t="s">
        <v>647</v>
      </c>
      <c r="C560" s="145" t="s">
        <v>417</v>
      </c>
      <c r="D560" s="146" t="s">
        <v>728</v>
      </c>
      <c r="E560" s="145" t="s">
        <v>595</v>
      </c>
      <c r="F560" s="148" t="s">
        <v>1087</v>
      </c>
      <c r="G560" s="145" t="s">
        <v>859</v>
      </c>
    </row>
    <row r="561" spans="2:7" ht="39.6" x14ac:dyDescent="0.3">
      <c r="B561" s="145" t="s">
        <v>647</v>
      </c>
      <c r="C561" s="145" t="s">
        <v>417</v>
      </c>
      <c r="D561" s="146" t="s">
        <v>622</v>
      </c>
      <c r="E561" s="145" t="s">
        <v>613</v>
      </c>
      <c r="F561" s="148" t="s">
        <v>975</v>
      </c>
      <c r="G561" s="145" t="s">
        <v>860</v>
      </c>
    </row>
    <row r="562" spans="2:7" ht="39.6" x14ac:dyDescent="0.3">
      <c r="B562" s="145" t="s">
        <v>647</v>
      </c>
      <c r="C562" s="145" t="s">
        <v>417</v>
      </c>
      <c r="D562" s="146" t="s">
        <v>622</v>
      </c>
      <c r="E562" s="145" t="s">
        <v>613</v>
      </c>
      <c r="F562" s="148" t="s">
        <v>1088</v>
      </c>
      <c r="G562" s="145" t="s">
        <v>860</v>
      </c>
    </row>
    <row r="563" spans="2:7" ht="39.6" x14ac:dyDescent="0.3">
      <c r="B563" s="145" t="s">
        <v>647</v>
      </c>
      <c r="C563" s="145" t="s">
        <v>417</v>
      </c>
      <c r="D563" s="146" t="s">
        <v>622</v>
      </c>
      <c r="E563" s="145" t="s">
        <v>613</v>
      </c>
      <c r="F563" s="148" t="s">
        <v>1190</v>
      </c>
      <c r="G563" s="145" t="s">
        <v>860</v>
      </c>
    </row>
    <row r="564" spans="2:7" ht="39.6" x14ac:dyDescent="0.3">
      <c r="B564" s="145" t="s">
        <v>647</v>
      </c>
      <c r="C564" s="145" t="s">
        <v>417</v>
      </c>
      <c r="D564" s="146" t="s">
        <v>622</v>
      </c>
      <c r="E564" s="145" t="s">
        <v>613</v>
      </c>
      <c r="F564" s="148" t="s">
        <v>1276</v>
      </c>
      <c r="G564" s="145" t="s">
        <v>860</v>
      </c>
    </row>
    <row r="565" spans="2:7" ht="39.6" x14ac:dyDescent="0.3">
      <c r="B565" s="145" t="s">
        <v>647</v>
      </c>
      <c r="C565" s="145" t="s">
        <v>417</v>
      </c>
      <c r="D565" s="146" t="s">
        <v>622</v>
      </c>
      <c r="E565" s="145" t="s">
        <v>613</v>
      </c>
      <c r="F565" s="148" t="s">
        <v>1343</v>
      </c>
      <c r="G565" s="145" t="s">
        <v>860</v>
      </c>
    </row>
    <row r="566" spans="2:7" ht="26.4" x14ac:dyDescent="0.3">
      <c r="B566" s="145" t="s">
        <v>647</v>
      </c>
      <c r="C566" s="145" t="s">
        <v>418</v>
      </c>
      <c r="D566" s="146" t="s">
        <v>448</v>
      </c>
      <c r="E566" s="145" t="s">
        <v>433</v>
      </c>
      <c r="F566" s="148" t="s">
        <v>976</v>
      </c>
      <c r="G566" s="145" t="s">
        <v>861</v>
      </c>
    </row>
    <row r="567" spans="2:7" ht="26.4" x14ac:dyDescent="0.3">
      <c r="B567" s="145" t="s">
        <v>647</v>
      </c>
      <c r="C567" s="145" t="s">
        <v>418</v>
      </c>
      <c r="D567" s="146" t="s">
        <v>448</v>
      </c>
      <c r="E567" s="145" t="s">
        <v>433</v>
      </c>
      <c r="F567" s="148" t="s">
        <v>1089</v>
      </c>
      <c r="G567" s="145" t="s">
        <v>861</v>
      </c>
    </row>
    <row r="568" spans="2:7" ht="26.4" x14ac:dyDescent="0.3">
      <c r="B568" s="145" t="s">
        <v>647</v>
      </c>
      <c r="C568" s="145" t="s">
        <v>418</v>
      </c>
      <c r="D568" s="146" t="s">
        <v>448</v>
      </c>
      <c r="E568" s="145" t="s">
        <v>433</v>
      </c>
      <c r="F568" s="148" t="s">
        <v>1191</v>
      </c>
      <c r="G568" s="145" t="s">
        <v>861</v>
      </c>
    </row>
    <row r="569" spans="2:7" ht="26.4" x14ac:dyDescent="0.3">
      <c r="B569" s="145" t="s">
        <v>647</v>
      </c>
      <c r="C569" s="145" t="s">
        <v>418</v>
      </c>
      <c r="D569" s="146" t="s">
        <v>448</v>
      </c>
      <c r="E569" s="145" t="s">
        <v>433</v>
      </c>
      <c r="F569" s="148" t="s">
        <v>1277</v>
      </c>
      <c r="G569" s="145" t="s">
        <v>861</v>
      </c>
    </row>
    <row r="570" spans="2:7" ht="26.4" x14ac:dyDescent="0.3">
      <c r="B570" s="145" t="s">
        <v>647</v>
      </c>
      <c r="C570" s="145" t="s">
        <v>418</v>
      </c>
      <c r="D570" s="146" t="s">
        <v>672</v>
      </c>
      <c r="E570" s="145" t="s">
        <v>464</v>
      </c>
      <c r="F570" s="148" t="s">
        <v>977</v>
      </c>
      <c r="G570" s="145" t="s">
        <v>862</v>
      </c>
    </row>
    <row r="571" spans="2:7" ht="26.4" x14ac:dyDescent="0.3">
      <c r="B571" s="145" t="s">
        <v>647</v>
      </c>
      <c r="C571" s="145" t="s">
        <v>418</v>
      </c>
      <c r="D571" s="146" t="s">
        <v>672</v>
      </c>
      <c r="E571" s="145" t="s">
        <v>464</v>
      </c>
      <c r="F571" s="148" t="s">
        <v>1090</v>
      </c>
      <c r="G571" s="145" t="s">
        <v>862</v>
      </c>
    </row>
    <row r="572" spans="2:7" ht="26.4" x14ac:dyDescent="0.3">
      <c r="B572" s="145" t="s">
        <v>647</v>
      </c>
      <c r="C572" s="145" t="s">
        <v>418</v>
      </c>
      <c r="D572" s="146" t="s">
        <v>672</v>
      </c>
      <c r="E572" s="145" t="s">
        <v>464</v>
      </c>
      <c r="F572" s="148" t="s">
        <v>1192</v>
      </c>
      <c r="G572" s="145" t="s">
        <v>862</v>
      </c>
    </row>
    <row r="573" spans="2:7" ht="26.4" x14ac:dyDescent="0.3">
      <c r="B573" s="145" t="s">
        <v>647</v>
      </c>
      <c r="C573" s="145" t="s">
        <v>418</v>
      </c>
      <c r="D573" s="146" t="s">
        <v>672</v>
      </c>
      <c r="E573" s="145" t="s">
        <v>464</v>
      </c>
      <c r="F573" s="148" t="s">
        <v>1278</v>
      </c>
      <c r="G573" s="145" t="s">
        <v>862</v>
      </c>
    </row>
    <row r="574" spans="2:7" ht="26.4" x14ac:dyDescent="0.3">
      <c r="B574" s="145" t="s">
        <v>647</v>
      </c>
      <c r="C574" s="145" t="s">
        <v>418</v>
      </c>
      <c r="D574" s="146" t="s">
        <v>672</v>
      </c>
      <c r="E574" s="145" t="s">
        <v>464</v>
      </c>
      <c r="F574" s="148" t="s">
        <v>1344</v>
      </c>
      <c r="G574" s="145" t="s">
        <v>862</v>
      </c>
    </row>
    <row r="575" spans="2:7" ht="26.4" x14ac:dyDescent="0.3">
      <c r="B575" s="145" t="s">
        <v>647</v>
      </c>
      <c r="C575" s="145" t="s">
        <v>418</v>
      </c>
      <c r="D575" s="146" t="s">
        <v>672</v>
      </c>
      <c r="E575" s="145" t="s">
        <v>464</v>
      </c>
      <c r="F575" s="148" t="s">
        <v>1393</v>
      </c>
      <c r="G575" s="145" t="s">
        <v>862</v>
      </c>
    </row>
    <row r="576" spans="2:7" ht="26.4" x14ac:dyDescent="0.3">
      <c r="B576" s="145" t="s">
        <v>647</v>
      </c>
      <c r="C576" s="145" t="s">
        <v>418</v>
      </c>
      <c r="D576" s="146" t="s">
        <v>672</v>
      </c>
      <c r="E576" s="145" t="s">
        <v>464</v>
      </c>
      <c r="F576" s="148" t="s">
        <v>1433</v>
      </c>
      <c r="G576" s="145" t="s">
        <v>862</v>
      </c>
    </row>
    <row r="577" spans="2:7" ht="26.4" x14ac:dyDescent="0.3">
      <c r="B577" s="145" t="s">
        <v>647</v>
      </c>
      <c r="C577" s="145" t="s">
        <v>418</v>
      </c>
      <c r="D577" s="146" t="s">
        <v>672</v>
      </c>
      <c r="E577" s="145" t="s">
        <v>464</v>
      </c>
      <c r="F577" s="148" t="s">
        <v>1462</v>
      </c>
      <c r="G577" s="145" t="s">
        <v>862</v>
      </c>
    </row>
    <row r="578" spans="2:7" ht="26.4" x14ac:dyDescent="0.3">
      <c r="B578" s="145" t="s">
        <v>647</v>
      </c>
      <c r="C578" s="145" t="s">
        <v>418</v>
      </c>
      <c r="D578" s="146" t="s">
        <v>672</v>
      </c>
      <c r="E578" s="145" t="s">
        <v>464</v>
      </c>
      <c r="F578" s="148" t="s">
        <v>1481</v>
      </c>
      <c r="G578" s="145" t="s">
        <v>862</v>
      </c>
    </row>
    <row r="579" spans="2:7" ht="26.4" x14ac:dyDescent="0.3">
      <c r="B579" s="145" t="s">
        <v>647</v>
      </c>
      <c r="C579" s="145" t="s">
        <v>418</v>
      </c>
      <c r="D579" s="146" t="s">
        <v>672</v>
      </c>
      <c r="E579" s="145" t="s">
        <v>464</v>
      </c>
      <c r="F579" s="148" t="s">
        <v>1499</v>
      </c>
      <c r="G579" s="145" t="s">
        <v>862</v>
      </c>
    </row>
    <row r="580" spans="2:7" ht="26.4" x14ac:dyDescent="0.3">
      <c r="B580" s="145" t="s">
        <v>647</v>
      </c>
      <c r="C580" s="145" t="s">
        <v>418</v>
      </c>
      <c r="D580" s="146" t="s">
        <v>672</v>
      </c>
      <c r="E580" s="145" t="s">
        <v>464</v>
      </c>
      <c r="F580" s="148" t="s">
        <v>1513</v>
      </c>
      <c r="G580" s="145" t="s">
        <v>862</v>
      </c>
    </row>
    <row r="581" spans="2:7" ht="26.4" x14ac:dyDescent="0.3">
      <c r="B581" s="145" t="s">
        <v>647</v>
      </c>
      <c r="C581" s="145" t="s">
        <v>418</v>
      </c>
      <c r="D581" s="146" t="s">
        <v>672</v>
      </c>
      <c r="E581" s="145" t="s">
        <v>464</v>
      </c>
      <c r="F581" s="148" t="s">
        <v>1526</v>
      </c>
      <c r="G581" s="145" t="s">
        <v>862</v>
      </c>
    </row>
    <row r="582" spans="2:7" ht="26.4" x14ac:dyDescent="0.3">
      <c r="B582" s="145" t="s">
        <v>647</v>
      </c>
      <c r="C582" s="145" t="s">
        <v>418</v>
      </c>
      <c r="D582" s="146" t="s">
        <v>685</v>
      </c>
      <c r="E582" s="145" t="s">
        <v>494</v>
      </c>
      <c r="F582" s="148" t="s">
        <v>978</v>
      </c>
      <c r="G582" s="145" t="s">
        <v>863</v>
      </c>
    </row>
    <row r="583" spans="2:7" ht="26.4" x14ac:dyDescent="0.3">
      <c r="B583" s="145" t="s">
        <v>647</v>
      </c>
      <c r="C583" s="145" t="s">
        <v>418</v>
      </c>
      <c r="D583" s="146" t="s">
        <v>536</v>
      </c>
      <c r="E583" s="145" t="s">
        <v>522</v>
      </c>
      <c r="F583" s="148" t="s">
        <v>979</v>
      </c>
      <c r="G583" s="145" t="s">
        <v>864</v>
      </c>
    </row>
    <row r="584" spans="2:7" ht="26.4" x14ac:dyDescent="0.3">
      <c r="B584" s="145" t="s">
        <v>647</v>
      </c>
      <c r="C584" s="145" t="s">
        <v>418</v>
      </c>
      <c r="D584" s="146" t="s">
        <v>536</v>
      </c>
      <c r="E584" s="145" t="s">
        <v>522</v>
      </c>
      <c r="F584" s="148" t="s">
        <v>1091</v>
      </c>
      <c r="G584" s="145" t="s">
        <v>864</v>
      </c>
    </row>
    <row r="585" spans="2:7" ht="39.6" x14ac:dyDescent="0.3">
      <c r="B585" s="145" t="s">
        <v>647</v>
      </c>
      <c r="C585" s="145" t="s">
        <v>418</v>
      </c>
      <c r="D585" s="146" t="s">
        <v>561</v>
      </c>
      <c r="E585" s="145" t="s">
        <v>548</v>
      </c>
      <c r="F585" s="148" t="s">
        <v>980</v>
      </c>
      <c r="G585" s="145" t="s">
        <v>865</v>
      </c>
    </row>
    <row r="586" spans="2:7" ht="39.6" x14ac:dyDescent="0.3">
      <c r="B586" s="145" t="s">
        <v>647</v>
      </c>
      <c r="C586" s="145" t="s">
        <v>418</v>
      </c>
      <c r="D586" s="146" t="s">
        <v>561</v>
      </c>
      <c r="E586" s="145" t="s">
        <v>548</v>
      </c>
      <c r="F586" s="148" t="s">
        <v>1092</v>
      </c>
      <c r="G586" s="145" t="s">
        <v>865</v>
      </c>
    </row>
    <row r="587" spans="2:7" ht="39.6" x14ac:dyDescent="0.3">
      <c r="B587" s="145" t="s">
        <v>647</v>
      </c>
      <c r="C587" s="145" t="s">
        <v>418</v>
      </c>
      <c r="D587" s="146" t="s">
        <v>561</v>
      </c>
      <c r="E587" s="145" t="s">
        <v>548</v>
      </c>
      <c r="F587" s="148" t="s">
        <v>1193</v>
      </c>
      <c r="G587" s="145" t="s">
        <v>865</v>
      </c>
    </row>
    <row r="588" spans="2:7" ht="39.6" x14ac:dyDescent="0.3">
      <c r="B588" s="145" t="s">
        <v>647</v>
      </c>
      <c r="C588" s="145" t="s">
        <v>418</v>
      </c>
      <c r="D588" s="146" t="s">
        <v>561</v>
      </c>
      <c r="E588" s="145" t="s">
        <v>548</v>
      </c>
      <c r="F588" s="148" t="s">
        <v>1279</v>
      </c>
      <c r="G588" s="145" t="s">
        <v>865</v>
      </c>
    </row>
    <row r="589" spans="2:7" ht="39.6" x14ac:dyDescent="0.3">
      <c r="B589" s="145" t="s">
        <v>647</v>
      </c>
      <c r="C589" s="145" t="s">
        <v>418</v>
      </c>
      <c r="D589" s="146" t="s">
        <v>561</v>
      </c>
      <c r="E589" s="145" t="s">
        <v>548</v>
      </c>
      <c r="F589" s="148" t="s">
        <v>1345</v>
      </c>
      <c r="G589" s="145" t="s">
        <v>865</v>
      </c>
    </row>
    <row r="590" spans="2:7" ht="39.6" x14ac:dyDescent="0.3">
      <c r="B590" s="145" t="s">
        <v>647</v>
      </c>
      <c r="C590" s="145" t="s">
        <v>418</v>
      </c>
      <c r="D590" s="146" t="s">
        <v>561</v>
      </c>
      <c r="E590" s="145" t="s">
        <v>548</v>
      </c>
      <c r="F590" s="148" t="s">
        <v>1394</v>
      </c>
      <c r="G590" s="145" t="s">
        <v>865</v>
      </c>
    </row>
    <row r="591" spans="2:7" ht="39.6" x14ac:dyDescent="0.3">
      <c r="B591" s="145" t="s">
        <v>647</v>
      </c>
      <c r="C591" s="145" t="s">
        <v>418</v>
      </c>
      <c r="D591" s="146" t="s">
        <v>561</v>
      </c>
      <c r="E591" s="145" t="s">
        <v>548</v>
      </c>
      <c r="F591" s="148" t="s">
        <v>1434</v>
      </c>
      <c r="G591" s="145" t="s">
        <v>865</v>
      </c>
    </row>
    <row r="592" spans="2:7" ht="39.6" x14ac:dyDescent="0.3">
      <c r="B592" s="145" t="s">
        <v>647</v>
      </c>
      <c r="C592" s="145" t="s">
        <v>418</v>
      </c>
      <c r="D592" s="146" t="s">
        <v>718</v>
      </c>
      <c r="E592" s="145" t="s">
        <v>573</v>
      </c>
      <c r="F592" s="148" t="s">
        <v>981</v>
      </c>
      <c r="G592" s="145" t="s">
        <v>866</v>
      </c>
    </row>
    <row r="593" spans="2:7" ht="39.6" x14ac:dyDescent="0.3">
      <c r="B593" s="145" t="s">
        <v>647</v>
      </c>
      <c r="C593" s="145" t="s">
        <v>418</v>
      </c>
      <c r="D593" s="146" t="s">
        <v>718</v>
      </c>
      <c r="E593" s="145" t="s">
        <v>573</v>
      </c>
      <c r="F593" s="148" t="s">
        <v>1093</v>
      </c>
      <c r="G593" s="145" t="s">
        <v>866</v>
      </c>
    </row>
    <row r="594" spans="2:7" ht="39.6" x14ac:dyDescent="0.3">
      <c r="B594" s="145" t="s">
        <v>647</v>
      </c>
      <c r="C594" s="145" t="s">
        <v>418</v>
      </c>
      <c r="D594" s="146" t="s">
        <v>718</v>
      </c>
      <c r="E594" s="145" t="s">
        <v>573</v>
      </c>
      <c r="F594" s="148" t="s">
        <v>1194</v>
      </c>
      <c r="G594" s="145" t="s">
        <v>866</v>
      </c>
    </row>
    <row r="595" spans="2:7" ht="39.6" x14ac:dyDescent="0.3">
      <c r="B595" s="145" t="s">
        <v>647</v>
      </c>
      <c r="C595" s="145" t="s">
        <v>418</v>
      </c>
      <c r="D595" s="146" t="s">
        <v>718</v>
      </c>
      <c r="E595" s="145" t="s">
        <v>573</v>
      </c>
      <c r="F595" s="148" t="s">
        <v>1280</v>
      </c>
      <c r="G595" s="145" t="s">
        <v>866</v>
      </c>
    </row>
    <row r="596" spans="2:7" ht="26.4" x14ac:dyDescent="0.3">
      <c r="B596" s="145" t="s">
        <v>647</v>
      </c>
      <c r="C596" s="145" t="s">
        <v>418</v>
      </c>
      <c r="D596" s="146" t="s">
        <v>729</v>
      </c>
      <c r="E596" s="145" t="s">
        <v>596</v>
      </c>
      <c r="F596" s="148" t="s">
        <v>982</v>
      </c>
      <c r="G596" s="145" t="s">
        <v>867</v>
      </c>
    </row>
    <row r="597" spans="2:7" ht="26.4" x14ac:dyDescent="0.3">
      <c r="B597" s="145" t="s">
        <v>647</v>
      </c>
      <c r="C597" s="145" t="s">
        <v>418</v>
      </c>
      <c r="D597" s="146" t="s">
        <v>729</v>
      </c>
      <c r="E597" s="145" t="s">
        <v>596</v>
      </c>
      <c r="F597" s="148" t="s">
        <v>1094</v>
      </c>
      <c r="G597" s="145" t="s">
        <v>867</v>
      </c>
    </row>
    <row r="598" spans="2:7" ht="26.4" x14ac:dyDescent="0.3">
      <c r="B598" s="145" t="s">
        <v>647</v>
      </c>
      <c r="C598" s="145" t="s">
        <v>418</v>
      </c>
      <c r="D598" s="146" t="s">
        <v>729</v>
      </c>
      <c r="E598" s="145" t="s">
        <v>596</v>
      </c>
      <c r="F598" s="148" t="s">
        <v>1195</v>
      </c>
      <c r="G598" s="145" t="s">
        <v>867</v>
      </c>
    </row>
    <row r="599" spans="2:7" ht="26.4" x14ac:dyDescent="0.3">
      <c r="B599" s="145" t="s">
        <v>647</v>
      </c>
      <c r="C599" s="145" t="s">
        <v>418</v>
      </c>
      <c r="D599" s="146" t="s">
        <v>735</v>
      </c>
      <c r="E599" s="145" t="s">
        <v>614</v>
      </c>
      <c r="F599" s="148" t="s">
        <v>983</v>
      </c>
      <c r="G599" s="145" t="s">
        <v>868</v>
      </c>
    </row>
    <row r="600" spans="2:7" ht="26.4" x14ac:dyDescent="0.3">
      <c r="B600" s="145" t="s">
        <v>647</v>
      </c>
      <c r="C600" s="145" t="s">
        <v>418</v>
      </c>
      <c r="D600" s="146" t="s">
        <v>735</v>
      </c>
      <c r="E600" s="145" t="s">
        <v>614</v>
      </c>
      <c r="F600" s="148" t="s">
        <v>1095</v>
      </c>
      <c r="G600" s="145" t="s">
        <v>868</v>
      </c>
    </row>
    <row r="601" spans="2:7" ht="26.4" x14ac:dyDescent="0.3">
      <c r="B601" s="145" t="s">
        <v>647</v>
      </c>
      <c r="C601" s="145" t="s">
        <v>418</v>
      </c>
      <c r="D601" s="146" t="s">
        <v>735</v>
      </c>
      <c r="E601" s="145" t="s">
        <v>614</v>
      </c>
      <c r="F601" s="148" t="s">
        <v>1196</v>
      </c>
      <c r="G601" s="145" t="s">
        <v>868</v>
      </c>
    </row>
    <row r="602" spans="2:7" ht="26.4" x14ac:dyDescent="0.3">
      <c r="B602" s="145" t="s">
        <v>647</v>
      </c>
      <c r="C602" s="145" t="s">
        <v>418</v>
      </c>
      <c r="D602" s="146" t="s">
        <v>735</v>
      </c>
      <c r="E602" s="145" t="s">
        <v>614</v>
      </c>
      <c r="F602" s="148" t="s">
        <v>1281</v>
      </c>
      <c r="G602" s="145" t="s">
        <v>868</v>
      </c>
    </row>
    <row r="603" spans="2:7" ht="26.4" x14ac:dyDescent="0.3">
      <c r="B603" s="145" t="s">
        <v>647</v>
      </c>
      <c r="C603" s="145" t="s">
        <v>419</v>
      </c>
      <c r="D603" s="146" t="s">
        <v>663</v>
      </c>
      <c r="E603" s="145" t="s">
        <v>434</v>
      </c>
      <c r="F603" s="148" t="s">
        <v>984</v>
      </c>
      <c r="G603" s="145" t="s">
        <v>869</v>
      </c>
    </row>
    <row r="604" spans="2:7" ht="26.4" x14ac:dyDescent="0.3">
      <c r="B604" s="145" t="s">
        <v>647</v>
      </c>
      <c r="C604" s="145" t="s">
        <v>419</v>
      </c>
      <c r="D604" s="146" t="s">
        <v>663</v>
      </c>
      <c r="E604" s="145" t="s">
        <v>434</v>
      </c>
      <c r="F604" s="148" t="s">
        <v>1096</v>
      </c>
      <c r="G604" s="145" t="s">
        <v>869</v>
      </c>
    </row>
    <row r="605" spans="2:7" ht="26.4" x14ac:dyDescent="0.3">
      <c r="B605" s="145" t="s">
        <v>647</v>
      </c>
      <c r="C605" s="145" t="s">
        <v>419</v>
      </c>
      <c r="D605" s="146" t="s">
        <v>663</v>
      </c>
      <c r="E605" s="145" t="s">
        <v>434</v>
      </c>
      <c r="F605" s="148" t="s">
        <v>1197</v>
      </c>
      <c r="G605" s="145" t="s">
        <v>869</v>
      </c>
    </row>
    <row r="606" spans="2:7" ht="26.4" x14ac:dyDescent="0.3">
      <c r="B606" s="145" t="s">
        <v>647</v>
      </c>
      <c r="C606" s="145" t="s">
        <v>419</v>
      </c>
      <c r="D606" s="146" t="s">
        <v>663</v>
      </c>
      <c r="E606" s="145" t="s">
        <v>434</v>
      </c>
      <c r="F606" s="148" t="s">
        <v>1282</v>
      </c>
      <c r="G606" s="145" t="s">
        <v>869</v>
      </c>
    </row>
    <row r="607" spans="2:7" ht="26.4" x14ac:dyDescent="0.3">
      <c r="B607" s="145" t="s">
        <v>647</v>
      </c>
      <c r="C607" s="145" t="s">
        <v>419</v>
      </c>
      <c r="D607" s="146" t="s">
        <v>663</v>
      </c>
      <c r="E607" s="145" t="s">
        <v>434</v>
      </c>
      <c r="F607" s="148" t="s">
        <v>1346</v>
      </c>
      <c r="G607" s="145" t="s">
        <v>869</v>
      </c>
    </row>
    <row r="608" spans="2:7" ht="26.4" x14ac:dyDescent="0.3">
      <c r="B608" s="145" t="s">
        <v>647</v>
      </c>
      <c r="C608" s="145" t="s">
        <v>419</v>
      </c>
      <c r="D608" s="146" t="s">
        <v>663</v>
      </c>
      <c r="E608" s="145" t="s">
        <v>434</v>
      </c>
      <c r="F608" s="148" t="s">
        <v>1395</v>
      </c>
      <c r="G608" s="145" t="s">
        <v>869</v>
      </c>
    </row>
    <row r="609" spans="2:7" ht="26.4" x14ac:dyDescent="0.3">
      <c r="B609" s="145" t="s">
        <v>647</v>
      </c>
      <c r="C609" s="145" t="s">
        <v>419</v>
      </c>
      <c r="D609" s="146" t="s">
        <v>663</v>
      </c>
      <c r="E609" s="145" t="s">
        <v>434</v>
      </c>
      <c r="F609" s="148" t="s">
        <v>1435</v>
      </c>
      <c r="G609" s="145" t="s">
        <v>869</v>
      </c>
    </row>
    <row r="610" spans="2:7" ht="39.6" x14ac:dyDescent="0.3">
      <c r="B610" s="145" t="s">
        <v>647</v>
      </c>
      <c r="C610" s="145" t="s">
        <v>419</v>
      </c>
      <c r="D610" s="146" t="s">
        <v>673</v>
      </c>
      <c r="E610" s="145" t="s">
        <v>465</v>
      </c>
      <c r="F610" s="148" t="s">
        <v>985</v>
      </c>
      <c r="G610" s="145" t="s">
        <v>870</v>
      </c>
    </row>
    <row r="611" spans="2:7" ht="39.6" x14ac:dyDescent="0.3">
      <c r="B611" s="145" t="s">
        <v>647</v>
      </c>
      <c r="C611" s="145" t="s">
        <v>419</v>
      </c>
      <c r="D611" s="146" t="s">
        <v>673</v>
      </c>
      <c r="E611" s="145" t="s">
        <v>465</v>
      </c>
      <c r="F611" s="148" t="s">
        <v>1097</v>
      </c>
      <c r="G611" s="145" t="s">
        <v>870</v>
      </c>
    </row>
    <row r="612" spans="2:7" ht="39.6" x14ac:dyDescent="0.3">
      <c r="B612" s="145" t="s">
        <v>647</v>
      </c>
      <c r="C612" s="145" t="s">
        <v>419</v>
      </c>
      <c r="D612" s="146" t="s">
        <v>673</v>
      </c>
      <c r="E612" s="145" t="s">
        <v>465</v>
      </c>
      <c r="F612" s="148" t="s">
        <v>1198</v>
      </c>
      <c r="G612" s="145" t="s">
        <v>870</v>
      </c>
    </row>
    <row r="613" spans="2:7" x14ac:dyDescent="0.3">
      <c r="B613" s="145" t="s">
        <v>647</v>
      </c>
      <c r="C613" s="145" t="s">
        <v>419</v>
      </c>
      <c r="D613" s="146" t="s">
        <v>686</v>
      </c>
      <c r="E613" s="145" t="s">
        <v>495</v>
      </c>
      <c r="F613" s="148" t="s">
        <v>986</v>
      </c>
      <c r="G613" s="145" t="s">
        <v>871</v>
      </c>
    </row>
    <row r="614" spans="2:7" ht="26.4" x14ac:dyDescent="0.3">
      <c r="B614" s="145" t="s">
        <v>647</v>
      </c>
      <c r="C614" s="145" t="s">
        <v>419</v>
      </c>
      <c r="D614" s="146" t="s">
        <v>686</v>
      </c>
      <c r="E614" s="145" t="s">
        <v>495</v>
      </c>
      <c r="F614" s="148" t="s">
        <v>1098</v>
      </c>
      <c r="G614" s="145" t="s">
        <v>871</v>
      </c>
    </row>
    <row r="615" spans="2:7" ht="26.4" x14ac:dyDescent="0.3">
      <c r="B615" s="145" t="s">
        <v>647</v>
      </c>
      <c r="C615" s="145" t="s">
        <v>419</v>
      </c>
      <c r="D615" s="146" t="s">
        <v>686</v>
      </c>
      <c r="E615" s="145" t="s">
        <v>495</v>
      </c>
      <c r="F615" s="148" t="s">
        <v>1199</v>
      </c>
      <c r="G615" s="145" t="s">
        <v>871</v>
      </c>
    </row>
    <row r="616" spans="2:7" ht="52.8" x14ac:dyDescent="0.3">
      <c r="B616" s="145" t="s">
        <v>647</v>
      </c>
      <c r="C616" s="145" t="s">
        <v>419</v>
      </c>
      <c r="D616" s="146" t="s">
        <v>697</v>
      </c>
      <c r="E616" s="145" t="s">
        <v>523</v>
      </c>
      <c r="F616" s="148" t="s">
        <v>987</v>
      </c>
      <c r="G616" s="145" t="s">
        <v>872</v>
      </c>
    </row>
    <row r="617" spans="2:7" ht="52.8" x14ac:dyDescent="0.3">
      <c r="B617" s="145" t="s">
        <v>647</v>
      </c>
      <c r="C617" s="145" t="s">
        <v>419</v>
      </c>
      <c r="D617" s="146" t="s">
        <v>697</v>
      </c>
      <c r="E617" s="145" t="s">
        <v>523</v>
      </c>
      <c r="F617" s="148" t="s">
        <v>1099</v>
      </c>
      <c r="G617" s="145" t="s">
        <v>872</v>
      </c>
    </row>
    <row r="618" spans="2:7" ht="52.8" x14ac:dyDescent="0.3">
      <c r="B618" s="145" t="s">
        <v>647</v>
      </c>
      <c r="C618" s="145" t="s">
        <v>419</v>
      </c>
      <c r="D618" s="146" t="s">
        <v>697</v>
      </c>
      <c r="E618" s="145" t="s">
        <v>523</v>
      </c>
      <c r="F618" s="148" t="s">
        <v>1200</v>
      </c>
      <c r="G618" s="145" t="s">
        <v>872</v>
      </c>
    </row>
    <row r="619" spans="2:7" ht="52.8" x14ac:dyDescent="0.3">
      <c r="B619" s="145" t="s">
        <v>647</v>
      </c>
      <c r="C619" s="145" t="s">
        <v>419</v>
      </c>
      <c r="D619" s="146" t="s">
        <v>697</v>
      </c>
      <c r="E619" s="145" t="s">
        <v>523</v>
      </c>
      <c r="F619" s="148" t="s">
        <v>1283</v>
      </c>
      <c r="G619" s="145" t="s">
        <v>872</v>
      </c>
    </row>
    <row r="620" spans="2:7" x14ac:dyDescent="0.3">
      <c r="B620" s="145" t="s">
        <v>647</v>
      </c>
      <c r="C620" s="145" t="s">
        <v>419</v>
      </c>
      <c r="D620" s="146" t="s">
        <v>708</v>
      </c>
      <c r="E620" s="145" t="s">
        <v>549</v>
      </c>
      <c r="F620" s="148" t="s">
        <v>988</v>
      </c>
      <c r="G620" s="145" t="s">
        <v>873</v>
      </c>
    </row>
    <row r="621" spans="2:7" x14ac:dyDescent="0.3">
      <c r="B621" s="145" t="s">
        <v>647</v>
      </c>
      <c r="C621" s="145" t="s">
        <v>419</v>
      </c>
      <c r="D621" s="146" t="s">
        <v>708</v>
      </c>
      <c r="E621" s="145" t="s">
        <v>549</v>
      </c>
      <c r="F621" s="148" t="s">
        <v>1100</v>
      </c>
      <c r="G621" s="145" t="s">
        <v>873</v>
      </c>
    </row>
    <row r="622" spans="2:7" ht="26.4" x14ac:dyDescent="0.3">
      <c r="B622" s="145" t="s">
        <v>647</v>
      </c>
      <c r="C622" s="145" t="s">
        <v>419</v>
      </c>
      <c r="D622" s="146" t="s">
        <v>719</v>
      </c>
      <c r="E622" s="145" t="s">
        <v>574</v>
      </c>
      <c r="F622" s="148" t="s">
        <v>989</v>
      </c>
      <c r="G622" s="145" t="s">
        <v>874</v>
      </c>
    </row>
    <row r="623" spans="2:7" ht="26.4" x14ac:dyDescent="0.3">
      <c r="B623" s="145" t="s">
        <v>647</v>
      </c>
      <c r="C623" s="145" t="s">
        <v>419</v>
      </c>
      <c r="D623" s="146" t="s">
        <v>719</v>
      </c>
      <c r="E623" s="145" t="s">
        <v>574</v>
      </c>
      <c r="F623" s="148" t="s">
        <v>1101</v>
      </c>
      <c r="G623" s="145" t="s">
        <v>874</v>
      </c>
    </row>
    <row r="624" spans="2:7" ht="26.4" x14ac:dyDescent="0.3">
      <c r="B624" s="145" t="s">
        <v>647</v>
      </c>
      <c r="C624" s="145" t="s">
        <v>419</v>
      </c>
      <c r="D624" s="146" t="s">
        <v>719</v>
      </c>
      <c r="E624" s="145" t="s">
        <v>574</v>
      </c>
      <c r="F624" s="148" t="s">
        <v>1201</v>
      </c>
      <c r="G624" s="145" t="s">
        <v>874</v>
      </c>
    </row>
    <row r="625" spans="2:7" ht="26.4" x14ac:dyDescent="0.3">
      <c r="B625" s="145" t="s">
        <v>647</v>
      </c>
      <c r="C625" s="145" t="s">
        <v>419</v>
      </c>
      <c r="D625" s="146" t="s">
        <v>730</v>
      </c>
      <c r="E625" s="145" t="s">
        <v>597</v>
      </c>
      <c r="F625" s="148" t="s">
        <v>990</v>
      </c>
      <c r="G625" s="145" t="s">
        <v>875</v>
      </c>
    </row>
    <row r="626" spans="2:7" ht="26.4" x14ac:dyDescent="0.3">
      <c r="B626" s="145" t="s">
        <v>647</v>
      </c>
      <c r="C626" s="145" t="s">
        <v>419</v>
      </c>
      <c r="D626" s="146" t="s">
        <v>730</v>
      </c>
      <c r="E626" s="145" t="s">
        <v>597</v>
      </c>
      <c r="F626" s="148" t="s">
        <v>1102</v>
      </c>
      <c r="G626" s="145" t="s">
        <v>875</v>
      </c>
    </row>
    <row r="627" spans="2:7" ht="39.6" x14ac:dyDescent="0.3">
      <c r="B627" s="145" t="s">
        <v>647</v>
      </c>
      <c r="C627" s="145" t="s">
        <v>419</v>
      </c>
      <c r="D627" s="146" t="s">
        <v>736</v>
      </c>
      <c r="E627" s="145" t="s">
        <v>615</v>
      </c>
      <c r="F627" s="148" t="s">
        <v>991</v>
      </c>
      <c r="G627" s="145" t="s">
        <v>876</v>
      </c>
    </row>
    <row r="628" spans="2:7" ht="39.6" x14ac:dyDescent="0.3">
      <c r="B628" s="145" t="s">
        <v>647</v>
      </c>
      <c r="C628" s="145" t="s">
        <v>419</v>
      </c>
      <c r="D628" s="146" t="s">
        <v>736</v>
      </c>
      <c r="E628" s="145" t="s">
        <v>615</v>
      </c>
      <c r="F628" s="148" t="s">
        <v>1103</v>
      </c>
      <c r="G628" s="145" t="s">
        <v>876</v>
      </c>
    </row>
    <row r="629" spans="2:7" ht="39.6" x14ac:dyDescent="0.3">
      <c r="B629" s="145" t="s">
        <v>647</v>
      </c>
      <c r="C629" s="145" t="s">
        <v>419</v>
      </c>
      <c r="D629" s="146" t="s">
        <v>736</v>
      </c>
      <c r="E629" s="145" t="s">
        <v>615</v>
      </c>
      <c r="F629" s="148" t="s">
        <v>1202</v>
      </c>
      <c r="G629" s="145" t="s">
        <v>876</v>
      </c>
    </row>
    <row r="630" spans="2:7" ht="39.6" x14ac:dyDescent="0.3">
      <c r="B630" s="145" t="s">
        <v>647</v>
      </c>
      <c r="C630" s="145" t="s">
        <v>419</v>
      </c>
      <c r="D630" s="146" t="s">
        <v>736</v>
      </c>
      <c r="E630" s="145" t="s">
        <v>615</v>
      </c>
      <c r="F630" s="148" t="s">
        <v>1284</v>
      </c>
      <c r="G630" s="145" t="s">
        <v>876</v>
      </c>
    </row>
    <row r="631" spans="2:7" ht="39.6" x14ac:dyDescent="0.3">
      <c r="B631" s="145" t="s">
        <v>647</v>
      </c>
      <c r="C631" s="145" t="s">
        <v>419</v>
      </c>
      <c r="D631" s="146" t="s">
        <v>736</v>
      </c>
      <c r="E631" s="145" t="s">
        <v>615</v>
      </c>
      <c r="F631" s="148" t="s">
        <v>1347</v>
      </c>
      <c r="G631" s="145" t="s">
        <v>876</v>
      </c>
    </row>
    <row r="632" spans="2:7" ht="26.4" x14ac:dyDescent="0.3">
      <c r="B632" s="145" t="s">
        <v>647</v>
      </c>
      <c r="C632" s="145" t="s">
        <v>419</v>
      </c>
      <c r="D632" s="146" t="s">
        <v>741</v>
      </c>
      <c r="E632" s="145" t="s">
        <v>629</v>
      </c>
      <c r="F632" s="148" t="s">
        <v>992</v>
      </c>
      <c r="G632" s="145" t="s">
        <v>877</v>
      </c>
    </row>
    <row r="633" spans="2:7" ht="26.4" x14ac:dyDescent="0.3">
      <c r="B633" s="145" t="s">
        <v>647</v>
      </c>
      <c r="C633" s="145" t="s">
        <v>419</v>
      </c>
      <c r="D633" s="146" t="s">
        <v>741</v>
      </c>
      <c r="E633" s="145" t="s">
        <v>629</v>
      </c>
      <c r="F633" s="148" t="s">
        <v>1104</v>
      </c>
      <c r="G633" s="145" t="s">
        <v>877</v>
      </c>
    </row>
    <row r="634" spans="2:7" ht="26.4" x14ac:dyDescent="0.3">
      <c r="B634" s="145" t="s">
        <v>647</v>
      </c>
      <c r="C634" s="145" t="s">
        <v>419</v>
      </c>
      <c r="D634" s="146" t="s">
        <v>744</v>
      </c>
      <c r="E634" s="145" t="s">
        <v>637</v>
      </c>
      <c r="F634" s="148" t="s">
        <v>993</v>
      </c>
      <c r="G634" s="145" t="s">
        <v>878</v>
      </c>
    </row>
    <row r="635" spans="2:7" ht="26.4" x14ac:dyDescent="0.3">
      <c r="B635" s="145" t="s">
        <v>647</v>
      </c>
      <c r="C635" s="145" t="s">
        <v>419</v>
      </c>
      <c r="D635" s="146" t="s">
        <v>744</v>
      </c>
      <c r="E635" s="145" t="s">
        <v>637</v>
      </c>
      <c r="F635" s="148" t="s">
        <v>1105</v>
      </c>
      <c r="G635" s="145" t="s">
        <v>878</v>
      </c>
    </row>
    <row r="636" spans="2:7" ht="26.4" x14ac:dyDescent="0.3">
      <c r="B636" s="145" t="s">
        <v>647</v>
      </c>
      <c r="C636" s="145" t="s">
        <v>419</v>
      </c>
      <c r="D636" s="146" t="s">
        <v>744</v>
      </c>
      <c r="E636" s="145" t="s">
        <v>637</v>
      </c>
      <c r="F636" s="148" t="s">
        <v>1203</v>
      </c>
      <c r="G636" s="145" t="s">
        <v>878</v>
      </c>
    </row>
    <row r="637" spans="2:7" ht="26.4" x14ac:dyDescent="0.3">
      <c r="B637" s="145" t="s">
        <v>647</v>
      </c>
      <c r="C637" s="145" t="s">
        <v>419</v>
      </c>
      <c r="D637" s="146" t="s">
        <v>744</v>
      </c>
      <c r="E637" s="145" t="s">
        <v>637</v>
      </c>
      <c r="F637" s="148" t="s">
        <v>1285</v>
      </c>
      <c r="G637" s="145" t="s">
        <v>878</v>
      </c>
    </row>
    <row r="638" spans="2:7" ht="26.4" x14ac:dyDescent="0.3">
      <c r="B638" s="145" t="s">
        <v>647</v>
      </c>
      <c r="C638" s="145" t="s">
        <v>419</v>
      </c>
      <c r="D638" s="146" t="s">
        <v>746</v>
      </c>
      <c r="E638" s="145" t="s">
        <v>643</v>
      </c>
      <c r="F638" s="148" t="s">
        <v>994</v>
      </c>
      <c r="G638" s="145" t="s">
        <v>879</v>
      </c>
    </row>
    <row r="639" spans="2:7" ht="26.4" x14ac:dyDescent="0.3">
      <c r="B639" s="145" t="s">
        <v>647</v>
      </c>
      <c r="C639" s="145" t="s">
        <v>419</v>
      </c>
      <c r="D639" s="146" t="s">
        <v>746</v>
      </c>
      <c r="E639" s="145" t="s">
        <v>643</v>
      </c>
      <c r="F639" s="148" t="s">
        <v>1106</v>
      </c>
      <c r="G639" s="145" t="s">
        <v>879</v>
      </c>
    </row>
    <row r="640" spans="2:7" ht="26.4" x14ac:dyDescent="0.3">
      <c r="B640" s="145" t="s">
        <v>647</v>
      </c>
      <c r="C640" s="145" t="s">
        <v>419</v>
      </c>
      <c r="D640" s="146" t="s">
        <v>746</v>
      </c>
      <c r="E640" s="145" t="s">
        <v>643</v>
      </c>
      <c r="F640" s="148" t="s">
        <v>1204</v>
      </c>
      <c r="G640" s="145" t="s">
        <v>879</v>
      </c>
    </row>
    <row r="641" spans="2:7" ht="26.4" x14ac:dyDescent="0.3">
      <c r="B641" s="145" t="s">
        <v>647</v>
      </c>
      <c r="C641" s="145" t="s">
        <v>419</v>
      </c>
      <c r="D641" s="146" t="s">
        <v>746</v>
      </c>
      <c r="E641" s="145" t="s">
        <v>643</v>
      </c>
      <c r="F641" s="148" t="s">
        <v>1286</v>
      </c>
      <c r="G641" s="145" t="s">
        <v>879</v>
      </c>
    </row>
    <row r="642" spans="2:7" ht="26.4" x14ac:dyDescent="0.3">
      <c r="B642" s="145" t="s">
        <v>647</v>
      </c>
      <c r="C642" s="145" t="s">
        <v>419</v>
      </c>
      <c r="D642" s="146" t="s">
        <v>746</v>
      </c>
      <c r="E642" s="145" t="s">
        <v>643</v>
      </c>
      <c r="F642" s="148" t="s">
        <v>1348</v>
      </c>
      <c r="G642" s="145" t="s">
        <v>879</v>
      </c>
    </row>
    <row r="643" spans="2:7" ht="26.4" x14ac:dyDescent="0.3">
      <c r="B643" s="145" t="s">
        <v>647</v>
      </c>
      <c r="C643" s="145" t="s">
        <v>420</v>
      </c>
      <c r="D643" s="146" t="s">
        <v>450</v>
      </c>
      <c r="E643" s="145" t="s">
        <v>435</v>
      </c>
      <c r="F643" s="148" t="s">
        <v>995</v>
      </c>
      <c r="G643" s="145" t="s">
        <v>880</v>
      </c>
    </row>
    <row r="644" spans="2:7" ht="26.4" x14ac:dyDescent="0.3">
      <c r="B644" s="145" t="s">
        <v>647</v>
      </c>
      <c r="C644" s="145" t="s">
        <v>420</v>
      </c>
      <c r="D644" s="146" t="s">
        <v>450</v>
      </c>
      <c r="E644" s="145" t="s">
        <v>435</v>
      </c>
      <c r="F644" s="148" t="s">
        <v>1107</v>
      </c>
      <c r="G644" s="145" t="s">
        <v>880</v>
      </c>
    </row>
    <row r="645" spans="2:7" ht="39.6" x14ac:dyDescent="0.3">
      <c r="B645" s="145" t="s">
        <v>647</v>
      </c>
      <c r="C645" s="145" t="s">
        <v>420</v>
      </c>
      <c r="D645" s="146" t="s">
        <v>481</v>
      </c>
      <c r="E645" s="145" t="s">
        <v>466</v>
      </c>
      <c r="F645" s="148" t="s">
        <v>996</v>
      </c>
      <c r="G645" s="145" t="s">
        <v>881</v>
      </c>
    </row>
    <row r="646" spans="2:7" ht="39.6" x14ac:dyDescent="0.3">
      <c r="B646" s="145" t="s">
        <v>647</v>
      </c>
      <c r="C646" s="145" t="s">
        <v>420</v>
      </c>
      <c r="D646" s="146" t="s">
        <v>481</v>
      </c>
      <c r="E646" s="145" t="s">
        <v>466</v>
      </c>
      <c r="F646" s="148" t="s">
        <v>1108</v>
      </c>
      <c r="G646" s="145" t="s">
        <v>881</v>
      </c>
    </row>
    <row r="647" spans="2:7" ht="52.8" x14ac:dyDescent="0.3">
      <c r="B647" s="145" t="s">
        <v>647</v>
      </c>
      <c r="C647" s="145" t="s">
        <v>420</v>
      </c>
      <c r="D647" s="146" t="s">
        <v>511</v>
      </c>
      <c r="E647" s="145" t="s">
        <v>496</v>
      </c>
      <c r="F647" s="148" t="s">
        <v>997</v>
      </c>
      <c r="G647" s="145" t="s">
        <v>882</v>
      </c>
    </row>
    <row r="648" spans="2:7" ht="52.8" x14ac:dyDescent="0.3">
      <c r="B648" s="145" t="s">
        <v>647</v>
      </c>
      <c r="C648" s="145" t="s">
        <v>420</v>
      </c>
      <c r="D648" s="146" t="s">
        <v>511</v>
      </c>
      <c r="E648" s="145" t="s">
        <v>496</v>
      </c>
      <c r="F648" s="148" t="s">
        <v>1109</v>
      </c>
      <c r="G648" s="145" t="s">
        <v>882</v>
      </c>
    </row>
    <row r="649" spans="2:7" ht="52.8" x14ac:dyDescent="0.3">
      <c r="B649" s="145" t="s">
        <v>647</v>
      </c>
      <c r="C649" s="145" t="s">
        <v>420</v>
      </c>
      <c r="D649" s="146" t="s">
        <v>511</v>
      </c>
      <c r="E649" s="145" t="s">
        <v>496</v>
      </c>
      <c r="F649" s="148" t="s">
        <v>1205</v>
      </c>
      <c r="G649" s="145" t="s">
        <v>882</v>
      </c>
    </row>
    <row r="650" spans="2:7" ht="52.8" x14ac:dyDescent="0.3">
      <c r="B650" s="145" t="s">
        <v>647</v>
      </c>
      <c r="C650" s="145" t="s">
        <v>420</v>
      </c>
      <c r="D650" s="146" t="s">
        <v>511</v>
      </c>
      <c r="E650" s="145" t="s">
        <v>496</v>
      </c>
      <c r="F650" s="148" t="s">
        <v>1287</v>
      </c>
      <c r="G650" s="145" t="s">
        <v>882</v>
      </c>
    </row>
    <row r="651" spans="2:7" ht="52.8" x14ac:dyDescent="0.3">
      <c r="B651" s="145" t="s">
        <v>647</v>
      </c>
      <c r="C651" s="145" t="s">
        <v>420</v>
      </c>
      <c r="D651" s="146" t="s">
        <v>511</v>
      </c>
      <c r="E651" s="145" t="s">
        <v>496</v>
      </c>
      <c r="F651" s="148" t="s">
        <v>1349</v>
      </c>
      <c r="G651" s="145" t="s">
        <v>882</v>
      </c>
    </row>
    <row r="652" spans="2:7" ht="52.8" x14ac:dyDescent="0.3">
      <c r="B652" s="145" t="s">
        <v>647</v>
      </c>
      <c r="C652" s="145" t="s">
        <v>420</v>
      </c>
      <c r="D652" s="146" t="s">
        <v>511</v>
      </c>
      <c r="E652" s="145" t="s">
        <v>496</v>
      </c>
      <c r="F652" s="148" t="s">
        <v>1396</v>
      </c>
      <c r="G652" s="145" t="s">
        <v>882</v>
      </c>
    </row>
    <row r="653" spans="2:7" ht="39.6" x14ac:dyDescent="0.3">
      <c r="B653" s="145" t="s">
        <v>647</v>
      </c>
      <c r="C653" s="145" t="s">
        <v>420</v>
      </c>
      <c r="D653" s="146" t="s">
        <v>538</v>
      </c>
      <c r="E653" s="145" t="s">
        <v>524</v>
      </c>
      <c r="F653" s="148" t="s">
        <v>998</v>
      </c>
      <c r="G653" s="145" t="s">
        <v>883</v>
      </c>
    </row>
    <row r="654" spans="2:7" ht="39.6" x14ac:dyDescent="0.3">
      <c r="B654" s="145" t="s">
        <v>647</v>
      </c>
      <c r="C654" s="145" t="s">
        <v>420</v>
      </c>
      <c r="D654" s="146" t="s">
        <v>538</v>
      </c>
      <c r="E654" s="145" t="s">
        <v>524</v>
      </c>
      <c r="F654" s="148" t="s">
        <v>1110</v>
      </c>
      <c r="G654" s="145" t="s">
        <v>883</v>
      </c>
    </row>
    <row r="655" spans="2:7" ht="39.6" x14ac:dyDescent="0.3">
      <c r="B655" s="145" t="s">
        <v>647</v>
      </c>
      <c r="C655" s="145" t="s">
        <v>420</v>
      </c>
      <c r="D655" s="146" t="s">
        <v>538</v>
      </c>
      <c r="E655" s="145" t="s">
        <v>524</v>
      </c>
      <c r="F655" s="148" t="s">
        <v>1206</v>
      </c>
      <c r="G655" s="145" t="s">
        <v>883</v>
      </c>
    </row>
    <row r="656" spans="2:7" ht="39.6" x14ac:dyDescent="0.3">
      <c r="B656" s="145" t="s">
        <v>647</v>
      </c>
      <c r="C656" s="145" t="s">
        <v>420</v>
      </c>
      <c r="D656" s="146" t="s">
        <v>538</v>
      </c>
      <c r="E656" s="145" t="s">
        <v>524</v>
      </c>
      <c r="F656" s="148" t="s">
        <v>1288</v>
      </c>
      <c r="G656" s="145" t="s">
        <v>883</v>
      </c>
    </row>
    <row r="657" spans="2:7" ht="39.6" x14ac:dyDescent="0.3">
      <c r="B657" s="145" t="s">
        <v>647</v>
      </c>
      <c r="C657" s="145" t="s">
        <v>420</v>
      </c>
      <c r="D657" s="146" t="s">
        <v>538</v>
      </c>
      <c r="E657" s="145" t="s">
        <v>524</v>
      </c>
      <c r="F657" s="148" t="s">
        <v>1350</v>
      </c>
      <c r="G657" s="145" t="s">
        <v>883</v>
      </c>
    </row>
    <row r="658" spans="2:7" ht="26.4" x14ac:dyDescent="0.3">
      <c r="B658" s="145" t="s">
        <v>647</v>
      </c>
      <c r="C658" s="145" t="s">
        <v>420</v>
      </c>
      <c r="D658" s="146" t="s">
        <v>709</v>
      </c>
      <c r="E658" s="145" t="s">
        <v>550</v>
      </c>
      <c r="F658" s="148" t="s">
        <v>999</v>
      </c>
      <c r="G658" s="145" t="s">
        <v>884</v>
      </c>
    </row>
    <row r="659" spans="2:7" ht="26.4" x14ac:dyDescent="0.3">
      <c r="B659" s="145" t="s">
        <v>647</v>
      </c>
      <c r="C659" s="145" t="s">
        <v>420</v>
      </c>
      <c r="D659" s="146" t="s">
        <v>709</v>
      </c>
      <c r="E659" s="145" t="s">
        <v>550</v>
      </c>
      <c r="F659" s="148" t="s">
        <v>1111</v>
      </c>
      <c r="G659" s="145" t="s">
        <v>884</v>
      </c>
    </row>
    <row r="660" spans="2:7" ht="26.4" x14ac:dyDescent="0.3">
      <c r="B660" s="145" t="s">
        <v>647</v>
      </c>
      <c r="C660" s="145" t="s">
        <v>420</v>
      </c>
      <c r="D660" s="146" t="s">
        <v>709</v>
      </c>
      <c r="E660" s="145" t="s">
        <v>550</v>
      </c>
      <c r="F660" s="148" t="s">
        <v>1207</v>
      </c>
      <c r="G660" s="145" t="s">
        <v>884</v>
      </c>
    </row>
    <row r="661" spans="2:7" ht="26.4" x14ac:dyDescent="0.3">
      <c r="B661" s="145" t="s">
        <v>647</v>
      </c>
      <c r="C661" s="145" t="s">
        <v>420</v>
      </c>
      <c r="D661" s="146" t="s">
        <v>709</v>
      </c>
      <c r="E661" s="145" t="s">
        <v>550</v>
      </c>
      <c r="F661" s="148" t="s">
        <v>1289</v>
      </c>
      <c r="G661" s="145" t="s">
        <v>884</v>
      </c>
    </row>
    <row r="662" spans="2:7" ht="26.4" x14ac:dyDescent="0.3">
      <c r="B662" s="145" t="s">
        <v>647</v>
      </c>
      <c r="C662" s="145" t="s">
        <v>420</v>
      </c>
      <c r="D662" s="146" t="s">
        <v>709</v>
      </c>
      <c r="E662" s="145" t="s">
        <v>550</v>
      </c>
      <c r="F662" s="148" t="s">
        <v>1351</v>
      </c>
      <c r="G662" s="145" t="s">
        <v>884</v>
      </c>
    </row>
    <row r="663" spans="2:7" ht="26.4" x14ac:dyDescent="0.3">
      <c r="B663" s="145" t="s">
        <v>647</v>
      </c>
      <c r="C663" s="145" t="s">
        <v>420</v>
      </c>
      <c r="D663" s="146" t="s">
        <v>709</v>
      </c>
      <c r="E663" s="145" t="s">
        <v>550</v>
      </c>
      <c r="F663" s="148" t="s">
        <v>1397</v>
      </c>
      <c r="G663" s="145" t="s">
        <v>884</v>
      </c>
    </row>
    <row r="664" spans="2:7" ht="26.4" x14ac:dyDescent="0.3">
      <c r="B664" s="145" t="s">
        <v>647</v>
      </c>
      <c r="C664" s="145" t="s">
        <v>420</v>
      </c>
      <c r="D664" s="146" t="s">
        <v>709</v>
      </c>
      <c r="E664" s="145" t="s">
        <v>550</v>
      </c>
      <c r="F664" s="148" t="s">
        <v>1436</v>
      </c>
      <c r="G664" s="145" t="s">
        <v>884</v>
      </c>
    </row>
    <row r="665" spans="2:7" ht="26.4" x14ac:dyDescent="0.3">
      <c r="B665" s="145" t="s">
        <v>647</v>
      </c>
      <c r="C665" s="145" t="s">
        <v>420</v>
      </c>
      <c r="D665" s="146" t="s">
        <v>720</v>
      </c>
      <c r="E665" s="145" t="s">
        <v>575</v>
      </c>
      <c r="F665" s="148" t="s">
        <v>1000</v>
      </c>
      <c r="G665" s="145" t="s">
        <v>885</v>
      </c>
    </row>
    <row r="666" spans="2:7" ht="26.4" x14ac:dyDescent="0.3">
      <c r="B666" s="145" t="s">
        <v>647</v>
      </c>
      <c r="C666" s="145" t="s">
        <v>420</v>
      </c>
      <c r="D666" s="146" t="s">
        <v>720</v>
      </c>
      <c r="E666" s="145" t="s">
        <v>575</v>
      </c>
      <c r="F666" s="148" t="s">
        <v>1112</v>
      </c>
      <c r="G666" s="145" t="s">
        <v>885</v>
      </c>
    </row>
    <row r="667" spans="2:7" ht="26.4" x14ac:dyDescent="0.3">
      <c r="B667" s="145" t="s">
        <v>647</v>
      </c>
      <c r="C667" s="145" t="s">
        <v>420</v>
      </c>
      <c r="D667" s="146" t="s">
        <v>720</v>
      </c>
      <c r="E667" s="145" t="s">
        <v>575</v>
      </c>
      <c r="F667" s="148" t="s">
        <v>1208</v>
      </c>
      <c r="G667" s="145" t="s">
        <v>885</v>
      </c>
    </row>
    <row r="668" spans="2:7" ht="39.6" x14ac:dyDescent="0.3">
      <c r="B668" s="145" t="s">
        <v>647</v>
      </c>
      <c r="C668" s="145" t="s">
        <v>420</v>
      </c>
      <c r="D668" s="146" t="s">
        <v>731</v>
      </c>
      <c r="E668" s="145" t="s">
        <v>598</v>
      </c>
      <c r="F668" s="148" t="s">
        <v>1001</v>
      </c>
      <c r="G668" s="145" t="s">
        <v>886</v>
      </c>
    </row>
    <row r="669" spans="2:7" ht="39.6" x14ac:dyDescent="0.3">
      <c r="B669" s="145" t="s">
        <v>647</v>
      </c>
      <c r="C669" s="145" t="s">
        <v>420</v>
      </c>
      <c r="D669" s="146" t="s">
        <v>731</v>
      </c>
      <c r="E669" s="145" t="s">
        <v>598</v>
      </c>
      <c r="F669" s="148" t="s">
        <v>1113</v>
      </c>
      <c r="G669" s="145" t="s">
        <v>886</v>
      </c>
    </row>
    <row r="670" spans="2:7" ht="39.6" x14ac:dyDescent="0.3">
      <c r="B670" s="145" t="s">
        <v>647</v>
      </c>
      <c r="C670" s="145" t="s">
        <v>420</v>
      </c>
      <c r="D670" s="146" t="s">
        <v>731</v>
      </c>
      <c r="E670" s="145" t="s">
        <v>598</v>
      </c>
      <c r="F670" s="148" t="s">
        <v>1209</v>
      </c>
      <c r="G670" s="145" t="s">
        <v>886</v>
      </c>
    </row>
    <row r="671" spans="2:7" ht="39.6" x14ac:dyDescent="0.3">
      <c r="B671" s="145" t="s">
        <v>647</v>
      </c>
      <c r="C671" s="145" t="s">
        <v>420</v>
      </c>
      <c r="D671" s="146" t="s">
        <v>731</v>
      </c>
      <c r="E671" s="145" t="s">
        <v>598</v>
      </c>
      <c r="F671" s="148" t="s">
        <v>1290</v>
      </c>
      <c r="G671" s="145" t="s">
        <v>886</v>
      </c>
    </row>
    <row r="672" spans="2:7" ht="52.8" x14ac:dyDescent="0.3">
      <c r="B672" s="145" t="s">
        <v>647</v>
      </c>
      <c r="C672" s="145" t="s">
        <v>420</v>
      </c>
      <c r="D672" s="146" t="s">
        <v>737</v>
      </c>
      <c r="E672" s="145" t="s">
        <v>616</v>
      </c>
      <c r="F672" s="148" t="s">
        <v>1002</v>
      </c>
      <c r="G672" s="145" t="s">
        <v>887</v>
      </c>
    </row>
    <row r="673" spans="2:7" ht="52.8" x14ac:dyDescent="0.3">
      <c r="B673" s="145" t="s">
        <v>647</v>
      </c>
      <c r="C673" s="145" t="s">
        <v>420</v>
      </c>
      <c r="D673" s="146" t="s">
        <v>737</v>
      </c>
      <c r="E673" s="145" t="s">
        <v>616</v>
      </c>
      <c r="F673" s="148" t="s">
        <v>1114</v>
      </c>
      <c r="G673" s="145" t="s">
        <v>887</v>
      </c>
    </row>
    <row r="674" spans="2:7" ht="52.8" x14ac:dyDescent="0.3">
      <c r="B674" s="145" t="s">
        <v>647</v>
      </c>
      <c r="C674" s="145" t="s">
        <v>420</v>
      </c>
      <c r="D674" s="146" t="s">
        <v>737</v>
      </c>
      <c r="E674" s="145" t="s">
        <v>616</v>
      </c>
      <c r="F674" s="148" t="s">
        <v>1210</v>
      </c>
      <c r="G674" s="145" t="s">
        <v>887</v>
      </c>
    </row>
    <row r="675" spans="2:7" ht="52.8" x14ac:dyDescent="0.3">
      <c r="B675" s="145" t="s">
        <v>647</v>
      </c>
      <c r="C675" s="145" t="s">
        <v>420</v>
      </c>
      <c r="D675" s="146" t="s">
        <v>737</v>
      </c>
      <c r="E675" s="145" t="s">
        <v>616</v>
      </c>
      <c r="F675" s="148" t="s">
        <v>1291</v>
      </c>
      <c r="G675" s="145" t="s">
        <v>887</v>
      </c>
    </row>
    <row r="676" spans="2:7" ht="52.8" x14ac:dyDescent="0.3">
      <c r="B676" s="145" t="s">
        <v>647</v>
      </c>
      <c r="C676" s="145" t="s">
        <v>420</v>
      </c>
      <c r="D676" s="146" t="s">
        <v>737</v>
      </c>
      <c r="E676" s="145" t="s">
        <v>616</v>
      </c>
      <c r="F676" s="148" t="s">
        <v>1352</v>
      </c>
      <c r="G676" s="145" t="s">
        <v>887</v>
      </c>
    </row>
    <row r="677" spans="2:7" ht="52.8" x14ac:dyDescent="0.3">
      <c r="B677" s="145" t="s">
        <v>647</v>
      </c>
      <c r="C677" s="145" t="s">
        <v>420</v>
      </c>
      <c r="D677" s="146" t="s">
        <v>737</v>
      </c>
      <c r="E677" s="145" t="s">
        <v>616</v>
      </c>
      <c r="F677" s="148" t="s">
        <v>1398</v>
      </c>
      <c r="G677" s="145" t="s">
        <v>887</v>
      </c>
    </row>
    <row r="678" spans="2:7" ht="52.8" x14ac:dyDescent="0.3">
      <c r="B678" s="145" t="s">
        <v>647</v>
      </c>
      <c r="C678" s="145" t="s">
        <v>420</v>
      </c>
      <c r="D678" s="146" t="s">
        <v>737</v>
      </c>
      <c r="E678" s="145" t="s">
        <v>616</v>
      </c>
      <c r="F678" s="148" t="s">
        <v>1437</v>
      </c>
      <c r="G678" s="145" t="s">
        <v>887</v>
      </c>
    </row>
    <row r="679" spans="2:7" ht="52.8" x14ac:dyDescent="0.3">
      <c r="B679" s="145" t="s">
        <v>647</v>
      </c>
      <c r="C679" s="145" t="s">
        <v>420</v>
      </c>
      <c r="D679" s="146" t="s">
        <v>737</v>
      </c>
      <c r="E679" s="145" t="s">
        <v>616</v>
      </c>
      <c r="F679" s="148" t="s">
        <v>1463</v>
      </c>
      <c r="G679" s="145" t="s">
        <v>887</v>
      </c>
    </row>
    <row r="680" spans="2:7" ht="52.8" x14ac:dyDescent="0.3">
      <c r="B680" s="145" t="s">
        <v>647</v>
      </c>
      <c r="C680" s="145" t="s">
        <v>420</v>
      </c>
      <c r="D680" s="146" t="s">
        <v>737</v>
      </c>
      <c r="E680" s="145" t="s">
        <v>616</v>
      </c>
      <c r="F680" s="148" t="s">
        <v>1482</v>
      </c>
      <c r="G680" s="145" t="s">
        <v>887</v>
      </c>
    </row>
    <row r="681" spans="2:7" ht="52.8" x14ac:dyDescent="0.3">
      <c r="B681" s="145" t="s">
        <v>647</v>
      </c>
      <c r="C681" s="145" t="s">
        <v>420</v>
      </c>
      <c r="D681" s="146" t="s">
        <v>737</v>
      </c>
      <c r="E681" s="145" t="s">
        <v>616</v>
      </c>
      <c r="F681" s="148" t="s">
        <v>1500</v>
      </c>
      <c r="G681" s="145" t="s">
        <v>887</v>
      </c>
    </row>
    <row r="682" spans="2:7" ht="52.8" x14ac:dyDescent="0.3">
      <c r="B682" s="145" t="s">
        <v>647</v>
      </c>
      <c r="C682" s="145" t="s">
        <v>420</v>
      </c>
      <c r="D682" s="146" t="s">
        <v>737</v>
      </c>
      <c r="E682" s="145" t="s">
        <v>616</v>
      </c>
      <c r="F682" s="148" t="s">
        <v>1514</v>
      </c>
      <c r="G682" s="145" t="s">
        <v>887</v>
      </c>
    </row>
    <row r="683" spans="2:7" ht="52.8" x14ac:dyDescent="0.3">
      <c r="B683" s="145" t="s">
        <v>647</v>
      </c>
      <c r="C683" s="145" t="s">
        <v>420</v>
      </c>
      <c r="D683" s="146" t="s">
        <v>737</v>
      </c>
      <c r="E683" s="145" t="s">
        <v>616</v>
      </c>
      <c r="F683" s="148" t="s">
        <v>1527</v>
      </c>
      <c r="G683" s="145" t="s">
        <v>887</v>
      </c>
    </row>
    <row r="684" spans="2:7" ht="52.8" x14ac:dyDescent="0.3">
      <c r="B684" s="145" t="s">
        <v>647</v>
      </c>
      <c r="C684" s="145" t="s">
        <v>420</v>
      </c>
      <c r="D684" s="146" t="s">
        <v>737</v>
      </c>
      <c r="E684" s="145" t="s">
        <v>616</v>
      </c>
      <c r="F684" s="148" t="s">
        <v>1537</v>
      </c>
      <c r="G684" s="145" t="s">
        <v>887</v>
      </c>
    </row>
    <row r="685" spans="2:7" ht="52.8" x14ac:dyDescent="0.3">
      <c r="B685" s="145" t="s">
        <v>647</v>
      </c>
      <c r="C685" s="145" t="s">
        <v>420</v>
      </c>
      <c r="D685" s="146" t="s">
        <v>737</v>
      </c>
      <c r="E685" s="145" t="s">
        <v>616</v>
      </c>
      <c r="F685" s="148" t="s">
        <v>1547</v>
      </c>
      <c r="G685" s="145" t="s">
        <v>887</v>
      </c>
    </row>
    <row r="686" spans="2:7" ht="52.8" x14ac:dyDescent="0.3">
      <c r="B686" s="145" t="s">
        <v>647</v>
      </c>
      <c r="C686" s="145" t="s">
        <v>420</v>
      </c>
      <c r="D686" s="146" t="s">
        <v>737</v>
      </c>
      <c r="E686" s="145" t="s">
        <v>616</v>
      </c>
      <c r="F686" s="148" t="s">
        <v>1555</v>
      </c>
      <c r="G686" s="145" t="s">
        <v>887</v>
      </c>
    </row>
    <row r="687" spans="2:7" x14ac:dyDescent="0.3">
      <c r="B687" s="145" t="s">
        <v>647</v>
      </c>
      <c r="C687" s="145" t="s">
        <v>343</v>
      </c>
      <c r="D687" s="146" t="s">
        <v>451</v>
      </c>
      <c r="E687" s="145" t="s">
        <v>436</v>
      </c>
      <c r="F687" s="148" t="s">
        <v>1003</v>
      </c>
      <c r="G687" s="145" t="s">
        <v>888</v>
      </c>
    </row>
    <row r="688" spans="2:7" x14ac:dyDescent="0.3">
      <c r="B688" s="145" t="s">
        <v>647</v>
      </c>
      <c r="C688" s="145" t="s">
        <v>343</v>
      </c>
      <c r="D688" s="146" t="s">
        <v>451</v>
      </c>
      <c r="E688" s="145" t="s">
        <v>436</v>
      </c>
      <c r="F688" s="148" t="s">
        <v>1115</v>
      </c>
      <c r="G688" s="145" t="s">
        <v>888</v>
      </c>
    </row>
    <row r="689" spans="2:7" x14ac:dyDescent="0.3">
      <c r="B689" s="145" t="s">
        <v>647</v>
      </c>
      <c r="C689" s="145" t="s">
        <v>343</v>
      </c>
      <c r="D689" s="146" t="s">
        <v>451</v>
      </c>
      <c r="E689" s="145" t="s">
        <v>436</v>
      </c>
      <c r="F689" s="148" t="s">
        <v>1211</v>
      </c>
      <c r="G689" s="145" t="s">
        <v>888</v>
      </c>
    </row>
    <row r="690" spans="2:7" x14ac:dyDescent="0.3">
      <c r="B690" s="145" t="s">
        <v>647</v>
      </c>
      <c r="C690" s="145" t="s">
        <v>343</v>
      </c>
      <c r="D690" s="146" t="s">
        <v>451</v>
      </c>
      <c r="E690" s="145" t="s">
        <v>436</v>
      </c>
      <c r="F690" s="148" t="s">
        <v>1292</v>
      </c>
      <c r="G690" s="145" t="s">
        <v>888</v>
      </c>
    </row>
    <row r="691" spans="2:7" x14ac:dyDescent="0.3">
      <c r="B691" s="145" t="s">
        <v>647</v>
      </c>
      <c r="C691" s="145" t="s">
        <v>343</v>
      </c>
      <c r="D691" s="146" t="s">
        <v>451</v>
      </c>
      <c r="E691" s="145" t="s">
        <v>436</v>
      </c>
      <c r="F691" s="148" t="s">
        <v>1353</v>
      </c>
      <c r="G691" s="145" t="s">
        <v>888</v>
      </c>
    </row>
    <row r="692" spans="2:7" ht="26.4" x14ac:dyDescent="0.3">
      <c r="B692" s="145" t="s">
        <v>647</v>
      </c>
      <c r="C692" s="145" t="s">
        <v>343</v>
      </c>
      <c r="D692" s="146" t="s">
        <v>674</v>
      </c>
      <c r="E692" s="145" t="s">
        <v>467</v>
      </c>
      <c r="F692" s="148" t="s">
        <v>1004</v>
      </c>
      <c r="G692" s="145" t="s">
        <v>889</v>
      </c>
    </row>
    <row r="693" spans="2:7" ht="26.4" x14ac:dyDescent="0.3">
      <c r="B693" s="145" t="s">
        <v>647</v>
      </c>
      <c r="C693" s="145" t="s">
        <v>343</v>
      </c>
      <c r="D693" s="146" t="s">
        <v>674</v>
      </c>
      <c r="E693" s="145" t="s">
        <v>467</v>
      </c>
      <c r="F693" s="148" t="s">
        <v>1116</v>
      </c>
      <c r="G693" s="145" t="s">
        <v>889</v>
      </c>
    </row>
    <row r="694" spans="2:7" ht="26.4" x14ac:dyDescent="0.3">
      <c r="B694" s="145" t="s">
        <v>647</v>
      </c>
      <c r="C694" s="145" t="s">
        <v>343</v>
      </c>
      <c r="D694" s="146" t="s">
        <v>674</v>
      </c>
      <c r="E694" s="145" t="s">
        <v>467</v>
      </c>
      <c r="F694" s="148" t="s">
        <v>1212</v>
      </c>
      <c r="G694" s="145" t="s">
        <v>889</v>
      </c>
    </row>
    <row r="695" spans="2:7" ht="26.4" x14ac:dyDescent="0.3">
      <c r="B695" s="145" t="s">
        <v>647</v>
      </c>
      <c r="C695" s="145" t="s">
        <v>343</v>
      </c>
      <c r="D695" s="146" t="s">
        <v>674</v>
      </c>
      <c r="E695" s="145" t="s">
        <v>467</v>
      </c>
      <c r="F695" s="148" t="s">
        <v>1293</v>
      </c>
      <c r="G695" s="145" t="s">
        <v>889</v>
      </c>
    </row>
    <row r="696" spans="2:7" ht="26.4" x14ac:dyDescent="0.3">
      <c r="B696" s="145" t="s">
        <v>647</v>
      </c>
      <c r="C696" s="145" t="s">
        <v>343</v>
      </c>
      <c r="D696" s="146" t="s">
        <v>674</v>
      </c>
      <c r="E696" s="145" t="s">
        <v>467</v>
      </c>
      <c r="F696" s="148" t="s">
        <v>1354</v>
      </c>
      <c r="G696" s="145" t="s">
        <v>889</v>
      </c>
    </row>
    <row r="697" spans="2:7" x14ac:dyDescent="0.3">
      <c r="B697" s="145" t="s">
        <v>647</v>
      </c>
      <c r="C697" s="145" t="s">
        <v>343</v>
      </c>
      <c r="D697" s="146" t="s">
        <v>687</v>
      </c>
      <c r="E697" s="145" t="s">
        <v>497</v>
      </c>
      <c r="F697" s="148" t="s">
        <v>1005</v>
      </c>
      <c r="G697" s="145" t="s">
        <v>890</v>
      </c>
    </row>
    <row r="698" spans="2:7" x14ac:dyDescent="0.3">
      <c r="B698" s="145" t="s">
        <v>647</v>
      </c>
      <c r="C698" s="145" t="s">
        <v>343</v>
      </c>
      <c r="D698" s="146" t="s">
        <v>687</v>
      </c>
      <c r="E698" s="145" t="s">
        <v>497</v>
      </c>
      <c r="F698" s="148" t="s">
        <v>1117</v>
      </c>
      <c r="G698" s="145" t="s">
        <v>890</v>
      </c>
    </row>
    <row r="699" spans="2:7" x14ac:dyDescent="0.3">
      <c r="B699" s="145" t="s">
        <v>647</v>
      </c>
      <c r="C699" s="145" t="s">
        <v>343</v>
      </c>
      <c r="D699" s="146" t="s">
        <v>698</v>
      </c>
      <c r="E699" s="145" t="s">
        <v>525</v>
      </c>
      <c r="F699" s="148" t="s">
        <v>977</v>
      </c>
      <c r="G699" s="145" t="s">
        <v>891</v>
      </c>
    </row>
    <row r="700" spans="2:7" x14ac:dyDescent="0.3">
      <c r="B700" s="145" t="s">
        <v>647</v>
      </c>
      <c r="C700" s="145" t="s">
        <v>343</v>
      </c>
      <c r="D700" s="146" t="s">
        <v>698</v>
      </c>
      <c r="E700" s="145" t="s">
        <v>525</v>
      </c>
      <c r="F700" s="148" t="s">
        <v>1118</v>
      </c>
      <c r="G700" s="145" t="s">
        <v>891</v>
      </c>
    </row>
    <row r="701" spans="2:7" x14ac:dyDescent="0.3">
      <c r="B701" s="145" t="s">
        <v>647</v>
      </c>
      <c r="C701" s="145" t="s">
        <v>343</v>
      </c>
      <c r="D701" s="146" t="s">
        <v>698</v>
      </c>
      <c r="E701" s="145" t="s">
        <v>525</v>
      </c>
      <c r="F701" s="148" t="s">
        <v>1213</v>
      </c>
      <c r="G701" s="145" t="s">
        <v>891</v>
      </c>
    </row>
    <row r="702" spans="2:7" ht="26.4" x14ac:dyDescent="0.3">
      <c r="B702" s="145" t="s">
        <v>647</v>
      </c>
      <c r="C702" s="145" t="s">
        <v>343</v>
      </c>
      <c r="D702" s="146" t="s">
        <v>710</v>
      </c>
      <c r="E702" s="145" t="s">
        <v>551</v>
      </c>
      <c r="F702" s="148" t="s">
        <v>1006</v>
      </c>
      <c r="G702" s="145" t="s">
        <v>892</v>
      </c>
    </row>
    <row r="703" spans="2:7" ht="26.4" x14ac:dyDescent="0.3">
      <c r="B703" s="145" t="s">
        <v>647</v>
      </c>
      <c r="C703" s="145" t="s">
        <v>343</v>
      </c>
      <c r="D703" s="146" t="s">
        <v>710</v>
      </c>
      <c r="E703" s="145" t="s">
        <v>551</v>
      </c>
      <c r="F703" s="148" t="s">
        <v>1119</v>
      </c>
      <c r="G703" s="145" t="s">
        <v>892</v>
      </c>
    </row>
    <row r="704" spans="2:7" ht="26.4" x14ac:dyDescent="0.3">
      <c r="B704" s="145" t="s">
        <v>647</v>
      </c>
      <c r="C704" s="145" t="s">
        <v>343</v>
      </c>
      <c r="D704" s="146" t="s">
        <v>710</v>
      </c>
      <c r="E704" s="145" t="s">
        <v>551</v>
      </c>
      <c r="F704" s="148" t="s">
        <v>1214</v>
      </c>
      <c r="G704" s="145" t="s">
        <v>892</v>
      </c>
    </row>
    <row r="705" spans="2:7" ht="26.4" x14ac:dyDescent="0.3">
      <c r="B705" s="145" t="s">
        <v>647</v>
      </c>
      <c r="C705" s="145" t="s">
        <v>343</v>
      </c>
      <c r="D705" s="146" t="s">
        <v>710</v>
      </c>
      <c r="E705" s="145" t="s">
        <v>551</v>
      </c>
      <c r="F705" s="148" t="s">
        <v>1294</v>
      </c>
      <c r="G705" s="145" t="s">
        <v>892</v>
      </c>
    </row>
    <row r="706" spans="2:7" ht="26.4" x14ac:dyDescent="0.3">
      <c r="B706" s="145" t="s">
        <v>647</v>
      </c>
      <c r="C706" s="145" t="s">
        <v>343</v>
      </c>
      <c r="D706" s="146" t="s">
        <v>721</v>
      </c>
      <c r="E706" s="145" t="s">
        <v>576</v>
      </c>
      <c r="F706" s="148" t="s">
        <v>1007</v>
      </c>
      <c r="G706" s="145" t="s">
        <v>893</v>
      </c>
    </row>
    <row r="707" spans="2:7" ht="26.4" x14ac:dyDescent="0.3">
      <c r="B707" s="145" t="s">
        <v>647</v>
      </c>
      <c r="C707" s="145" t="s">
        <v>343</v>
      </c>
      <c r="D707" s="146" t="s">
        <v>721</v>
      </c>
      <c r="E707" s="145" t="s">
        <v>576</v>
      </c>
      <c r="F707" s="148" t="s">
        <v>1120</v>
      </c>
      <c r="G707" s="145" t="s">
        <v>893</v>
      </c>
    </row>
    <row r="708" spans="2:7" ht="26.4" x14ac:dyDescent="0.3">
      <c r="B708" s="145" t="s">
        <v>647</v>
      </c>
      <c r="C708" s="145" t="s">
        <v>343</v>
      </c>
      <c r="D708" s="146" t="s">
        <v>721</v>
      </c>
      <c r="E708" s="145" t="s">
        <v>576</v>
      </c>
      <c r="F708" s="148" t="s">
        <v>1215</v>
      </c>
      <c r="G708" s="145" t="s">
        <v>893</v>
      </c>
    </row>
    <row r="709" spans="2:7" ht="26.4" x14ac:dyDescent="0.3">
      <c r="B709" s="145" t="s">
        <v>647</v>
      </c>
      <c r="C709" s="145" t="s">
        <v>343</v>
      </c>
      <c r="D709" s="146" t="s">
        <v>721</v>
      </c>
      <c r="E709" s="145" t="s">
        <v>576</v>
      </c>
      <c r="F709" s="148" t="s">
        <v>1295</v>
      </c>
      <c r="G709" s="145" t="s">
        <v>893</v>
      </c>
    </row>
    <row r="710" spans="2:7" ht="26.4" x14ac:dyDescent="0.3">
      <c r="B710" s="145" t="s">
        <v>647</v>
      </c>
      <c r="C710" s="145" t="s">
        <v>343</v>
      </c>
      <c r="D710" s="146" t="s">
        <v>721</v>
      </c>
      <c r="E710" s="145" t="s">
        <v>576</v>
      </c>
      <c r="F710" s="148" t="s">
        <v>1355</v>
      </c>
      <c r="G710" s="145" t="s">
        <v>893</v>
      </c>
    </row>
    <row r="711" spans="2:7" ht="26.4" x14ac:dyDescent="0.3">
      <c r="B711" s="145" t="s">
        <v>647</v>
      </c>
      <c r="C711" s="145" t="s">
        <v>343</v>
      </c>
      <c r="D711" s="146" t="s">
        <v>721</v>
      </c>
      <c r="E711" s="145" t="s">
        <v>576</v>
      </c>
      <c r="F711" s="148" t="s">
        <v>1399</v>
      </c>
      <c r="G711" s="145" t="s">
        <v>893</v>
      </c>
    </row>
    <row r="712" spans="2:7" ht="26.4" x14ac:dyDescent="0.3">
      <c r="B712" s="145" t="s">
        <v>647</v>
      </c>
      <c r="C712" s="145" t="s">
        <v>343</v>
      </c>
      <c r="D712" s="146" t="s">
        <v>721</v>
      </c>
      <c r="E712" s="145" t="s">
        <v>576</v>
      </c>
      <c r="F712" s="148" t="s">
        <v>1438</v>
      </c>
      <c r="G712" s="145" t="s">
        <v>893</v>
      </c>
    </row>
    <row r="713" spans="2:7" ht="26.4" x14ac:dyDescent="0.3">
      <c r="B713" s="145" t="s">
        <v>647</v>
      </c>
      <c r="C713" s="145" t="s">
        <v>343</v>
      </c>
      <c r="D713" s="146" t="s">
        <v>721</v>
      </c>
      <c r="E713" s="145" t="s">
        <v>576</v>
      </c>
      <c r="F713" s="148" t="s">
        <v>1464</v>
      </c>
      <c r="G713" s="145" t="s">
        <v>893</v>
      </c>
    </row>
    <row r="714" spans="2:7" ht="26.4" x14ac:dyDescent="0.3">
      <c r="B714" s="145" t="s">
        <v>647</v>
      </c>
      <c r="C714" s="145" t="s">
        <v>343</v>
      </c>
      <c r="D714" s="146" t="s">
        <v>721</v>
      </c>
      <c r="E714" s="145" t="s">
        <v>576</v>
      </c>
      <c r="F714" s="148" t="s">
        <v>1483</v>
      </c>
      <c r="G714" s="145" t="s">
        <v>893</v>
      </c>
    </row>
    <row r="715" spans="2:7" ht="26.4" x14ac:dyDescent="0.3">
      <c r="B715" s="145" t="s">
        <v>647</v>
      </c>
      <c r="C715" s="145" t="s">
        <v>343</v>
      </c>
      <c r="D715" s="146" t="s">
        <v>721</v>
      </c>
      <c r="E715" s="145" t="s">
        <v>576</v>
      </c>
      <c r="F715" s="148" t="s">
        <v>1501</v>
      </c>
      <c r="G715" s="145" t="s">
        <v>893</v>
      </c>
    </row>
    <row r="716" spans="2:7" ht="26.4" x14ac:dyDescent="0.3">
      <c r="B716" s="145" t="s">
        <v>647</v>
      </c>
      <c r="C716" s="145" t="s">
        <v>343</v>
      </c>
      <c r="D716" s="146" t="s">
        <v>721</v>
      </c>
      <c r="E716" s="145" t="s">
        <v>576</v>
      </c>
      <c r="F716" s="148" t="s">
        <v>1515</v>
      </c>
      <c r="G716" s="145" t="s">
        <v>893</v>
      </c>
    </row>
    <row r="717" spans="2:7" ht="26.4" x14ac:dyDescent="0.3">
      <c r="B717" s="145" t="s">
        <v>647</v>
      </c>
      <c r="C717" s="145" t="s">
        <v>343</v>
      </c>
      <c r="D717" s="146" t="s">
        <v>721</v>
      </c>
      <c r="E717" s="145" t="s">
        <v>576</v>
      </c>
      <c r="F717" s="148" t="s">
        <v>1528</v>
      </c>
      <c r="G717" s="145" t="s">
        <v>893</v>
      </c>
    </row>
    <row r="718" spans="2:7" ht="26.4" x14ac:dyDescent="0.3">
      <c r="B718" s="145" t="s">
        <v>647</v>
      </c>
      <c r="C718" s="145" t="s">
        <v>343</v>
      </c>
      <c r="D718" s="146" t="s">
        <v>721</v>
      </c>
      <c r="E718" s="145" t="s">
        <v>576</v>
      </c>
      <c r="F718" s="148" t="s">
        <v>1538</v>
      </c>
      <c r="G718" s="145" t="s">
        <v>893</v>
      </c>
    </row>
    <row r="719" spans="2:7" ht="26.4" x14ac:dyDescent="0.3">
      <c r="B719" s="145" t="s">
        <v>647</v>
      </c>
      <c r="C719" s="145" t="s">
        <v>343</v>
      </c>
      <c r="D719" s="146" t="s">
        <v>721</v>
      </c>
      <c r="E719" s="145" t="s">
        <v>576</v>
      </c>
      <c r="F719" s="148" t="s">
        <v>1548</v>
      </c>
      <c r="G719" s="145" t="s">
        <v>893</v>
      </c>
    </row>
    <row r="720" spans="2:7" ht="26.4" x14ac:dyDescent="0.3">
      <c r="B720" s="145" t="s">
        <v>647</v>
      </c>
      <c r="C720" s="145" t="s">
        <v>343</v>
      </c>
      <c r="D720" s="146" t="s">
        <v>721</v>
      </c>
      <c r="E720" s="145" t="s">
        <v>576</v>
      </c>
      <c r="F720" s="148" t="s">
        <v>1556</v>
      </c>
      <c r="G720" s="145" t="s">
        <v>893</v>
      </c>
    </row>
    <row r="721" spans="2:7" ht="26.4" x14ac:dyDescent="0.3">
      <c r="B721" s="145" t="s">
        <v>647</v>
      </c>
      <c r="C721" s="145" t="s">
        <v>343</v>
      </c>
      <c r="D721" s="146" t="s">
        <v>721</v>
      </c>
      <c r="E721" s="145" t="s">
        <v>576</v>
      </c>
      <c r="F721" s="148" t="s">
        <v>1564</v>
      </c>
      <c r="G721" s="145" t="s">
        <v>893</v>
      </c>
    </row>
    <row r="722" spans="2:7" ht="26.4" x14ac:dyDescent="0.3">
      <c r="B722" s="145" t="s">
        <v>647</v>
      </c>
      <c r="C722" s="145" t="s">
        <v>343</v>
      </c>
      <c r="D722" s="146" t="s">
        <v>721</v>
      </c>
      <c r="E722" s="145" t="s">
        <v>576</v>
      </c>
      <c r="F722" s="148" t="s">
        <v>1572</v>
      </c>
      <c r="G722" s="145" t="s">
        <v>893</v>
      </c>
    </row>
    <row r="723" spans="2:7" ht="26.4" x14ac:dyDescent="0.3">
      <c r="B723" s="145" t="s">
        <v>647</v>
      </c>
      <c r="C723" s="145" t="s">
        <v>343</v>
      </c>
      <c r="D723" s="146" t="s">
        <v>721</v>
      </c>
      <c r="E723" s="145" t="s">
        <v>576</v>
      </c>
      <c r="F723" s="148" t="s">
        <v>1579</v>
      </c>
      <c r="G723" s="145" t="s">
        <v>893</v>
      </c>
    </row>
    <row r="724" spans="2:7" x14ac:dyDescent="0.3">
      <c r="B724" s="145" t="s">
        <v>647</v>
      </c>
      <c r="C724" s="145" t="s">
        <v>343</v>
      </c>
      <c r="D724" s="146" t="s">
        <v>609</v>
      </c>
      <c r="E724" s="145" t="s">
        <v>599</v>
      </c>
      <c r="F724" s="148" t="s">
        <v>1008</v>
      </c>
      <c r="G724" s="145" t="s">
        <v>894</v>
      </c>
    </row>
    <row r="725" spans="2:7" x14ac:dyDescent="0.3">
      <c r="B725" s="145" t="s">
        <v>647</v>
      </c>
      <c r="C725" s="145" t="s">
        <v>343</v>
      </c>
      <c r="D725" s="146" t="s">
        <v>609</v>
      </c>
      <c r="E725" s="145" t="s">
        <v>599</v>
      </c>
      <c r="F725" s="148" t="s">
        <v>1121</v>
      </c>
      <c r="G725" s="145" t="s">
        <v>894</v>
      </c>
    </row>
    <row r="726" spans="2:7" x14ac:dyDescent="0.3">
      <c r="B726" s="145" t="s">
        <v>647</v>
      </c>
      <c r="C726" s="145" t="s">
        <v>343</v>
      </c>
      <c r="D726" s="146" t="s">
        <v>609</v>
      </c>
      <c r="E726" s="145" t="s">
        <v>599</v>
      </c>
      <c r="F726" s="148" t="s">
        <v>1216</v>
      </c>
      <c r="G726" s="145" t="s">
        <v>894</v>
      </c>
    </row>
    <row r="727" spans="2:7" ht="26.4" x14ac:dyDescent="0.3">
      <c r="B727" s="145" t="s">
        <v>647</v>
      </c>
      <c r="C727" s="145" t="s">
        <v>343</v>
      </c>
      <c r="D727" s="146" t="s">
        <v>626</v>
      </c>
      <c r="E727" s="145" t="s">
        <v>617</v>
      </c>
      <c r="F727" s="148" t="s">
        <v>1009</v>
      </c>
      <c r="G727" s="145" t="s">
        <v>895</v>
      </c>
    </row>
    <row r="728" spans="2:7" ht="26.4" x14ac:dyDescent="0.3">
      <c r="B728" s="145" t="s">
        <v>647</v>
      </c>
      <c r="C728" s="145" t="s">
        <v>343</v>
      </c>
      <c r="D728" s="146" t="s">
        <v>626</v>
      </c>
      <c r="E728" s="145" t="s">
        <v>617</v>
      </c>
      <c r="F728" s="148" t="s">
        <v>1122</v>
      </c>
      <c r="G728" s="145" t="s">
        <v>895</v>
      </c>
    </row>
    <row r="729" spans="2:7" ht="26.4" x14ac:dyDescent="0.3">
      <c r="B729" s="145" t="s">
        <v>647</v>
      </c>
      <c r="C729" s="145" t="s">
        <v>343</v>
      </c>
      <c r="D729" s="146" t="s">
        <v>626</v>
      </c>
      <c r="E729" s="145" t="s">
        <v>617</v>
      </c>
      <c r="F729" s="148" t="s">
        <v>1217</v>
      </c>
      <c r="G729" s="145" t="s">
        <v>895</v>
      </c>
    </row>
    <row r="730" spans="2:7" ht="26.4" x14ac:dyDescent="0.3">
      <c r="B730" s="145" t="s">
        <v>647</v>
      </c>
      <c r="C730" s="145" t="s">
        <v>343</v>
      </c>
      <c r="D730" s="146" t="s">
        <v>626</v>
      </c>
      <c r="E730" s="145" t="s">
        <v>617</v>
      </c>
      <c r="F730" s="148" t="s">
        <v>1296</v>
      </c>
      <c r="G730" s="145" t="s">
        <v>895</v>
      </c>
    </row>
    <row r="731" spans="2:7" ht="26.4" x14ac:dyDescent="0.3">
      <c r="B731" s="145" t="s">
        <v>647</v>
      </c>
      <c r="C731" s="145" t="s">
        <v>343</v>
      </c>
      <c r="D731" s="146" t="s">
        <v>626</v>
      </c>
      <c r="E731" s="145" t="s">
        <v>617</v>
      </c>
      <c r="F731" s="148" t="s">
        <v>1356</v>
      </c>
      <c r="G731" s="145" t="s">
        <v>895</v>
      </c>
    </row>
    <row r="732" spans="2:7" ht="26.4" x14ac:dyDescent="0.3">
      <c r="B732" s="145" t="s">
        <v>647</v>
      </c>
      <c r="C732" s="145" t="s">
        <v>343</v>
      </c>
      <c r="D732" s="146" t="s">
        <v>742</v>
      </c>
      <c r="E732" s="145" t="s">
        <v>630</v>
      </c>
      <c r="F732" s="148" t="s">
        <v>1010</v>
      </c>
      <c r="G732" s="145" t="s">
        <v>896</v>
      </c>
    </row>
    <row r="733" spans="2:7" ht="26.4" x14ac:dyDescent="0.3">
      <c r="B733" s="145" t="s">
        <v>647</v>
      </c>
      <c r="C733" s="145" t="s">
        <v>343</v>
      </c>
      <c r="D733" s="146" t="s">
        <v>742</v>
      </c>
      <c r="E733" s="145" t="s">
        <v>630</v>
      </c>
      <c r="F733" s="148" t="s">
        <v>1123</v>
      </c>
      <c r="G733" s="145" t="s">
        <v>896</v>
      </c>
    </row>
    <row r="734" spans="2:7" ht="26.4" x14ac:dyDescent="0.3">
      <c r="B734" s="145" t="s">
        <v>647</v>
      </c>
      <c r="C734" s="145" t="s">
        <v>343</v>
      </c>
      <c r="D734" s="146" t="s">
        <v>742</v>
      </c>
      <c r="E734" s="145" t="s">
        <v>630</v>
      </c>
      <c r="F734" s="148" t="s">
        <v>1218</v>
      </c>
      <c r="G734" s="145" t="s">
        <v>896</v>
      </c>
    </row>
    <row r="735" spans="2:7" ht="26.4" x14ac:dyDescent="0.3">
      <c r="B735" s="145" t="s">
        <v>647</v>
      </c>
      <c r="C735" s="145" t="s">
        <v>343</v>
      </c>
      <c r="D735" s="146" t="s">
        <v>742</v>
      </c>
      <c r="E735" s="145" t="s">
        <v>630</v>
      </c>
      <c r="F735" s="148" t="s">
        <v>1297</v>
      </c>
      <c r="G735" s="145" t="s">
        <v>896</v>
      </c>
    </row>
    <row r="736" spans="2:7" ht="26.4" x14ac:dyDescent="0.3">
      <c r="B736" s="145" t="s">
        <v>647</v>
      </c>
      <c r="C736" s="145" t="s">
        <v>343</v>
      </c>
      <c r="D736" s="146" t="s">
        <v>742</v>
      </c>
      <c r="E736" s="145" t="s">
        <v>630</v>
      </c>
      <c r="F736" s="148" t="s">
        <v>1357</v>
      </c>
      <c r="G736" s="145" t="s">
        <v>896</v>
      </c>
    </row>
    <row r="737" spans="2:7" ht="26.4" x14ac:dyDescent="0.3">
      <c r="B737" s="145" t="s">
        <v>647</v>
      </c>
      <c r="C737" s="145" t="s">
        <v>343</v>
      </c>
      <c r="D737" s="146" t="s">
        <v>742</v>
      </c>
      <c r="E737" s="145" t="s">
        <v>630</v>
      </c>
      <c r="F737" s="148" t="s">
        <v>1400</v>
      </c>
      <c r="G737" s="145" t="s">
        <v>896</v>
      </c>
    </row>
    <row r="738" spans="2:7" ht="26.4" x14ac:dyDescent="0.3">
      <c r="B738" s="145" t="s">
        <v>647</v>
      </c>
      <c r="C738" s="145" t="s">
        <v>343</v>
      </c>
      <c r="D738" s="146" t="s">
        <v>742</v>
      </c>
      <c r="E738" s="145" t="s">
        <v>630</v>
      </c>
      <c r="F738" s="148" t="s">
        <v>1439</v>
      </c>
      <c r="G738" s="145" t="s">
        <v>896</v>
      </c>
    </row>
    <row r="739" spans="2:7" ht="26.4" x14ac:dyDescent="0.3">
      <c r="B739" s="145" t="s">
        <v>647</v>
      </c>
      <c r="C739" s="145" t="s">
        <v>343</v>
      </c>
      <c r="D739" s="146" t="s">
        <v>742</v>
      </c>
      <c r="E739" s="145" t="s">
        <v>630</v>
      </c>
      <c r="F739" s="148" t="s">
        <v>1465</v>
      </c>
      <c r="G739" s="145" t="s">
        <v>896</v>
      </c>
    </row>
    <row r="740" spans="2:7" ht="26.4" x14ac:dyDescent="0.3">
      <c r="B740" s="145" t="s">
        <v>647</v>
      </c>
      <c r="C740" s="145" t="s">
        <v>343</v>
      </c>
      <c r="D740" s="146" t="s">
        <v>742</v>
      </c>
      <c r="E740" s="145" t="s">
        <v>630</v>
      </c>
      <c r="F740" s="148" t="s">
        <v>1484</v>
      </c>
      <c r="G740" s="145" t="s">
        <v>896</v>
      </c>
    </row>
    <row r="741" spans="2:7" ht="26.4" x14ac:dyDescent="0.3">
      <c r="B741" s="145" t="s">
        <v>647</v>
      </c>
      <c r="C741" s="145" t="s">
        <v>343</v>
      </c>
      <c r="D741" s="146" t="s">
        <v>742</v>
      </c>
      <c r="E741" s="145" t="s">
        <v>630</v>
      </c>
      <c r="F741" s="148" t="s">
        <v>1502</v>
      </c>
      <c r="G741" s="145" t="s">
        <v>896</v>
      </c>
    </row>
    <row r="742" spans="2:7" ht="26.4" x14ac:dyDescent="0.3">
      <c r="B742" s="145" t="s">
        <v>647</v>
      </c>
      <c r="C742" s="145" t="s">
        <v>343</v>
      </c>
      <c r="D742" s="146" t="s">
        <v>742</v>
      </c>
      <c r="E742" s="145" t="s">
        <v>630</v>
      </c>
      <c r="F742" s="148" t="s">
        <v>1516</v>
      </c>
      <c r="G742" s="145" t="s">
        <v>896</v>
      </c>
    </row>
    <row r="743" spans="2:7" ht="26.4" x14ac:dyDescent="0.3">
      <c r="B743" s="145" t="s">
        <v>647</v>
      </c>
      <c r="C743" s="145" t="s">
        <v>343</v>
      </c>
      <c r="D743" s="146" t="s">
        <v>742</v>
      </c>
      <c r="E743" s="145" t="s">
        <v>630</v>
      </c>
      <c r="F743" s="148" t="s">
        <v>1529</v>
      </c>
      <c r="G743" s="145" t="s">
        <v>896</v>
      </c>
    </row>
    <row r="744" spans="2:7" ht="26.4" x14ac:dyDescent="0.3">
      <c r="B744" s="145" t="s">
        <v>647</v>
      </c>
      <c r="C744" s="145" t="s">
        <v>343</v>
      </c>
      <c r="D744" s="146" t="s">
        <v>742</v>
      </c>
      <c r="E744" s="145" t="s">
        <v>630</v>
      </c>
      <c r="F744" s="148" t="s">
        <v>1539</v>
      </c>
      <c r="G744" s="145" t="s">
        <v>896</v>
      </c>
    </row>
    <row r="745" spans="2:7" ht="26.4" x14ac:dyDescent="0.3">
      <c r="B745" s="145" t="s">
        <v>647</v>
      </c>
      <c r="C745" s="145" t="s">
        <v>343</v>
      </c>
      <c r="D745" s="146" t="s">
        <v>742</v>
      </c>
      <c r="E745" s="145" t="s">
        <v>630</v>
      </c>
      <c r="F745" s="148" t="s">
        <v>1549</v>
      </c>
      <c r="G745" s="145" t="s">
        <v>896</v>
      </c>
    </row>
    <row r="746" spans="2:7" ht="26.4" x14ac:dyDescent="0.3">
      <c r="B746" s="145" t="s">
        <v>647</v>
      </c>
      <c r="C746" s="145" t="s">
        <v>343</v>
      </c>
      <c r="D746" s="146" t="s">
        <v>742</v>
      </c>
      <c r="E746" s="145" t="s">
        <v>630</v>
      </c>
      <c r="F746" s="148" t="s">
        <v>1557</v>
      </c>
      <c r="G746" s="145" t="s">
        <v>896</v>
      </c>
    </row>
    <row r="747" spans="2:7" ht="26.4" x14ac:dyDescent="0.3">
      <c r="B747" s="145" t="s">
        <v>647</v>
      </c>
      <c r="C747" s="145" t="s">
        <v>343</v>
      </c>
      <c r="D747" s="146" t="s">
        <v>742</v>
      </c>
      <c r="E747" s="145" t="s">
        <v>630</v>
      </c>
      <c r="F747" s="148" t="s">
        <v>1565</v>
      </c>
      <c r="G747" s="145" t="s">
        <v>896</v>
      </c>
    </row>
    <row r="748" spans="2:7" ht="26.4" x14ac:dyDescent="0.3">
      <c r="B748" s="145" t="s">
        <v>647</v>
      </c>
      <c r="C748" s="145" t="s">
        <v>343</v>
      </c>
      <c r="D748" s="146" t="s">
        <v>742</v>
      </c>
      <c r="E748" s="145" t="s">
        <v>630</v>
      </c>
      <c r="F748" s="148" t="s">
        <v>1573</v>
      </c>
      <c r="G748" s="145" t="s">
        <v>896</v>
      </c>
    </row>
    <row r="749" spans="2:7" ht="26.4" x14ac:dyDescent="0.3">
      <c r="B749" s="145" t="s">
        <v>647</v>
      </c>
      <c r="C749" s="145" t="s">
        <v>343</v>
      </c>
      <c r="D749" s="146" t="s">
        <v>742</v>
      </c>
      <c r="E749" s="145" t="s">
        <v>630</v>
      </c>
      <c r="F749" s="148" t="s">
        <v>1580</v>
      </c>
      <c r="G749" s="145" t="s">
        <v>896</v>
      </c>
    </row>
    <row r="750" spans="2:7" ht="26.4" x14ac:dyDescent="0.3">
      <c r="B750" s="145" t="s">
        <v>647</v>
      </c>
      <c r="C750" s="145" t="s">
        <v>343</v>
      </c>
      <c r="D750" s="146" t="s">
        <v>742</v>
      </c>
      <c r="E750" s="145" t="s">
        <v>630</v>
      </c>
      <c r="F750" s="148" t="s">
        <v>1586</v>
      </c>
      <c r="G750" s="145" t="s">
        <v>896</v>
      </c>
    </row>
    <row r="751" spans="2:7" ht="26.4" x14ac:dyDescent="0.3">
      <c r="B751" s="145" t="s">
        <v>647</v>
      </c>
      <c r="C751" s="145" t="s">
        <v>343</v>
      </c>
      <c r="D751" s="146" t="s">
        <v>742</v>
      </c>
      <c r="E751" s="145" t="s">
        <v>630</v>
      </c>
      <c r="F751" s="148" t="s">
        <v>1592</v>
      </c>
      <c r="G751" s="145" t="s">
        <v>896</v>
      </c>
    </row>
    <row r="752" spans="2:7" ht="26.4" x14ac:dyDescent="0.3">
      <c r="B752" s="145" t="s">
        <v>647</v>
      </c>
      <c r="C752" s="145" t="s">
        <v>343</v>
      </c>
      <c r="D752" s="146" t="s">
        <v>742</v>
      </c>
      <c r="E752" s="145" t="s">
        <v>630</v>
      </c>
      <c r="F752" s="148" t="s">
        <v>1598</v>
      </c>
      <c r="G752" s="145" t="s">
        <v>896</v>
      </c>
    </row>
    <row r="753" spans="2:7" ht="26.4" x14ac:dyDescent="0.3">
      <c r="B753" s="145" t="s">
        <v>647</v>
      </c>
      <c r="C753" s="145" t="s">
        <v>343</v>
      </c>
      <c r="D753" s="146" t="s">
        <v>742</v>
      </c>
      <c r="E753" s="145" t="s">
        <v>630</v>
      </c>
      <c r="F753" s="148" t="s">
        <v>1604</v>
      </c>
      <c r="G753" s="145" t="s">
        <v>896</v>
      </c>
    </row>
    <row r="754" spans="2:7" ht="26.4" x14ac:dyDescent="0.3">
      <c r="B754" s="145" t="s">
        <v>647</v>
      </c>
      <c r="C754" s="145" t="s">
        <v>343</v>
      </c>
      <c r="D754" s="146" t="s">
        <v>742</v>
      </c>
      <c r="E754" s="145" t="s">
        <v>630</v>
      </c>
      <c r="F754" s="148" t="s">
        <v>1609</v>
      </c>
      <c r="G754" s="145" t="s">
        <v>896</v>
      </c>
    </row>
    <row r="755" spans="2:7" ht="39.6" x14ac:dyDescent="0.3">
      <c r="B755" s="145" t="s">
        <v>647</v>
      </c>
      <c r="C755" s="145" t="s">
        <v>343</v>
      </c>
      <c r="D755" s="146" t="s">
        <v>745</v>
      </c>
      <c r="E755" s="145" t="s">
        <v>638</v>
      </c>
      <c r="F755" s="148" t="s">
        <v>1011</v>
      </c>
      <c r="G755" s="145" t="s">
        <v>897</v>
      </c>
    </row>
    <row r="756" spans="2:7" ht="39.6" x14ac:dyDescent="0.3">
      <c r="B756" s="145" t="s">
        <v>647</v>
      </c>
      <c r="C756" s="145" t="s">
        <v>343</v>
      </c>
      <c r="D756" s="146" t="s">
        <v>745</v>
      </c>
      <c r="E756" s="148" t="s">
        <v>638</v>
      </c>
      <c r="F756" s="148" t="s">
        <v>1124</v>
      </c>
      <c r="G756" s="145" t="s">
        <v>897</v>
      </c>
    </row>
    <row r="757" spans="2:7" ht="39.6" x14ac:dyDescent="0.3">
      <c r="B757" s="145" t="s">
        <v>647</v>
      </c>
      <c r="C757" s="145" t="s">
        <v>343</v>
      </c>
      <c r="D757" s="146" t="s">
        <v>745</v>
      </c>
      <c r="E757" s="145" t="s">
        <v>638</v>
      </c>
      <c r="F757" s="148" t="s">
        <v>1219</v>
      </c>
      <c r="G757" s="145" t="s">
        <v>897</v>
      </c>
    </row>
    <row r="758" spans="2:7" ht="39.6" x14ac:dyDescent="0.3">
      <c r="B758" s="145" t="s">
        <v>647</v>
      </c>
      <c r="C758" s="145" t="s">
        <v>343</v>
      </c>
      <c r="D758" s="146" t="s">
        <v>745</v>
      </c>
      <c r="E758" s="148" t="s">
        <v>638</v>
      </c>
      <c r="F758" s="148" t="s">
        <v>1298</v>
      </c>
      <c r="G758" s="145" t="s">
        <v>897</v>
      </c>
    </row>
    <row r="759" spans="2:7" ht="39.6" x14ac:dyDescent="0.3">
      <c r="B759" s="145" t="s">
        <v>647</v>
      </c>
      <c r="C759" s="145" t="s">
        <v>343</v>
      </c>
      <c r="D759" s="146" t="s">
        <v>745</v>
      </c>
      <c r="E759" s="145" t="s">
        <v>638</v>
      </c>
      <c r="F759" s="148" t="s">
        <v>1358</v>
      </c>
      <c r="G759" s="145" t="s">
        <v>897</v>
      </c>
    </row>
    <row r="760" spans="2:7" ht="39.6" x14ac:dyDescent="0.3">
      <c r="B760" s="145" t="s">
        <v>647</v>
      </c>
      <c r="C760" s="145" t="s">
        <v>343</v>
      </c>
      <c r="D760" s="146" t="s">
        <v>745</v>
      </c>
      <c r="E760" s="148" t="s">
        <v>638</v>
      </c>
      <c r="F760" s="148" t="s">
        <v>1401</v>
      </c>
      <c r="G760" s="145" t="s">
        <v>897</v>
      </c>
    </row>
  </sheetData>
  <sheetProtection algorithmName="SHA-512" hashValue="IqxTM81RNaGZkn8O8Bkc6ELfTyYXKezDbUHbIoGUGXOZkQ5ubuZ6wt+YcR++Fh+y0I7PuOV2fu/iqSiYkwQWAA==" saltValue="zDyFxXs9kkn3oNVDwbZsCQ==" spinCount="100000" sheet="1" selectLockedCells="1" sort="0" autoFilter="0" pivotTables="0"/>
  <autoFilter ref="B4:F760" xr:uid="{50995143-C720-479C-9958-DEA889C05C5C}"/>
  <mergeCells count="1">
    <mergeCell ref="B2:D2"/>
  </mergeCells>
  <phoneticPr fontId="1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26A32-9EEF-4AB0-BBFD-4A43274A2F9D}">
  <sheetPr codeName="Sheet6">
    <tabColor theme="5" tint="-0.249977111117893"/>
    <pageSetUpPr fitToPage="1"/>
  </sheetPr>
  <dimension ref="A1:AH215"/>
  <sheetViews>
    <sheetView showGridLines="0" showZeros="0" tabSelected="1" view="pageBreakPreview" zoomScale="70" zoomScaleNormal="70" zoomScaleSheetLayoutView="70" workbookViewId="0">
      <pane xSplit="8" ySplit="15" topLeftCell="I16" activePane="bottomRight" state="frozen"/>
      <selection pane="topRight" activeCell="I1" sqref="I1"/>
      <selection pane="bottomLeft" activeCell="A16" sqref="A16"/>
      <selection pane="bottomRight" activeCell="AA18" sqref="AA18"/>
    </sheetView>
  </sheetViews>
  <sheetFormatPr defaultColWidth="9.109375" defaultRowHeight="11.4" x14ac:dyDescent="0.2"/>
  <cols>
    <col min="1" max="1" width="5.109375" style="73" customWidth="1"/>
    <col min="2" max="2" width="5" style="73" customWidth="1"/>
    <col min="3" max="3" width="9.109375" style="73" customWidth="1"/>
    <col min="4" max="4" width="12.88671875" style="73" customWidth="1"/>
    <col min="5" max="5" width="20.5546875" style="73" customWidth="1"/>
    <col min="6" max="6" width="20.44140625" style="73" customWidth="1"/>
    <col min="7" max="7" width="27" style="73" customWidth="1"/>
    <col min="8" max="8" width="21.109375" style="73" customWidth="1"/>
    <col min="9" max="9" width="12.5546875" style="73" customWidth="1"/>
    <col min="10" max="10" width="32.5546875" style="73" customWidth="1"/>
    <col min="11" max="11" width="18.6640625" style="73" customWidth="1"/>
    <col min="12" max="14" width="8.88671875" style="73" customWidth="1"/>
    <col min="15" max="17" width="8.5546875" style="73" customWidth="1"/>
    <col min="18" max="18" width="51.109375" style="73" customWidth="1"/>
    <col min="19" max="19" width="18.6640625" style="73" customWidth="1"/>
    <col min="20" max="20" width="11.109375" style="73" customWidth="1"/>
    <col min="21" max="21" width="8.88671875" style="73" customWidth="1"/>
    <col min="22" max="24" width="8.109375" style="73" customWidth="1"/>
    <col min="25" max="25" width="15.88671875" style="73" customWidth="1"/>
    <col min="26" max="26" width="9.109375" style="73" customWidth="1"/>
    <col min="27" max="27" width="37.5546875" style="73" customWidth="1"/>
    <col min="28" max="28" width="16.6640625" style="73" customWidth="1"/>
    <col min="29" max="30" width="8.88671875" style="73" customWidth="1"/>
    <col min="31" max="31" width="7" style="73" customWidth="1"/>
    <col min="32" max="32" width="13.33203125" style="73" customWidth="1"/>
    <col min="33" max="33" width="23.44140625" style="73" customWidth="1"/>
    <col min="34" max="34" width="9.109375" style="73"/>
    <col min="35" max="35" width="9.109375" style="73" customWidth="1"/>
    <col min="36" max="16384" width="9.109375" style="73"/>
  </cols>
  <sheetData>
    <row r="1" spans="1:34" x14ac:dyDescent="0.2">
      <c r="A1" s="263"/>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row>
    <row r="2" spans="1:34" ht="26.25" customHeight="1" x14ac:dyDescent="0.2">
      <c r="A2" s="263"/>
      <c r="B2" s="479" t="s">
        <v>1657</v>
      </c>
      <c r="C2" s="480"/>
      <c r="D2" s="480"/>
      <c r="E2" s="480"/>
      <c r="F2" s="480"/>
      <c r="G2" s="480"/>
      <c r="H2" s="480"/>
      <c r="I2" s="189"/>
      <c r="J2" s="189"/>
      <c r="K2" s="189"/>
      <c r="L2" s="189"/>
      <c r="M2" s="189"/>
      <c r="N2" s="205"/>
      <c r="O2" s="205"/>
      <c r="P2" s="205"/>
      <c r="Q2" s="205"/>
      <c r="R2" s="205"/>
      <c r="S2" s="434" t="s">
        <v>1658</v>
      </c>
      <c r="T2" s="434"/>
      <c r="U2" s="434"/>
      <c r="V2" s="434"/>
      <c r="W2" s="434"/>
      <c r="X2" s="434"/>
      <c r="Y2" s="434"/>
      <c r="Z2" s="434"/>
      <c r="AA2" s="203"/>
      <c r="AB2" s="189"/>
      <c r="AC2" s="189"/>
      <c r="AD2" s="189"/>
      <c r="AE2" s="189"/>
      <c r="AF2" s="189"/>
      <c r="AG2" s="421"/>
      <c r="AH2" s="263"/>
    </row>
    <row r="3" spans="1:34" ht="17.399999999999999" x14ac:dyDescent="0.2">
      <c r="A3" s="263"/>
      <c r="B3" s="207" t="s">
        <v>1659</v>
      </c>
      <c r="C3" s="208"/>
      <c r="D3" s="208"/>
      <c r="E3" s="208"/>
      <c r="F3" s="208"/>
      <c r="G3" s="209" t="s">
        <v>1660</v>
      </c>
      <c r="H3" s="208"/>
      <c r="I3" s="190"/>
      <c r="J3" s="190"/>
      <c r="K3" s="190"/>
      <c r="L3" s="190"/>
      <c r="M3" s="190"/>
      <c r="N3" s="206"/>
      <c r="O3" s="206"/>
      <c r="P3" s="206"/>
      <c r="Q3" s="206"/>
      <c r="R3" s="206"/>
      <c r="S3" s="435"/>
      <c r="T3" s="435"/>
      <c r="U3" s="435"/>
      <c r="V3" s="435"/>
      <c r="W3" s="435"/>
      <c r="X3" s="435"/>
      <c r="Y3" s="435"/>
      <c r="Z3" s="435"/>
      <c r="AA3" s="204"/>
      <c r="AB3" s="190"/>
      <c r="AC3" s="190"/>
      <c r="AD3" s="190"/>
      <c r="AE3" s="190"/>
      <c r="AF3" s="190"/>
      <c r="AG3" s="422"/>
      <c r="AH3" s="263"/>
    </row>
    <row r="4" spans="1:34" ht="5.25" customHeight="1" x14ac:dyDescent="0.2">
      <c r="A4" s="263"/>
      <c r="AH4" s="263"/>
    </row>
    <row r="5" spans="1:34" s="70" customFormat="1" ht="16.5" customHeight="1" x14ac:dyDescent="0.3">
      <c r="A5" s="264"/>
      <c r="B5" s="483" t="s">
        <v>1661</v>
      </c>
      <c r="C5" s="436"/>
      <c r="D5" s="436"/>
      <c r="E5" s="481" t="s">
        <v>2085</v>
      </c>
      <c r="F5" s="481"/>
      <c r="G5" s="481"/>
      <c r="H5" s="481"/>
      <c r="I5" s="481"/>
      <c r="J5" s="481"/>
      <c r="K5" s="436" t="s">
        <v>1662</v>
      </c>
      <c r="L5" s="436"/>
      <c r="M5" s="436"/>
      <c r="N5" s="451"/>
      <c r="O5" s="451"/>
      <c r="P5" s="451"/>
      <c r="Q5" s="451"/>
      <c r="R5" s="451"/>
      <c r="S5" s="451"/>
      <c r="T5" s="451"/>
      <c r="U5" s="460" t="s">
        <v>1663</v>
      </c>
      <c r="V5" s="460"/>
      <c r="W5" s="460"/>
      <c r="X5" s="461" t="s">
        <v>1664</v>
      </c>
      <c r="Y5" s="461"/>
      <c r="Z5" s="461"/>
      <c r="AA5" s="430" t="s">
        <v>1665</v>
      </c>
      <c r="AB5" s="431"/>
      <c r="AC5" s="431"/>
      <c r="AD5" s="431"/>
      <c r="AE5" s="431"/>
      <c r="AF5" s="431"/>
      <c r="AG5" s="238" t="s">
        <v>355</v>
      </c>
      <c r="AH5" s="264"/>
    </row>
    <row r="6" spans="1:34" s="70" customFormat="1" ht="16.5" customHeight="1" x14ac:dyDescent="0.3">
      <c r="A6" s="264"/>
      <c r="B6" s="442" t="s">
        <v>1666</v>
      </c>
      <c r="C6" s="437"/>
      <c r="D6" s="437"/>
      <c r="E6" s="444"/>
      <c r="F6" s="444"/>
      <c r="G6" s="444"/>
      <c r="H6" s="444"/>
      <c r="I6" s="444"/>
      <c r="J6" s="444"/>
      <c r="K6" s="437"/>
      <c r="L6" s="437"/>
      <c r="M6" s="437"/>
      <c r="N6" s="449"/>
      <c r="O6" s="449"/>
      <c r="P6" s="449"/>
      <c r="Q6" s="449"/>
      <c r="R6" s="449"/>
      <c r="S6" s="449"/>
      <c r="T6" s="449"/>
      <c r="U6" s="462" t="s">
        <v>1667</v>
      </c>
      <c r="V6" s="462"/>
      <c r="W6" s="462"/>
      <c r="X6" s="449"/>
      <c r="Y6" s="444"/>
      <c r="Z6" s="444"/>
      <c r="AA6" s="428"/>
      <c r="AB6" s="428"/>
      <c r="AC6" s="428"/>
      <c r="AD6" s="428"/>
      <c r="AE6" s="428"/>
      <c r="AF6" s="428"/>
      <c r="AG6" s="426"/>
      <c r="AH6" s="264"/>
    </row>
    <row r="7" spans="1:34" s="70" customFormat="1" ht="16.5" customHeight="1" x14ac:dyDescent="0.3">
      <c r="A7" s="264"/>
      <c r="B7" s="442" t="s">
        <v>1668</v>
      </c>
      <c r="C7" s="437"/>
      <c r="D7" s="437"/>
      <c r="E7" s="444"/>
      <c r="F7" s="444"/>
      <c r="G7" s="444"/>
      <c r="H7" s="444"/>
      <c r="I7" s="444"/>
      <c r="J7" s="444"/>
      <c r="K7" s="473" t="s">
        <v>1669</v>
      </c>
      <c r="L7" s="474"/>
      <c r="M7" s="475"/>
      <c r="N7" s="467"/>
      <c r="O7" s="468"/>
      <c r="P7" s="468"/>
      <c r="Q7" s="468"/>
      <c r="R7" s="468"/>
      <c r="S7" s="468"/>
      <c r="T7" s="469"/>
      <c r="U7" s="462"/>
      <c r="V7" s="462"/>
      <c r="W7" s="462"/>
      <c r="X7" s="444"/>
      <c r="Y7" s="444"/>
      <c r="Z7" s="444"/>
      <c r="AA7" s="428"/>
      <c r="AB7" s="428"/>
      <c r="AC7" s="428"/>
      <c r="AD7" s="428"/>
      <c r="AE7" s="428"/>
      <c r="AF7" s="428"/>
      <c r="AG7" s="426"/>
      <c r="AH7" s="264"/>
    </row>
    <row r="8" spans="1:34" s="70" customFormat="1" ht="16.5" customHeight="1" x14ac:dyDescent="0.3">
      <c r="A8" s="264"/>
      <c r="B8" s="442" t="s">
        <v>1670</v>
      </c>
      <c r="C8" s="437"/>
      <c r="D8" s="437"/>
      <c r="E8" s="445">
        <v>14000000000</v>
      </c>
      <c r="F8" s="445"/>
      <c r="G8" s="484" t="s">
        <v>1671</v>
      </c>
      <c r="H8" s="484"/>
      <c r="I8" s="486">
        <v>2500</v>
      </c>
      <c r="J8" s="486"/>
      <c r="K8" s="476"/>
      <c r="L8" s="477"/>
      <c r="M8" s="478"/>
      <c r="N8" s="470"/>
      <c r="O8" s="471"/>
      <c r="P8" s="471"/>
      <c r="Q8" s="471"/>
      <c r="R8" s="471"/>
      <c r="S8" s="471"/>
      <c r="T8" s="472"/>
      <c r="U8" s="462" t="s">
        <v>1672</v>
      </c>
      <c r="V8" s="462"/>
      <c r="W8" s="462"/>
      <c r="X8" s="444"/>
      <c r="Y8" s="444"/>
      <c r="Z8" s="444"/>
      <c r="AA8" s="428"/>
      <c r="AB8" s="428"/>
      <c r="AC8" s="428"/>
      <c r="AD8" s="428"/>
      <c r="AE8" s="428"/>
      <c r="AF8" s="428"/>
      <c r="AG8" s="426"/>
      <c r="AH8" s="264"/>
    </row>
    <row r="9" spans="1:34" s="70" customFormat="1" ht="16.5" customHeight="1" x14ac:dyDescent="0.3">
      <c r="A9" s="264"/>
      <c r="B9" s="442" t="s">
        <v>1673</v>
      </c>
      <c r="C9" s="437"/>
      <c r="D9" s="275" t="s">
        <v>1674</v>
      </c>
      <c r="E9" s="482" t="e">
        <f>'Risk-Based Cost Estimate'!H208</f>
        <v>#VALUE!</v>
      </c>
      <c r="F9" s="482"/>
      <c r="G9" s="485" t="s">
        <v>1675</v>
      </c>
      <c r="H9" s="485"/>
      <c r="I9" s="443">
        <f>T15</f>
        <v>336.75</v>
      </c>
      <c r="J9" s="443"/>
      <c r="K9" s="437" t="s">
        <v>1676</v>
      </c>
      <c r="L9" s="437"/>
      <c r="M9" s="437"/>
      <c r="N9" s="464"/>
      <c r="O9" s="466"/>
      <c r="P9" s="466"/>
      <c r="Q9" s="465"/>
      <c r="R9" s="202" t="s">
        <v>1677</v>
      </c>
      <c r="S9" s="464"/>
      <c r="T9" s="465"/>
      <c r="U9" s="462"/>
      <c r="V9" s="462"/>
      <c r="W9" s="462"/>
      <c r="X9" s="444"/>
      <c r="Y9" s="444"/>
      <c r="Z9" s="444"/>
      <c r="AA9" s="428"/>
      <c r="AB9" s="428"/>
      <c r="AC9" s="428"/>
      <c r="AD9" s="428"/>
      <c r="AE9" s="428"/>
      <c r="AF9" s="428"/>
      <c r="AG9" s="426"/>
      <c r="AH9" s="264"/>
    </row>
    <row r="10" spans="1:34" s="70" customFormat="1" ht="16.5" customHeight="1" x14ac:dyDescent="0.3">
      <c r="A10" s="264"/>
      <c r="B10" s="442" t="s">
        <v>1678</v>
      </c>
      <c r="C10" s="437"/>
      <c r="D10" s="275" t="s">
        <v>1674</v>
      </c>
      <c r="E10" s="482">
        <f>'Risk-Based Cost Estimate'!N208</f>
        <v>82767444.516614228</v>
      </c>
      <c r="F10" s="482"/>
      <c r="G10" s="485" t="s">
        <v>1679</v>
      </c>
      <c r="H10" s="485"/>
      <c r="I10" s="443">
        <f>AC15</f>
        <v>900</v>
      </c>
      <c r="J10" s="443"/>
      <c r="K10" s="437" t="s">
        <v>1680</v>
      </c>
      <c r="L10" s="437"/>
      <c r="M10" s="437"/>
      <c r="N10" s="444"/>
      <c r="O10" s="444"/>
      <c r="P10" s="444"/>
      <c r="Q10" s="444"/>
      <c r="R10" s="444"/>
      <c r="S10" s="444"/>
      <c r="T10" s="444"/>
      <c r="U10" s="462" t="s">
        <v>1681</v>
      </c>
      <c r="V10" s="462"/>
      <c r="W10" s="462"/>
      <c r="X10" s="444"/>
      <c r="Y10" s="444"/>
      <c r="Z10" s="444"/>
      <c r="AA10" s="428"/>
      <c r="AB10" s="428"/>
      <c r="AC10" s="428"/>
      <c r="AD10" s="428"/>
      <c r="AE10" s="428"/>
      <c r="AF10" s="428"/>
      <c r="AG10" s="426"/>
      <c r="AH10" s="264"/>
    </row>
    <row r="11" spans="1:34" s="70" customFormat="1" ht="16.5" customHeight="1" x14ac:dyDescent="0.3">
      <c r="A11" s="264"/>
      <c r="B11" s="440" t="s">
        <v>1682</v>
      </c>
      <c r="C11" s="441"/>
      <c r="D11" s="441"/>
      <c r="E11" s="446" t="e">
        <f>SUM(E8:E10)</f>
        <v>#VALUE!</v>
      </c>
      <c r="F11" s="446"/>
      <c r="G11" s="488" t="s">
        <v>1683</v>
      </c>
      <c r="H11" s="488"/>
      <c r="I11" s="455">
        <f>SUM(I8:I10)</f>
        <v>3736.75</v>
      </c>
      <c r="J11" s="455"/>
      <c r="K11" s="459" t="s">
        <v>1684</v>
      </c>
      <c r="L11" s="459"/>
      <c r="M11" s="459"/>
      <c r="N11" s="450"/>
      <c r="O11" s="450"/>
      <c r="P11" s="450"/>
      <c r="Q11" s="450"/>
      <c r="R11" s="450"/>
      <c r="S11" s="450"/>
      <c r="T11" s="450"/>
      <c r="U11" s="463"/>
      <c r="V11" s="463"/>
      <c r="W11" s="463"/>
      <c r="X11" s="450"/>
      <c r="Y11" s="450"/>
      <c r="Z11" s="450"/>
      <c r="AA11" s="429"/>
      <c r="AB11" s="429"/>
      <c r="AC11" s="429"/>
      <c r="AD11" s="429"/>
      <c r="AE11" s="429"/>
      <c r="AF11" s="429"/>
      <c r="AG11" s="427"/>
      <c r="AH11" s="264"/>
    </row>
    <row r="12" spans="1:34" ht="5.25" customHeight="1" x14ac:dyDescent="0.2">
      <c r="A12" s="263"/>
      <c r="AH12" s="263"/>
    </row>
    <row r="13" spans="1:34" s="1" customFormat="1" ht="27" customHeight="1" x14ac:dyDescent="0.3">
      <c r="A13" s="265"/>
      <c r="B13" s="438" t="s">
        <v>1685</v>
      </c>
      <c r="C13" s="439"/>
      <c r="D13" s="439"/>
      <c r="E13" s="439"/>
      <c r="F13" s="439"/>
      <c r="G13" s="439"/>
      <c r="H13" s="439"/>
      <c r="I13" s="452" t="s">
        <v>1686</v>
      </c>
      <c r="J13" s="452"/>
      <c r="K13" s="452"/>
      <c r="L13" s="452"/>
      <c r="M13" s="452"/>
      <c r="N13" s="452"/>
      <c r="O13" s="454" t="s">
        <v>1687</v>
      </c>
      <c r="P13" s="454"/>
      <c r="Q13" s="454"/>
      <c r="R13" s="456" t="s">
        <v>1688</v>
      </c>
      <c r="S13" s="457"/>
      <c r="T13" s="457"/>
      <c r="U13" s="458"/>
      <c r="V13" s="453" t="s">
        <v>1689</v>
      </c>
      <c r="W13" s="453"/>
      <c r="X13" s="453"/>
      <c r="Y13" s="453" t="s">
        <v>1690</v>
      </c>
      <c r="Z13" s="453"/>
      <c r="AA13" s="447" t="s">
        <v>1691</v>
      </c>
      <c r="AB13" s="447"/>
      <c r="AC13" s="447"/>
      <c r="AD13" s="448"/>
      <c r="AE13" s="423" t="s">
        <v>135</v>
      </c>
      <c r="AF13" s="424"/>
      <c r="AG13" s="425"/>
      <c r="AH13" s="265"/>
    </row>
    <row r="14" spans="1:34" s="1" customFormat="1" ht="47.25" customHeight="1" x14ac:dyDescent="0.3">
      <c r="A14" s="265"/>
      <c r="B14" s="187" t="s">
        <v>1692</v>
      </c>
      <c r="C14" s="152" t="s">
        <v>649</v>
      </c>
      <c r="D14" s="152" t="s">
        <v>650</v>
      </c>
      <c r="E14" s="152" t="s">
        <v>651</v>
      </c>
      <c r="F14" s="152" t="s">
        <v>1655</v>
      </c>
      <c r="G14" s="489" t="s">
        <v>1693</v>
      </c>
      <c r="H14" s="489"/>
      <c r="I14" s="185" t="s">
        <v>1694</v>
      </c>
      <c r="J14" s="185" t="s">
        <v>1695</v>
      </c>
      <c r="K14" s="185" t="s">
        <v>1696</v>
      </c>
      <c r="L14" s="185" t="s">
        <v>1697</v>
      </c>
      <c r="M14" s="185" t="s">
        <v>1698</v>
      </c>
      <c r="N14" s="185" t="s">
        <v>1699</v>
      </c>
      <c r="O14" s="153" t="s">
        <v>63</v>
      </c>
      <c r="P14" s="153" t="s">
        <v>58</v>
      </c>
      <c r="Q14" s="153" t="s">
        <v>1700</v>
      </c>
      <c r="R14" s="154" t="s">
        <v>1701</v>
      </c>
      <c r="S14" s="154" t="s">
        <v>1702</v>
      </c>
      <c r="T14" s="154" t="s">
        <v>1703</v>
      </c>
      <c r="U14" s="154" t="s">
        <v>1704</v>
      </c>
      <c r="V14" s="155" t="s">
        <v>63</v>
      </c>
      <c r="W14" s="155" t="s">
        <v>58</v>
      </c>
      <c r="X14" s="155" t="s">
        <v>1700</v>
      </c>
      <c r="Y14" s="156" t="s">
        <v>1705</v>
      </c>
      <c r="Z14" s="156" t="s">
        <v>1706</v>
      </c>
      <c r="AA14" s="259" t="s">
        <v>1707</v>
      </c>
      <c r="AB14" s="259" t="s">
        <v>1708</v>
      </c>
      <c r="AC14" s="259" t="s">
        <v>1709</v>
      </c>
      <c r="AD14" s="260" t="s">
        <v>1704</v>
      </c>
      <c r="AE14" s="261" t="s">
        <v>1710</v>
      </c>
      <c r="AF14" s="261" t="s">
        <v>355</v>
      </c>
      <c r="AG14" s="262" t="s">
        <v>1711</v>
      </c>
      <c r="AH14" s="265"/>
    </row>
    <row r="15" spans="1:34" s="183" customFormat="1" ht="15.75" customHeight="1" x14ac:dyDescent="0.3">
      <c r="A15" s="266"/>
      <c r="B15" s="210"/>
      <c r="C15" s="239"/>
      <c r="D15" s="239"/>
      <c r="E15" s="239"/>
      <c r="F15" s="239"/>
      <c r="G15" s="487"/>
      <c r="H15" s="487"/>
      <c r="I15" s="211"/>
      <c r="J15" s="211"/>
      <c r="K15" s="212">
        <f>SUM(K16:K115)</f>
        <v>1585000000</v>
      </c>
      <c r="L15" s="213">
        <f>SUM(L16:L115)</f>
        <v>3750</v>
      </c>
      <c r="M15" s="211"/>
      <c r="N15" s="211"/>
      <c r="O15" s="239"/>
      <c r="P15" s="239"/>
      <c r="Q15" s="239"/>
      <c r="R15" s="211"/>
      <c r="S15" s="212">
        <f>SUM(S16:S115)</f>
        <v>164000000</v>
      </c>
      <c r="T15" s="214">
        <f>SUMPRODUCT(T16:T115,U16:U115)</f>
        <v>336.75</v>
      </c>
      <c r="U15" s="239"/>
      <c r="V15" s="239"/>
      <c r="W15" s="239"/>
      <c r="X15" s="239"/>
      <c r="Y15" s="215">
        <f>SUM(Y16:Y115)</f>
        <v>60000000</v>
      </c>
      <c r="Z15" s="239">
        <f>SUM(Z16:Z65)</f>
        <v>1110</v>
      </c>
      <c r="AA15" s="252"/>
      <c r="AB15" s="253">
        <f>SUM(AB16:AB65)</f>
        <v>60000000</v>
      </c>
      <c r="AC15" s="254">
        <f>SUMPRODUCT(AC16:AC65,AD16:AD65)</f>
        <v>900</v>
      </c>
      <c r="AD15" s="255"/>
      <c r="AE15" s="256"/>
      <c r="AF15" s="257"/>
      <c r="AG15" s="258"/>
      <c r="AH15" s="266"/>
    </row>
    <row r="16" spans="1:34" s="184" customFormat="1" ht="97.5" customHeight="1" x14ac:dyDescent="0.2">
      <c r="A16" s="267">
        <v>1</v>
      </c>
      <c r="B16" s="188">
        <v>1</v>
      </c>
      <c r="C16" s="237" t="s">
        <v>647</v>
      </c>
      <c r="D16" s="237" t="s">
        <v>420</v>
      </c>
      <c r="E16" s="237" t="s">
        <v>737</v>
      </c>
      <c r="F16" s="237" t="s">
        <v>1555</v>
      </c>
      <c r="G16" s="419" t="s">
        <v>1712</v>
      </c>
      <c r="H16" s="419"/>
      <c r="I16" s="157">
        <v>44956</v>
      </c>
      <c r="J16" s="157" t="s">
        <v>1713</v>
      </c>
      <c r="K16" s="158">
        <f>VLOOKUP($A16,Assumption!$B$14:$S$106,2,FALSE)</f>
        <v>35000000</v>
      </c>
      <c r="L16" s="159">
        <f>VLOOKUP($A16,Assumption!$B$14:$S$106,5,FALSE)</f>
        <v>0</v>
      </c>
      <c r="M16" s="157" t="s">
        <v>16</v>
      </c>
      <c r="N16" s="157" t="s">
        <v>49</v>
      </c>
      <c r="O16" s="160" t="s">
        <v>78</v>
      </c>
      <c r="P16" s="160" t="s">
        <v>76</v>
      </c>
      <c r="Q16" s="161" t="str">
        <f>IFERROR(VLOOKUP(O16,Risk.Matrix,MATCH(P16,Data!$P$59:$U$59,0),FALSE),"")</f>
        <v>Low</v>
      </c>
      <c r="R16" s="237" t="s">
        <v>1714</v>
      </c>
      <c r="S16" s="158">
        <f>VLOOKUP($A16,Assumption!$B$14:$S$106,7,FALSE)</f>
        <v>0</v>
      </c>
      <c r="T16" s="162">
        <f>VLOOKUP($A16,Assumption!$B$14:$S$106,10,FALSE)</f>
        <v>0</v>
      </c>
      <c r="U16" s="186">
        <f>VLOOKUP($A16,Assumption!$B$14:$S$106,12,FALSE)</f>
        <v>0</v>
      </c>
      <c r="V16" s="160" t="s">
        <v>78</v>
      </c>
      <c r="W16" s="160" t="s">
        <v>79</v>
      </c>
      <c r="X16" s="161" t="str">
        <f>IFERROR(VLOOKUP(V16,Risk.Matrix,MATCH(W16,Data!$P$59:$U$59,0),FALSE),"")</f>
        <v>Low</v>
      </c>
      <c r="Y16" s="158">
        <f>VLOOKUP($A16,Assumption!$B$14:$S$106,13,FALSE)</f>
        <v>35000000</v>
      </c>
      <c r="Z16" s="160">
        <f>VLOOKUP($A16,Assumption!$B$14:$S$106,16,FALSE)</f>
        <v>0</v>
      </c>
      <c r="AA16" s="237" t="s">
        <v>1715</v>
      </c>
      <c r="AB16" s="158">
        <f>VLOOKUP($A16,Assumption!$B$14:$S$106,13,FALSE)</f>
        <v>35000000</v>
      </c>
      <c r="AC16" s="160">
        <f>VLOOKUP($A16,Assumption!$B$14:$S$106,16,FALSE)</f>
        <v>0</v>
      </c>
      <c r="AD16" s="240">
        <f>VLOOKUP($A16,Assumption!$B$14:$S$106,18,FALSE)</f>
        <v>0</v>
      </c>
      <c r="AE16" s="241" t="s">
        <v>1716</v>
      </c>
      <c r="AF16" s="268">
        <v>44979</v>
      </c>
      <c r="AG16" s="269" t="s">
        <v>1717</v>
      </c>
      <c r="AH16" s="267"/>
    </row>
    <row r="17" spans="1:34" s="184" customFormat="1" ht="69.900000000000006" customHeight="1" x14ac:dyDescent="0.2">
      <c r="A17" s="267">
        <v>2</v>
      </c>
      <c r="B17" s="188">
        <v>2</v>
      </c>
      <c r="C17" s="237" t="s">
        <v>647</v>
      </c>
      <c r="D17" s="237" t="s">
        <v>418</v>
      </c>
      <c r="E17" s="237" t="s">
        <v>672</v>
      </c>
      <c r="F17" s="237" t="s">
        <v>1526</v>
      </c>
      <c r="G17" s="419" t="s">
        <v>1726</v>
      </c>
      <c r="H17" s="419"/>
      <c r="I17" s="157">
        <v>45632</v>
      </c>
      <c r="J17" s="157"/>
      <c r="K17" s="158">
        <f>VLOOKUP($A17,Assumption!$B$14:$S$106,2,FALSE)</f>
        <v>0</v>
      </c>
      <c r="L17" s="159">
        <f>VLOOKUP($A17,Assumption!$B$14:$S$106,5,FALSE)</f>
        <v>90</v>
      </c>
      <c r="M17" s="157" t="s">
        <v>18</v>
      </c>
      <c r="N17" s="157" t="s">
        <v>231</v>
      </c>
      <c r="O17" s="160" t="s">
        <v>78</v>
      </c>
      <c r="P17" s="160" t="s">
        <v>76</v>
      </c>
      <c r="Q17" s="161" t="str">
        <f>IFERROR(VLOOKUP(O17,Risk.Matrix,MATCH(P17,Data!$P$59:$U$59,0),FALSE),"")</f>
        <v>Low</v>
      </c>
      <c r="R17" s="237" t="s">
        <v>1727</v>
      </c>
      <c r="S17" s="158">
        <f>VLOOKUP($A17,Assumption!$B$14:$S$106,7,FALSE)</f>
        <v>0</v>
      </c>
      <c r="T17" s="162">
        <f>VLOOKUP($A17,Assumption!$B$14:$S$106,10,FALSE)</f>
        <v>0</v>
      </c>
      <c r="U17" s="186">
        <f>VLOOKUP($A17,Assumption!$B$14:$S$106,12,FALSE)</f>
        <v>0</v>
      </c>
      <c r="V17" s="160" t="s">
        <v>78</v>
      </c>
      <c r="W17" s="160" t="s">
        <v>79</v>
      </c>
      <c r="X17" s="161" t="str">
        <f>IFERROR(VLOOKUP(V17,Risk.Matrix,MATCH(W17,Data!$P$59:$U$59,0),FALSE),"")</f>
        <v>Low</v>
      </c>
      <c r="Y17" s="158">
        <f>VLOOKUP($A17,Assumption!$B$14:$S$106,13,FALSE)</f>
        <v>0</v>
      </c>
      <c r="Z17" s="160">
        <f>VLOOKUP($A17,Assumption!$B$14:$S$106,16,FALSE)</f>
        <v>0</v>
      </c>
      <c r="AA17" s="237"/>
      <c r="AB17" s="158">
        <f>VLOOKUP($A17,Assumption!$B$14:$S$106,13,FALSE)</f>
        <v>0</v>
      </c>
      <c r="AC17" s="160">
        <f>VLOOKUP($A17,Assumption!$B$14:$S$106,16,FALSE)</f>
        <v>0</v>
      </c>
      <c r="AD17" s="240">
        <f>VLOOKUP($A17,Assumption!$B$14:$S$106,18,FALSE)</f>
        <v>0</v>
      </c>
      <c r="AE17" s="241" t="s">
        <v>1721</v>
      </c>
      <c r="AF17" s="268"/>
      <c r="AG17" s="270"/>
      <c r="AH17" s="267"/>
    </row>
    <row r="18" spans="1:34" s="184" customFormat="1" ht="69.900000000000006" customHeight="1" x14ac:dyDescent="0.2">
      <c r="A18" s="267">
        <v>3</v>
      </c>
      <c r="B18" s="188">
        <v>3</v>
      </c>
      <c r="C18" s="237" t="s">
        <v>647</v>
      </c>
      <c r="D18" s="237" t="s">
        <v>345</v>
      </c>
      <c r="E18" s="237" t="s">
        <v>727</v>
      </c>
      <c r="F18" s="237" t="s">
        <v>1080</v>
      </c>
      <c r="G18" s="419" t="s">
        <v>1735</v>
      </c>
      <c r="H18" s="419"/>
      <c r="I18" s="157">
        <v>45632</v>
      </c>
      <c r="J18" s="157"/>
      <c r="K18" s="158">
        <f>VLOOKUP($A18,Assumption!$B$14:$S$106,2,FALSE)</f>
        <v>0</v>
      </c>
      <c r="L18" s="159">
        <f>VLOOKUP($A18,Assumption!$B$14:$S$106,5,FALSE)</f>
        <v>180</v>
      </c>
      <c r="M18" s="157" t="s">
        <v>18</v>
      </c>
      <c r="N18" s="157" t="s">
        <v>69</v>
      </c>
      <c r="O18" s="160" t="s">
        <v>76</v>
      </c>
      <c r="P18" s="160" t="s">
        <v>76</v>
      </c>
      <c r="Q18" s="161" t="str">
        <f>IFERROR(VLOOKUP(O18,Risk.Matrix,MATCH(P18,Data!$P$59:$U$59,0),FALSE),"")</f>
        <v>High</v>
      </c>
      <c r="R18" s="237" t="s">
        <v>1736</v>
      </c>
      <c r="S18" s="158">
        <f>VLOOKUP($A18,Assumption!$B$14:$S$106,7,FALSE)</f>
        <v>0</v>
      </c>
      <c r="T18" s="162">
        <f>VLOOKUP($A18,Assumption!$B$14:$S$106,10,FALSE)</f>
        <v>0</v>
      </c>
      <c r="U18" s="186">
        <f>VLOOKUP($A18,Assumption!$B$14:$S$106,12,FALSE)</f>
        <v>0</v>
      </c>
      <c r="V18" s="160" t="s">
        <v>79</v>
      </c>
      <c r="W18" s="160" t="s">
        <v>79</v>
      </c>
      <c r="X18" s="161" t="str">
        <f>IFERROR(VLOOKUP(V18,Risk.Matrix,MATCH(W18,Data!$P$59:$U$59,0),FALSE),"")</f>
        <v>Medium</v>
      </c>
      <c r="Y18" s="158">
        <f>VLOOKUP($A18,Assumption!$B$14:$S$106,13,FALSE)</f>
        <v>0</v>
      </c>
      <c r="Z18" s="160">
        <f>VLOOKUP($A18,Assumption!$B$14:$S$106,16,FALSE)</f>
        <v>60</v>
      </c>
      <c r="AA18" s="237"/>
      <c r="AB18" s="158">
        <f>VLOOKUP($A18,Assumption!$B$14:$S$106,13,FALSE)</f>
        <v>0</v>
      </c>
      <c r="AC18" s="160">
        <f>VLOOKUP($A18,Assumption!$B$14:$S$106,16,FALSE)</f>
        <v>60</v>
      </c>
      <c r="AD18" s="240">
        <f>VLOOKUP($A18,Assumption!$B$14:$S$106,18,FALSE)</f>
        <v>0</v>
      </c>
      <c r="AE18" s="241" t="s">
        <v>1721</v>
      </c>
      <c r="AF18" s="268"/>
      <c r="AG18" s="270"/>
      <c r="AH18" s="267"/>
    </row>
    <row r="19" spans="1:34" s="184" customFormat="1" ht="108" customHeight="1" x14ac:dyDescent="0.2">
      <c r="A19" s="267">
        <v>4</v>
      </c>
      <c r="B19" s="188">
        <v>4</v>
      </c>
      <c r="C19" s="237" t="s">
        <v>646</v>
      </c>
      <c r="D19" s="237" t="s">
        <v>346</v>
      </c>
      <c r="E19" s="237" t="s">
        <v>726</v>
      </c>
      <c r="F19" s="237" t="s">
        <v>1625</v>
      </c>
      <c r="G19" s="419" t="s">
        <v>1737</v>
      </c>
      <c r="H19" s="419"/>
      <c r="I19" s="157">
        <v>45632</v>
      </c>
      <c r="J19" s="157"/>
      <c r="K19" s="158">
        <f>VLOOKUP($A19,Assumption!$B$14:$S$106,2,FALSE)</f>
        <v>0</v>
      </c>
      <c r="L19" s="159">
        <f>VLOOKUP($A19,Assumption!$B$14:$S$106,5,FALSE)</f>
        <v>120</v>
      </c>
      <c r="M19" s="157" t="s">
        <v>18</v>
      </c>
      <c r="N19" s="157" t="s">
        <v>69</v>
      </c>
      <c r="O19" s="160" t="s">
        <v>79</v>
      </c>
      <c r="P19" s="160" t="s">
        <v>119</v>
      </c>
      <c r="Q19" s="161" t="str">
        <f>IFERROR(VLOOKUP(O19,Risk.Matrix,MATCH(P19,Data!$P$59:$U$59,0),FALSE),"")</f>
        <v>High</v>
      </c>
      <c r="R19" s="237" t="s">
        <v>1738</v>
      </c>
      <c r="S19" s="158">
        <f>VLOOKUP($A19,Assumption!$B$14:$S$106,7,FALSE)</f>
        <v>6000000</v>
      </c>
      <c r="T19" s="162">
        <f>VLOOKUP($A19,Assumption!$B$14:$S$106,10,FALSE)</f>
        <v>120</v>
      </c>
      <c r="U19" s="186">
        <f>VLOOKUP($A19,Assumption!$B$14:$S$106,12,FALSE)</f>
        <v>1</v>
      </c>
      <c r="V19" s="160" t="s">
        <v>78</v>
      </c>
      <c r="W19" s="160" t="s">
        <v>78</v>
      </c>
      <c r="X19" s="161" t="str">
        <f>IFERROR(VLOOKUP(V19,Risk.Matrix,MATCH(W19,Data!$P$59:$U$59,0),FALSE),"")</f>
        <v>Low</v>
      </c>
      <c r="Y19" s="158">
        <f>VLOOKUP($A19,Assumption!$B$14:$S$106,13,FALSE)</f>
        <v>0</v>
      </c>
      <c r="Z19" s="160">
        <f>VLOOKUP($A19,Assumption!$B$14:$S$106,16,FALSE)</f>
        <v>0</v>
      </c>
      <c r="AA19" s="237" t="s">
        <v>1739</v>
      </c>
      <c r="AB19" s="158">
        <f>VLOOKUP($A19,Assumption!$B$14:$S$106,13,FALSE)</f>
        <v>0</v>
      </c>
      <c r="AC19" s="160">
        <f>VLOOKUP($A19,Assumption!$B$14:$S$106,16,FALSE)</f>
        <v>0</v>
      </c>
      <c r="AD19" s="240">
        <f>VLOOKUP($A19,Assumption!$B$14:$S$106,18,FALSE)</f>
        <v>0</v>
      </c>
      <c r="AE19" s="241" t="s">
        <v>1721</v>
      </c>
      <c r="AF19" s="268"/>
      <c r="AG19" s="270"/>
      <c r="AH19" s="267"/>
    </row>
    <row r="20" spans="1:34" s="184" customFormat="1" ht="87.75" customHeight="1" x14ac:dyDescent="0.2">
      <c r="A20" s="267">
        <v>5</v>
      </c>
      <c r="B20" s="188">
        <v>5</v>
      </c>
      <c r="C20" s="237" t="s">
        <v>646</v>
      </c>
      <c r="D20" s="237" t="s">
        <v>346</v>
      </c>
      <c r="E20" s="237" t="s">
        <v>726</v>
      </c>
      <c r="F20" s="237" t="s">
        <v>1625</v>
      </c>
      <c r="G20" s="419" t="s">
        <v>1740</v>
      </c>
      <c r="H20" s="419"/>
      <c r="I20" s="157">
        <v>45632</v>
      </c>
      <c r="J20" s="157"/>
      <c r="K20" s="158">
        <f>VLOOKUP($A20,Assumption!$B$14:$S$106,2,FALSE)</f>
        <v>150000000</v>
      </c>
      <c r="L20" s="159">
        <f>VLOOKUP($A20,Assumption!$B$14:$S$106,5,FALSE)</f>
        <v>360</v>
      </c>
      <c r="M20" s="157" t="s">
        <v>18</v>
      </c>
      <c r="N20" s="157" t="s">
        <v>69</v>
      </c>
      <c r="O20" s="160" t="s">
        <v>119</v>
      </c>
      <c r="P20" s="160" t="s">
        <v>119</v>
      </c>
      <c r="Q20" s="161" t="str">
        <f>IFERROR(VLOOKUP(O20,Risk.Matrix,MATCH(P20,Data!$P$59:$U$59,0),FALSE),"")</f>
        <v>High</v>
      </c>
      <c r="R20" s="237" t="s">
        <v>1741</v>
      </c>
      <c r="S20" s="158">
        <f>VLOOKUP($A20,Assumption!$B$14:$S$106,7,FALSE)</f>
        <v>150000000</v>
      </c>
      <c r="T20" s="162">
        <f>VLOOKUP($A20,Assumption!$B$14:$S$106,10,FALSE)</f>
        <v>180</v>
      </c>
      <c r="U20" s="186">
        <f>VLOOKUP($A20,Assumption!$B$14:$S$106,12,FALSE)</f>
        <v>1</v>
      </c>
      <c r="V20" s="160" t="s">
        <v>79</v>
      </c>
      <c r="W20" s="160" t="s">
        <v>78</v>
      </c>
      <c r="X20" s="161" t="str">
        <f>IFERROR(VLOOKUP(V20,Risk.Matrix,MATCH(W20,Data!$P$59:$U$59,0),FALSE),"")</f>
        <v>Medium</v>
      </c>
      <c r="Y20" s="158">
        <f>VLOOKUP($A20,Assumption!$B$14:$S$106,13,FALSE)</f>
        <v>25000000</v>
      </c>
      <c r="Z20" s="160">
        <f>VLOOKUP($A20,Assumption!$B$14:$S$106,16,FALSE)</f>
        <v>0</v>
      </c>
      <c r="AA20" s="237" t="s">
        <v>1742</v>
      </c>
      <c r="AB20" s="158">
        <f>VLOOKUP($A20,Assumption!$B$14:$S$106,13,FALSE)</f>
        <v>25000000</v>
      </c>
      <c r="AC20" s="160">
        <f>VLOOKUP($A20,Assumption!$B$14:$S$106,16,FALSE)</f>
        <v>0</v>
      </c>
      <c r="AD20" s="240">
        <f>VLOOKUP($A20,Assumption!$B$14:$S$106,18,FALSE)</f>
        <v>0</v>
      </c>
      <c r="AE20" s="241" t="s">
        <v>1721</v>
      </c>
      <c r="AF20" s="268"/>
      <c r="AG20" s="270"/>
      <c r="AH20" s="267"/>
    </row>
    <row r="21" spans="1:34" s="184" customFormat="1" ht="69.900000000000006" customHeight="1" x14ac:dyDescent="0.2">
      <c r="A21" s="267">
        <v>6</v>
      </c>
      <c r="B21" s="188">
        <v>6</v>
      </c>
      <c r="C21" s="237" t="s">
        <v>646</v>
      </c>
      <c r="D21" s="237" t="s">
        <v>342</v>
      </c>
      <c r="E21" s="237" t="s">
        <v>472</v>
      </c>
      <c r="F21" s="237" t="s">
        <v>1040</v>
      </c>
      <c r="G21" s="432" t="s">
        <v>1743</v>
      </c>
      <c r="H21" s="433"/>
      <c r="I21" s="157">
        <v>45632</v>
      </c>
      <c r="J21" s="157"/>
      <c r="K21" s="158">
        <f>VLOOKUP($A21,Assumption!$B$14:$S$106,2,FALSE)</f>
        <v>0</v>
      </c>
      <c r="L21" s="159">
        <f>VLOOKUP($A21,Assumption!$B$14:$S$106,5,FALSE)</f>
        <v>180</v>
      </c>
      <c r="M21" s="157" t="s">
        <v>18</v>
      </c>
      <c r="N21" s="157" t="s">
        <v>234</v>
      </c>
      <c r="O21" s="160" t="s">
        <v>79</v>
      </c>
      <c r="P21" s="160" t="s">
        <v>79</v>
      </c>
      <c r="Q21" s="161" t="str">
        <f>IFERROR(VLOOKUP(O21,Risk.Matrix,MATCH(P21,Data!$P$59:$U$59,0),FALSE),"")</f>
        <v>Medium</v>
      </c>
      <c r="R21" s="267" t="s">
        <v>1744</v>
      </c>
      <c r="S21" s="267">
        <f>VLOOKUP($A21,Assumption!$B$14:$S$106,7,FALSE)</f>
        <v>8000000</v>
      </c>
      <c r="T21" s="162">
        <f>VLOOKUP($A21,Assumption!$B$14:$S$106,10,FALSE)</f>
        <v>0</v>
      </c>
      <c r="U21" s="186">
        <f>VLOOKUP($A21,Assumption!$B$14:$S$106,12,FALSE)</f>
        <v>0</v>
      </c>
      <c r="V21" s="160" t="s">
        <v>78</v>
      </c>
      <c r="W21" s="160" t="s">
        <v>78</v>
      </c>
      <c r="X21" s="161" t="str">
        <f>IFERROR(VLOOKUP(V21,Risk.Matrix,MATCH(W21,Data!$P$59:$U$59,0),FALSE),"")</f>
        <v>Low</v>
      </c>
      <c r="Y21" s="158">
        <f>VLOOKUP($A21,Assumption!$B$14:$S$106,13,FALSE)</f>
        <v>0</v>
      </c>
      <c r="Z21" s="160">
        <f>VLOOKUP($A21,Assumption!$B$14:$S$106,16,FALSE)</f>
        <v>0</v>
      </c>
      <c r="AA21" s="237"/>
      <c r="AB21" s="158">
        <f>VLOOKUP($A21,Assumption!$B$14:$S$106,13,FALSE)</f>
        <v>0</v>
      </c>
      <c r="AC21" s="160">
        <f>VLOOKUP($A21,Assumption!$B$14:$S$106,16,FALSE)</f>
        <v>0</v>
      </c>
      <c r="AD21" s="240">
        <f>VLOOKUP($A21,Assumption!$B$14:$S$106,18,FALSE)</f>
        <v>0</v>
      </c>
      <c r="AE21" s="241" t="s">
        <v>1721</v>
      </c>
      <c r="AF21" s="268"/>
      <c r="AG21" s="270"/>
      <c r="AH21" s="267"/>
    </row>
    <row r="22" spans="1:34" s="184" customFormat="1" ht="69.900000000000006" customHeight="1" x14ac:dyDescent="0.2">
      <c r="A22" s="267">
        <v>7</v>
      </c>
      <c r="B22" s="188">
        <v>7</v>
      </c>
      <c r="C22" s="237" t="s">
        <v>646</v>
      </c>
      <c r="D22" s="237" t="s">
        <v>346</v>
      </c>
      <c r="E22" s="237" t="s">
        <v>726</v>
      </c>
      <c r="F22" s="237" t="s">
        <v>1176</v>
      </c>
      <c r="G22" s="419" t="s">
        <v>2088</v>
      </c>
      <c r="H22" s="419"/>
      <c r="I22" s="157">
        <v>45632</v>
      </c>
      <c r="J22" s="157" t="s">
        <v>1719</v>
      </c>
      <c r="K22" s="158"/>
      <c r="L22" s="159"/>
      <c r="M22" s="157" t="s">
        <v>18</v>
      </c>
      <c r="N22" s="157" t="s">
        <v>234</v>
      </c>
      <c r="O22" s="160" t="s">
        <v>79</v>
      </c>
      <c r="P22" s="160" t="s">
        <v>76</v>
      </c>
      <c r="Q22" s="161" t="str">
        <f>IFERROR(VLOOKUP(O22,Risk.Matrix,MATCH(P22,Data!$P$59:$U$59,0),FALSE),"")</f>
        <v>Medium</v>
      </c>
      <c r="R22" s="237" t="s">
        <v>2089</v>
      </c>
      <c r="S22" s="158">
        <f>VLOOKUP($A22,Assumption!$B$14:$S$106,7,FALSE)</f>
        <v>0</v>
      </c>
      <c r="T22" s="162"/>
      <c r="U22" s="186"/>
      <c r="V22" s="160" t="s">
        <v>78</v>
      </c>
      <c r="W22" s="160" t="s">
        <v>78</v>
      </c>
      <c r="X22" s="161" t="str">
        <f>IFERROR(VLOOKUP(V22,Risk.Matrix,MATCH(W22,Data!$P$59:$U$59,0),FALSE),"")</f>
        <v>Low</v>
      </c>
      <c r="Y22" s="158">
        <f>VLOOKUP($A22,Assumption!$B$14:$S$106,13,FALSE)</f>
        <v>0</v>
      </c>
      <c r="Z22" s="160">
        <f>VLOOKUP($A22,Assumption!$B$14:$S$106,16,FALSE)</f>
        <v>0</v>
      </c>
      <c r="AA22" s="237"/>
      <c r="AB22" s="158">
        <f>VLOOKUP($A22,Assumption!$B$14:$S$106,13,FALSE)</f>
        <v>0</v>
      </c>
      <c r="AC22" s="160">
        <f>VLOOKUP($A22,Assumption!$B$14:$S$106,16,FALSE)</f>
        <v>0</v>
      </c>
      <c r="AD22" s="240">
        <f>VLOOKUP($A22,Assumption!$B$14:$S$106,18,FALSE)</f>
        <v>0</v>
      </c>
      <c r="AE22" s="241" t="s">
        <v>1721</v>
      </c>
      <c r="AF22" s="268"/>
      <c r="AG22" s="270"/>
      <c r="AH22" s="267"/>
    </row>
    <row r="23" spans="1:34" s="184" customFormat="1" ht="69.900000000000006" customHeight="1" x14ac:dyDescent="0.2">
      <c r="A23" s="267">
        <v>8</v>
      </c>
      <c r="B23" s="188">
        <v>8</v>
      </c>
      <c r="C23" s="237" t="s">
        <v>647</v>
      </c>
      <c r="D23" s="237" t="s">
        <v>420</v>
      </c>
      <c r="E23" s="237" t="s">
        <v>737</v>
      </c>
      <c r="F23" s="237" t="s">
        <v>1555</v>
      </c>
      <c r="G23" s="419" t="s">
        <v>1722</v>
      </c>
      <c r="H23" s="419"/>
      <c r="I23" s="157">
        <v>45292</v>
      </c>
      <c r="J23" s="157"/>
      <c r="K23" s="158">
        <f>VLOOKUP($A23,Assumption!$B$14:$S$106,2,FALSE)</f>
        <v>0</v>
      </c>
      <c r="L23" s="159">
        <f>VLOOKUP($A23,Assumption!$B$14:$S$106,5,FALSE)</f>
        <v>180</v>
      </c>
      <c r="M23" s="157" t="s">
        <v>16</v>
      </c>
      <c r="N23" s="157" t="s">
        <v>94</v>
      </c>
      <c r="O23" s="160" t="s">
        <v>79</v>
      </c>
      <c r="P23" s="160" t="s">
        <v>79</v>
      </c>
      <c r="Q23" s="161" t="str">
        <f>IFERROR(VLOOKUP(O23,Risk.Matrix,MATCH(P23,Data!$P$59:$U$59,0),FALSE),"")</f>
        <v>Medium</v>
      </c>
      <c r="R23" s="237" t="s">
        <v>1723</v>
      </c>
      <c r="S23" s="158">
        <f>VLOOKUP($A23,Assumption!$B$14:$S$106,7,FALSE)</f>
        <v>0</v>
      </c>
      <c r="T23" s="162">
        <f>VLOOKUP($A23,Assumption!$B$14:$S$106,10,FALSE)</f>
        <v>30</v>
      </c>
      <c r="U23" s="186">
        <f>VLOOKUP($A23,Assumption!$B$14:$S$106,12,FALSE)</f>
        <v>1</v>
      </c>
      <c r="V23" s="160" t="s">
        <v>79</v>
      </c>
      <c r="W23" s="160" t="s">
        <v>78</v>
      </c>
      <c r="X23" s="161" t="str">
        <f>IFERROR(VLOOKUP(V23,Risk.Matrix,MATCH(W23,Data!$P$59:$U$59,0),FALSE),"")</f>
        <v>Medium</v>
      </c>
      <c r="Y23" s="158">
        <f>VLOOKUP($A23,Assumption!$B$14:$S$106,13,FALSE)</f>
        <v>0</v>
      </c>
      <c r="Z23" s="160">
        <f>VLOOKUP($A23,Assumption!$B$14:$S$106,16,FALSE)</f>
        <v>0</v>
      </c>
      <c r="AA23" s="237"/>
      <c r="AB23" s="158">
        <f>VLOOKUP($A23,Assumption!$B$14:$S$106,13,FALSE)</f>
        <v>0</v>
      </c>
      <c r="AC23" s="160">
        <f>VLOOKUP($A23,Assumption!$B$14:$S$106,16,FALSE)</f>
        <v>0</v>
      </c>
      <c r="AD23" s="240">
        <f>VLOOKUP($A23,Assumption!$B$14:$S$106,18,FALSE)</f>
        <v>0</v>
      </c>
      <c r="AE23" s="241" t="s">
        <v>1721</v>
      </c>
      <c r="AF23" s="268"/>
      <c r="AG23" s="270"/>
      <c r="AH23" s="267"/>
    </row>
    <row r="24" spans="1:34" s="184" customFormat="1" ht="120.6" customHeight="1" x14ac:dyDescent="0.2">
      <c r="A24" s="267">
        <v>9</v>
      </c>
      <c r="B24" s="188">
        <v>9</v>
      </c>
      <c r="C24" s="237" t="s">
        <v>647</v>
      </c>
      <c r="D24" s="237" t="s">
        <v>420</v>
      </c>
      <c r="E24" s="237" t="s">
        <v>737</v>
      </c>
      <c r="F24" s="237" t="s">
        <v>1555</v>
      </c>
      <c r="G24" s="419" t="s">
        <v>1718</v>
      </c>
      <c r="H24" s="419"/>
      <c r="I24" s="157">
        <v>45292</v>
      </c>
      <c r="J24" s="157" t="s">
        <v>1719</v>
      </c>
      <c r="K24" s="158">
        <f>VLOOKUP($A24,Assumption!$B$14:$S$106,2,FALSE)</f>
        <v>0</v>
      </c>
      <c r="L24" s="159">
        <f>VLOOKUP($A24,Assumption!$B$14:$S$106,5,FALSE)</f>
        <v>1200</v>
      </c>
      <c r="M24" s="157" t="s">
        <v>16</v>
      </c>
      <c r="N24" s="157" t="s">
        <v>94</v>
      </c>
      <c r="O24" s="160" t="s">
        <v>119</v>
      </c>
      <c r="P24" s="160" t="s">
        <v>76</v>
      </c>
      <c r="Q24" s="161" t="str">
        <f>IFERROR(VLOOKUP(O24,Risk.Matrix,MATCH(P24,Data!$P$59:$U$59,0),FALSE),"")</f>
        <v>High</v>
      </c>
      <c r="R24" s="237" t="s">
        <v>1720</v>
      </c>
      <c r="S24" s="158">
        <f>VLOOKUP($A24,Assumption!$B$14:$S$106,7,FALSE)</f>
        <v>0</v>
      </c>
      <c r="T24" s="162">
        <f>VLOOKUP($A24,Assumption!$B$14:$S$106,10,FALSE)</f>
        <v>45</v>
      </c>
      <c r="U24" s="186">
        <f>VLOOKUP($A24,Assumption!$B$14:$S$106,12,FALSE)</f>
        <v>0.05</v>
      </c>
      <c r="V24" s="160" t="s">
        <v>79</v>
      </c>
      <c r="W24" s="160" t="s">
        <v>79</v>
      </c>
      <c r="X24" s="161" t="str">
        <f>IFERROR(VLOOKUP(V24,Risk.Matrix,MATCH(W24,Data!$P$59:$U$59,0),FALSE),"")</f>
        <v>Medium</v>
      </c>
      <c r="Y24" s="158">
        <f>VLOOKUP($A24,Assumption!$B$14:$S$106,13,FALSE)</f>
        <v>0</v>
      </c>
      <c r="Z24" s="160">
        <f>VLOOKUP($A24,Assumption!$B$14:$S$106,16,FALSE)</f>
        <v>30</v>
      </c>
      <c r="AA24" s="237" t="s">
        <v>251</v>
      </c>
      <c r="AB24" s="158">
        <f>VLOOKUP($A24,Assumption!$B$14:$S$106,13,FALSE)</f>
        <v>0</v>
      </c>
      <c r="AC24" s="160">
        <f>VLOOKUP($A24,Assumption!$B$14:$S$106,16,FALSE)</f>
        <v>30</v>
      </c>
      <c r="AD24" s="240">
        <f>VLOOKUP($A24,Assumption!$B$14:$S$106,18,FALSE)</f>
        <v>1</v>
      </c>
      <c r="AE24" s="241" t="s">
        <v>1721</v>
      </c>
      <c r="AF24" s="268"/>
      <c r="AG24" s="270"/>
      <c r="AH24" s="267"/>
    </row>
    <row r="25" spans="1:34" s="184" customFormat="1" ht="69.900000000000006" customHeight="1" x14ac:dyDescent="0.2">
      <c r="A25" s="267">
        <v>10</v>
      </c>
      <c r="B25" s="188">
        <v>10</v>
      </c>
      <c r="C25" s="237" t="s">
        <v>647</v>
      </c>
      <c r="D25" s="237" t="s">
        <v>418</v>
      </c>
      <c r="E25" s="237" t="s">
        <v>672</v>
      </c>
      <c r="F25" s="237" t="s">
        <v>1526</v>
      </c>
      <c r="G25" s="419" t="s">
        <v>1724</v>
      </c>
      <c r="H25" s="419"/>
      <c r="I25" s="157">
        <v>45632</v>
      </c>
      <c r="J25" s="157"/>
      <c r="K25" s="158">
        <f>VLOOKUP($A25,Assumption!$B$14:$S$106,2,FALSE)</f>
        <v>0</v>
      </c>
      <c r="L25" s="159">
        <f>VLOOKUP($A25,Assumption!$B$14:$S$106,5,FALSE)</f>
        <v>180</v>
      </c>
      <c r="M25" s="157" t="s">
        <v>18</v>
      </c>
      <c r="N25" s="157" t="s">
        <v>89</v>
      </c>
      <c r="O25" s="160" t="s">
        <v>79</v>
      </c>
      <c r="P25" s="160" t="s">
        <v>79</v>
      </c>
      <c r="Q25" s="161" t="str">
        <f>IFERROR(VLOOKUP(O25,Risk.Matrix,MATCH(P25,Data!$P$59:$U$59,0),FALSE),"")</f>
        <v>Medium</v>
      </c>
      <c r="R25" s="237" t="s">
        <v>1725</v>
      </c>
      <c r="S25" s="158">
        <f>VLOOKUP($A25,Assumption!$B$14:$S$106,7,FALSE)</f>
        <v>0</v>
      </c>
      <c r="T25" s="162">
        <f>VLOOKUP($A25,Assumption!$B$14:$S$106,10,FALSE)</f>
        <v>0</v>
      </c>
      <c r="U25" s="186">
        <f>VLOOKUP($A25,Assumption!$B$14:$S$106,12,FALSE)</f>
        <v>0</v>
      </c>
      <c r="V25" s="160" t="s">
        <v>78</v>
      </c>
      <c r="W25" s="160" t="s">
        <v>78</v>
      </c>
      <c r="X25" s="161" t="str">
        <f>IFERROR(VLOOKUP(V25,Risk.Matrix,MATCH(W25,Data!$P$59:$U$59,0),FALSE),"")</f>
        <v>Low</v>
      </c>
      <c r="Y25" s="158">
        <f>VLOOKUP($A25,Assumption!$B$14:$S$106,13,FALSE)</f>
        <v>0</v>
      </c>
      <c r="Z25" s="160">
        <f>VLOOKUP($A25,Assumption!$B$14:$S$106,16,FALSE)</f>
        <v>0</v>
      </c>
      <c r="AA25" s="237"/>
      <c r="AB25" s="158">
        <f>VLOOKUP($A25,Assumption!$B$14:$S$106,13,FALSE)</f>
        <v>0</v>
      </c>
      <c r="AC25" s="160">
        <f>VLOOKUP($A25,Assumption!$B$14:$S$106,16,FALSE)</f>
        <v>0</v>
      </c>
      <c r="AD25" s="240">
        <f>VLOOKUP($A25,Assumption!$B$14:$S$106,18,FALSE)</f>
        <v>0</v>
      </c>
      <c r="AE25" s="241" t="s">
        <v>1721</v>
      </c>
      <c r="AF25" s="268"/>
      <c r="AG25" s="270"/>
      <c r="AH25" s="267"/>
    </row>
    <row r="26" spans="1:34" s="184" customFormat="1" ht="69.900000000000006" customHeight="1" x14ac:dyDescent="0.2">
      <c r="A26" s="267">
        <v>11</v>
      </c>
      <c r="B26" s="188">
        <v>11</v>
      </c>
      <c r="C26" s="237" t="s">
        <v>646</v>
      </c>
      <c r="D26" s="237" t="s">
        <v>346</v>
      </c>
      <c r="E26" s="237" t="s">
        <v>726</v>
      </c>
      <c r="F26" s="237" t="s">
        <v>1176</v>
      </c>
      <c r="G26" s="419" t="s">
        <v>1730</v>
      </c>
      <c r="H26" s="419"/>
      <c r="I26" s="157">
        <v>46037</v>
      </c>
      <c r="J26" s="157"/>
      <c r="K26" s="158">
        <f>VLOOKUP($A26,Assumption!$B$14:$S$106,2,FALSE)</f>
        <v>0</v>
      </c>
      <c r="L26" s="159">
        <f>VLOOKUP($A26,Assumption!$B$14:$S$106,5,FALSE)</f>
        <v>90</v>
      </c>
      <c r="M26" s="157" t="s">
        <v>18</v>
      </c>
      <c r="N26" s="157" t="s">
        <v>107</v>
      </c>
      <c r="O26" s="160" t="s">
        <v>78</v>
      </c>
      <c r="P26" s="160" t="s">
        <v>79</v>
      </c>
      <c r="Q26" s="161" t="str">
        <f>IFERROR(VLOOKUP(O26,Risk.Matrix,MATCH(P26,Data!$P$59:$U$59,0),FALSE),"")</f>
        <v>Low</v>
      </c>
      <c r="R26" s="237" t="s">
        <v>1731</v>
      </c>
      <c r="S26" s="158">
        <f>VLOOKUP($A26,Assumption!$B$14:$S$106,7,FALSE)</f>
        <v>0</v>
      </c>
      <c r="T26" s="162">
        <f>VLOOKUP($A26,Assumption!$B$14:$S$106,10,FALSE)</f>
        <v>0</v>
      </c>
      <c r="U26" s="186">
        <f>VLOOKUP($A26,Assumption!$B$14:$S$106,12,FALSE)</f>
        <v>0</v>
      </c>
      <c r="V26" s="160" t="s">
        <v>79</v>
      </c>
      <c r="W26" s="160" t="s">
        <v>79</v>
      </c>
      <c r="X26" s="161" t="str">
        <f>IFERROR(VLOOKUP(V26,Risk.Matrix,MATCH(W26,Data!$P$59:$U$59,0),FALSE),"")</f>
        <v>Medium</v>
      </c>
      <c r="Y26" s="158">
        <f>VLOOKUP($A26,Assumption!$B$14:$S$106,13,FALSE)</f>
        <v>0</v>
      </c>
      <c r="Z26" s="160">
        <f>VLOOKUP($A26,Assumption!$B$14:$S$106,16,FALSE)</f>
        <v>30</v>
      </c>
      <c r="AA26" s="237" t="s">
        <v>1732</v>
      </c>
      <c r="AB26" s="158">
        <f>VLOOKUP($A26,Assumption!$B$14:$S$106,13,FALSE)</f>
        <v>0</v>
      </c>
      <c r="AC26" s="160">
        <f>VLOOKUP($A26,Assumption!$B$14:$S$106,16,FALSE)</f>
        <v>30</v>
      </c>
      <c r="AD26" s="240">
        <f>VLOOKUP($A26,Assumption!$B$14:$S$106,18,FALSE)</f>
        <v>0</v>
      </c>
      <c r="AE26" s="241" t="s">
        <v>1721</v>
      </c>
      <c r="AF26" s="268"/>
      <c r="AG26" s="270"/>
      <c r="AH26" s="267"/>
    </row>
    <row r="27" spans="1:34" s="184" customFormat="1" ht="69.900000000000006" customHeight="1" x14ac:dyDescent="0.2">
      <c r="A27" s="267">
        <v>12</v>
      </c>
      <c r="B27" s="188">
        <v>12</v>
      </c>
      <c r="C27" s="237" t="s">
        <v>646</v>
      </c>
      <c r="D27" s="237" t="s">
        <v>347</v>
      </c>
      <c r="E27" s="237" t="s">
        <v>739</v>
      </c>
      <c r="F27" s="237" t="s">
        <v>1468</v>
      </c>
      <c r="G27" s="419" t="s">
        <v>1728</v>
      </c>
      <c r="H27" s="419"/>
      <c r="I27" s="157">
        <v>45662</v>
      </c>
      <c r="J27" s="157"/>
      <c r="K27" s="158">
        <f>VLOOKUP($A27,Assumption!$B$14:$S$106,2,FALSE)</f>
        <v>0</v>
      </c>
      <c r="L27" s="159">
        <f>VLOOKUP($A27,Assumption!$B$14:$S$106,5,FALSE)</f>
        <v>360</v>
      </c>
      <c r="M27" s="157" t="s">
        <v>17</v>
      </c>
      <c r="N27" s="157" t="s">
        <v>29</v>
      </c>
      <c r="O27" s="160" t="s">
        <v>79</v>
      </c>
      <c r="P27" s="160" t="s">
        <v>79</v>
      </c>
      <c r="Q27" s="161" t="str">
        <f>IFERROR(VLOOKUP(O27,Risk.Matrix,MATCH(P27,Data!$P$59:$U$59,0),FALSE),"")</f>
        <v>Medium</v>
      </c>
      <c r="R27" s="237" t="s">
        <v>1729</v>
      </c>
      <c r="S27" s="158">
        <f>VLOOKUP($A27,Assumption!$B$14:$S$106,7,FALSE)</f>
        <v>0</v>
      </c>
      <c r="T27" s="162">
        <f>VLOOKUP($A27,Assumption!$B$14:$S$106,10,FALSE)</f>
        <v>0</v>
      </c>
      <c r="U27" s="186">
        <f>VLOOKUP($A27,Assumption!$B$14:$S$106,12,FALSE)</f>
        <v>0</v>
      </c>
      <c r="V27" s="160" t="s">
        <v>79</v>
      </c>
      <c r="W27" s="160" t="s">
        <v>79</v>
      </c>
      <c r="X27" s="161" t="str">
        <f>IFERROR(VLOOKUP(V27,Risk.Matrix,MATCH(W27,Data!$P$59:$U$59,0),FALSE),"")</f>
        <v>Medium</v>
      </c>
      <c r="Y27" s="158">
        <f>VLOOKUP($A27,Assumption!$B$14:$S$106,13,FALSE)</f>
        <v>0</v>
      </c>
      <c r="Z27" s="160">
        <f>VLOOKUP($A27,Assumption!$B$14:$S$106,16,FALSE)</f>
        <v>360</v>
      </c>
      <c r="AA27" s="237"/>
      <c r="AB27" s="158">
        <f>VLOOKUP($A27,Assumption!$B$14:$S$106,13,FALSE)</f>
        <v>0</v>
      </c>
      <c r="AC27" s="160">
        <f>VLOOKUP($A27,Assumption!$B$14:$S$106,16,FALSE)</f>
        <v>360</v>
      </c>
      <c r="AD27" s="240">
        <f>VLOOKUP($A27,Assumption!$B$14:$S$106,18,FALSE)</f>
        <v>1</v>
      </c>
      <c r="AE27" s="241" t="s">
        <v>1721</v>
      </c>
      <c r="AF27" s="268"/>
      <c r="AG27" s="270"/>
      <c r="AH27" s="267"/>
    </row>
    <row r="28" spans="1:34" s="184" customFormat="1" ht="129.6" customHeight="1" x14ac:dyDescent="0.2">
      <c r="A28" s="267">
        <v>13</v>
      </c>
      <c r="B28" s="188">
        <v>13</v>
      </c>
      <c r="C28" s="237" t="s">
        <v>646</v>
      </c>
      <c r="D28" s="237" t="s">
        <v>342</v>
      </c>
      <c r="E28" s="237" t="s">
        <v>472</v>
      </c>
      <c r="F28" s="237" t="s">
        <v>1040</v>
      </c>
      <c r="G28" s="419" t="s">
        <v>1745</v>
      </c>
      <c r="H28" s="419"/>
      <c r="I28" s="157">
        <v>46022</v>
      </c>
      <c r="J28" s="157"/>
      <c r="K28" s="158">
        <f>VLOOKUP($A28,Assumption!$B$14:$S$106,2,FALSE)</f>
        <v>0</v>
      </c>
      <c r="L28" s="159">
        <f>VLOOKUP($A28,Assumption!$B$14:$S$106,5,FALSE)</f>
        <v>30</v>
      </c>
      <c r="M28" s="157" t="s">
        <v>18</v>
      </c>
      <c r="N28" s="157" t="s">
        <v>287</v>
      </c>
      <c r="O28" s="160" t="s">
        <v>78</v>
      </c>
      <c r="P28" s="160" t="s">
        <v>79</v>
      </c>
      <c r="Q28" s="161" t="str">
        <f>IFERROR(VLOOKUP(O28,Risk.Matrix,MATCH(P28,Data!$P$59:$U$59,0),FALSE),"")</f>
        <v>Low</v>
      </c>
      <c r="R28" s="237" t="s">
        <v>1729</v>
      </c>
      <c r="S28" s="158">
        <f>VLOOKUP($A28,Assumption!$B$14:$S$106,7,FALSE)</f>
        <v>0</v>
      </c>
      <c r="T28" s="162">
        <f>VLOOKUP($A28,Assumption!$B$14:$S$106,10,FALSE)</f>
        <v>0</v>
      </c>
      <c r="U28" s="186">
        <f>VLOOKUP($A28,Assumption!$B$14:$S$106,12,FALSE)</f>
        <v>0</v>
      </c>
      <c r="V28" s="160" t="s">
        <v>78</v>
      </c>
      <c r="W28" s="160" t="s">
        <v>79</v>
      </c>
      <c r="X28" s="161" t="str">
        <f>IFERROR(VLOOKUP(V28,Risk.Matrix,MATCH(W28,Data!$P$59:$U$59,0),FALSE),"")</f>
        <v>Low</v>
      </c>
      <c r="Y28" s="158">
        <f>VLOOKUP($A28,Assumption!$B$14:$S$106,13,FALSE)</f>
        <v>0</v>
      </c>
      <c r="Z28" s="160">
        <f>VLOOKUP($A28,Assumption!$B$14:$S$106,16,FALSE)</f>
        <v>30</v>
      </c>
      <c r="AA28" s="237" t="s">
        <v>1746</v>
      </c>
      <c r="AB28" s="158">
        <f>VLOOKUP($A28,Assumption!$B$14:$S$106,13,FALSE)</f>
        <v>0</v>
      </c>
      <c r="AC28" s="160">
        <f>VLOOKUP($A28,Assumption!$B$14:$S$106,16,FALSE)</f>
        <v>30</v>
      </c>
      <c r="AD28" s="240">
        <f>VLOOKUP($A28,Assumption!$B$14:$S$106,18,FALSE)</f>
        <v>1</v>
      </c>
      <c r="AE28" s="241" t="s">
        <v>1721</v>
      </c>
      <c r="AF28" s="268"/>
      <c r="AG28" s="270"/>
      <c r="AH28" s="267"/>
    </row>
    <row r="29" spans="1:34" s="184" customFormat="1" ht="86.25" customHeight="1" x14ac:dyDescent="0.2">
      <c r="A29" s="267">
        <v>14</v>
      </c>
      <c r="B29" s="188">
        <v>14</v>
      </c>
      <c r="C29" s="237" t="s">
        <v>646</v>
      </c>
      <c r="D29" s="237" t="s">
        <v>346</v>
      </c>
      <c r="E29" s="237" t="s">
        <v>682</v>
      </c>
      <c r="F29" s="237" t="s">
        <v>1069</v>
      </c>
      <c r="G29" s="419" t="s">
        <v>1749</v>
      </c>
      <c r="H29" s="419"/>
      <c r="I29" s="157">
        <v>45823</v>
      </c>
      <c r="J29" s="157"/>
      <c r="K29" s="158">
        <f>VLOOKUP($A29,Assumption!$B$14:$S$106,2,FALSE)</f>
        <v>0</v>
      </c>
      <c r="L29" s="159">
        <f>VLOOKUP($A29,Assumption!$B$14:$S$106,5,FALSE)</f>
        <v>120</v>
      </c>
      <c r="M29" s="157" t="s">
        <v>18</v>
      </c>
      <c r="N29" s="157" t="s">
        <v>287</v>
      </c>
      <c r="O29" s="160" t="s">
        <v>76</v>
      </c>
      <c r="P29" s="160" t="s">
        <v>79</v>
      </c>
      <c r="Q29" s="161" t="str">
        <f>IFERROR(VLOOKUP(O29,Risk.Matrix,MATCH(P29,Data!$P$59:$U$59,0),FALSE),"")</f>
        <v>High</v>
      </c>
      <c r="R29" s="237" t="s">
        <v>1729</v>
      </c>
      <c r="S29" s="158">
        <f>VLOOKUP($A29,Assumption!$B$14:$S$106,7,FALSE)</f>
        <v>0</v>
      </c>
      <c r="T29" s="162">
        <f>VLOOKUP($A29,Assumption!$B$14:$S$106,10,FALSE)</f>
        <v>0</v>
      </c>
      <c r="U29" s="186">
        <f>VLOOKUP($A29,Assumption!$B$14:$S$106,12,FALSE)</f>
        <v>0</v>
      </c>
      <c r="V29" s="160" t="s">
        <v>76</v>
      </c>
      <c r="W29" s="160" t="s">
        <v>79</v>
      </c>
      <c r="X29" s="161" t="str">
        <f>IFERROR(VLOOKUP(V29,Risk.Matrix,MATCH(W29,Data!$P$59:$U$59,0),FALSE),"")</f>
        <v>High</v>
      </c>
      <c r="Y29" s="158">
        <f>VLOOKUP($A29,Assumption!$B$14:$S$106,13,FALSE)</f>
        <v>0</v>
      </c>
      <c r="Z29" s="160">
        <f>VLOOKUP($A29,Assumption!$B$14:$S$106,16,FALSE)</f>
        <v>120</v>
      </c>
      <c r="AA29" s="237" t="s">
        <v>1750</v>
      </c>
      <c r="AB29" s="158">
        <f>VLOOKUP($A29,Assumption!$B$14:$S$106,13,FALSE)</f>
        <v>0</v>
      </c>
      <c r="AC29" s="160">
        <f>VLOOKUP($A29,Assumption!$B$14:$S$106,16,FALSE)</f>
        <v>120</v>
      </c>
      <c r="AD29" s="240">
        <f>VLOOKUP($A29,Assumption!$B$14:$S$106,18,FALSE)</f>
        <v>1</v>
      </c>
      <c r="AE29" s="241" t="s">
        <v>1721</v>
      </c>
      <c r="AF29" s="268"/>
      <c r="AG29" s="270"/>
      <c r="AH29" s="267"/>
    </row>
    <row r="30" spans="1:34" s="184" customFormat="1" ht="91.95" customHeight="1" x14ac:dyDescent="0.2">
      <c r="A30" s="267">
        <v>15</v>
      </c>
      <c r="B30" s="188">
        <v>15</v>
      </c>
      <c r="C30" s="237" t="s">
        <v>646</v>
      </c>
      <c r="D30" s="237" t="s">
        <v>346</v>
      </c>
      <c r="E30" s="237" t="s">
        <v>682</v>
      </c>
      <c r="F30" s="237" t="s">
        <v>1069</v>
      </c>
      <c r="G30" s="419" t="s">
        <v>1757</v>
      </c>
      <c r="H30" s="419"/>
      <c r="I30" s="157">
        <v>45662</v>
      </c>
      <c r="J30" s="157"/>
      <c r="K30" s="158"/>
      <c r="L30" s="159"/>
      <c r="M30" s="157" t="s">
        <v>18</v>
      </c>
      <c r="N30" s="157" t="s">
        <v>287</v>
      </c>
      <c r="O30" s="160" t="s">
        <v>78</v>
      </c>
      <c r="P30" s="160" t="s">
        <v>76</v>
      </c>
      <c r="Q30" s="161" t="str">
        <f>IFERROR(VLOOKUP(O30,Risk.Matrix,MATCH(P30,Data!$P$59:$U$59,0),FALSE),"")</f>
        <v>Low</v>
      </c>
      <c r="R30" s="237" t="s">
        <v>1758</v>
      </c>
      <c r="S30" s="158">
        <f>VLOOKUP($A30,Assumption!$B$14:$S$106,7,FALSE)</f>
        <v>0</v>
      </c>
      <c r="T30" s="162"/>
      <c r="U30" s="186"/>
      <c r="V30" s="160" t="s">
        <v>78</v>
      </c>
      <c r="W30" s="160" t="s">
        <v>78</v>
      </c>
      <c r="X30" s="161" t="str">
        <f>IFERROR(VLOOKUP(V30,Risk.Matrix,MATCH(W30,Data!$P$59:$U$59,0),FALSE),"")</f>
        <v>Low</v>
      </c>
      <c r="Y30" s="158">
        <f>VLOOKUP($A30,Assumption!$B$14:$S$106,13,FALSE)</f>
        <v>0</v>
      </c>
      <c r="Z30" s="160">
        <f>VLOOKUP($A30,Assumption!$B$14:$S$106,16,FALSE)</f>
        <v>0</v>
      </c>
      <c r="AA30" s="237"/>
      <c r="AB30" s="158">
        <f>VLOOKUP($A30,Assumption!$B$14:$S$106,13,FALSE)</f>
        <v>0</v>
      </c>
      <c r="AC30" s="160">
        <f>VLOOKUP($A30,Assumption!$B$14:$S$106,16,FALSE)</f>
        <v>0</v>
      </c>
      <c r="AD30" s="240">
        <f>VLOOKUP($A30,Assumption!$B$14:$S$106,18,FALSE)</f>
        <v>0</v>
      </c>
      <c r="AE30" s="241" t="s">
        <v>1721</v>
      </c>
      <c r="AF30" s="268"/>
      <c r="AG30" s="270"/>
      <c r="AH30" s="267"/>
    </row>
    <row r="31" spans="1:34" s="184" customFormat="1" ht="87.6" customHeight="1" x14ac:dyDescent="0.2">
      <c r="A31" s="267">
        <v>16</v>
      </c>
      <c r="B31" s="188">
        <v>16</v>
      </c>
      <c r="C31" s="237" t="s">
        <v>646</v>
      </c>
      <c r="D31" s="237" t="s">
        <v>346</v>
      </c>
      <c r="E31" s="237" t="s">
        <v>726</v>
      </c>
      <c r="F31" s="237" t="s">
        <v>1647</v>
      </c>
      <c r="G31" s="419" t="s">
        <v>1759</v>
      </c>
      <c r="H31" s="419"/>
      <c r="I31" s="157">
        <v>46022</v>
      </c>
      <c r="J31" s="157"/>
      <c r="K31" s="158"/>
      <c r="L31" s="159"/>
      <c r="M31" s="157" t="s">
        <v>18</v>
      </c>
      <c r="N31" s="157" t="s">
        <v>287</v>
      </c>
      <c r="O31" s="160" t="s">
        <v>78</v>
      </c>
      <c r="P31" s="160" t="s">
        <v>76</v>
      </c>
      <c r="Q31" s="161" t="str">
        <f>IFERROR(VLOOKUP(O31,Risk.Matrix,MATCH(P31,Data!$P$59:$U$59,0),FALSE),"")</f>
        <v>Low</v>
      </c>
      <c r="R31" s="237" t="s">
        <v>1760</v>
      </c>
      <c r="S31" s="158">
        <f>VLOOKUP($A31,Assumption!$B$14:$S$106,7,FALSE)</f>
        <v>0</v>
      </c>
      <c r="T31" s="162"/>
      <c r="U31" s="186"/>
      <c r="V31" s="160" t="s">
        <v>78</v>
      </c>
      <c r="W31" s="160" t="s">
        <v>78</v>
      </c>
      <c r="X31" s="161" t="str">
        <f>IFERROR(VLOOKUP(V31,Risk.Matrix,MATCH(W31,Data!$P$59:$U$59,0),FALSE),"")</f>
        <v>Low</v>
      </c>
      <c r="Y31" s="158">
        <f>VLOOKUP($A31,Assumption!$B$14:$S$106,13,FALSE)</f>
        <v>0</v>
      </c>
      <c r="Z31" s="160">
        <f>VLOOKUP($A31,Assumption!$B$14:$S$106,16,FALSE)</f>
        <v>0</v>
      </c>
      <c r="AA31" s="237"/>
      <c r="AB31" s="158">
        <f>VLOOKUP($A31,Assumption!$B$14:$S$106,13,FALSE)</f>
        <v>0</v>
      </c>
      <c r="AC31" s="160">
        <f>VLOOKUP($A31,Assumption!$B$14:$S$106,16,FALSE)</f>
        <v>0</v>
      </c>
      <c r="AD31" s="240">
        <f>VLOOKUP($A31,Assumption!$B$14:$S$106,18,FALSE)</f>
        <v>0</v>
      </c>
      <c r="AE31" s="241" t="s">
        <v>1721</v>
      </c>
      <c r="AF31" s="268"/>
      <c r="AG31" s="270"/>
      <c r="AH31" s="267"/>
    </row>
    <row r="32" spans="1:34" s="184" customFormat="1" ht="95.4" customHeight="1" x14ac:dyDescent="0.2">
      <c r="A32" s="267">
        <v>17</v>
      </c>
      <c r="B32" s="188">
        <v>17</v>
      </c>
      <c r="C32" s="237" t="s">
        <v>646</v>
      </c>
      <c r="D32" s="237" t="s">
        <v>654</v>
      </c>
      <c r="E32" s="237" t="s">
        <v>713</v>
      </c>
      <c r="F32" s="237" t="s">
        <v>936</v>
      </c>
      <c r="G32" s="419" t="s">
        <v>1761</v>
      </c>
      <c r="H32" s="419"/>
      <c r="I32" s="157">
        <v>46022</v>
      </c>
      <c r="J32" s="157"/>
      <c r="K32" s="158"/>
      <c r="L32" s="159"/>
      <c r="M32" s="157" t="s">
        <v>18</v>
      </c>
      <c r="N32" s="157" t="s">
        <v>287</v>
      </c>
      <c r="O32" s="160" t="s">
        <v>79</v>
      </c>
      <c r="P32" s="160" t="s">
        <v>79</v>
      </c>
      <c r="Q32" s="161" t="str">
        <f>IFERROR(VLOOKUP(O32,Risk.Matrix,MATCH(P32,Data!$P$59:$U$59,0),FALSE),"")</f>
        <v>Medium</v>
      </c>
      <c r="R32" s="237" t="s">
        <v>2090</v>
      </c>
      <c r="S32" s="158">
        <f>VLOOKUP($A32,Assumption!$B$14:$S$106,7,FALSE)</f>
        <v>0</v>
      </c>
      <c r="T32" s="162"/>
      <c r="U32" s="186"/>
      <c r="V32" s="160" t="s">
        <v>78</v>
      </c>
      <c r="W32" s="160" t="s">
        <v>78</v>
      </c>
      <c r="X32" s="161" t="str">
        <f>IFERROR(VLOOKUP(V32,Risk.Matrix,MATCH(W32,Data!$P$59:$U$59,0),FALSE),"")</f>
        <v>Low</v>
      </c>
      <c r="Y32" s="158">
        <f>VLOOKUP($A32,Assumption!$B$14:$S$106,13,FALSE)</f>
        <v>0</v>
      </c>
      <c r="Z32" s="160">
        <f>VLOOKUP($A32,Assumption!$B$14:$S$106,16,FALSE)</f>
        <v>0</v>
      </c>
      <c r="AA32" s="237"/>
      <c r="AB32" s="158">
        <f>VLOOKUP($A32,Assumption!$B$14:$S$106,13,FALSE)</f>
        <v>0</v>
      </c>
      <c r="AC32" s="160"/>
      <c r="AD32" s="240"/>
      <c r="AE32" s="241" t="s">
        <v>1721</v>
      </c>
      <c r="AF32" s="268"/>
      <c r="AG32" s="270"/>
      <c r="AH32" s="267"/>
    </row>
    <row r="33" spans="1:34" s="184" customFormat="1" ht="93" customHeight="1" x14ac:dyDescent="0.2">
      <c r="A33" s="267">
        <v>18</v>
      </c>
      <c r="B33" s="188">
        <v>18</v>
      </c>
      <c r="C33" s="237" t="s">
        <v>646</v>
      </c>
      <c r="D33" s="237" t="s">
        <v>342</v>
      </c>
      <c r="E33" s="237" t="s">
        <v>472</v>
      </c>
      <c r="F33" s="237" t="s">
        <v>1581</v>
      </c>
      <c r="G33" s="419" t="s">
        <v>2091</v>
      </c>
      <c r="H33" s="419"/>
      <c r="I33" s="157">
        <v>45077</v>
      </c>
      <c r="J33" s="157"/>
      <c r="K33" s="158"/>
      <c r="L33" s="159"/>
      <c r="M33" s="157" t="s">
        <v>18</v>
      </c>
      <c r="N33" s="157" t="s">
        <v>287</v>
      </c>
      <c r="O33" s="160" t="s">
        <v>79</v>
      </c>
      <c r="P33" s="160" t="s">
        <v>78</v>
      </c>
      <c r="Q33" s="161" t="str">
        <f>IFERROR(VLOOKUP(O33,Risk.Matrix,MATCH(P33,Data!$P$59:$U$59,0),FALSE),"")</f>
        <v>Medium</v>
      </c>
      <c r="R33" s="237" t="s">
        <v>2092</v>
      </c>
      <c r="S33" s="158">
        <f>VLOOKUP($A33,Assumption!$B$14:$S$106,7,FALSE)</f>
        <v>0</v>
      </c>
      <c r="T33" s="162"/>
      <c r="U33" s="186"/>
      <c r="V33" s="160" t="s">
        <v>78</v>
      </c>
      <c r="W33" s="160" t="s">
        <v>78</v>
      </c>
      <c r="X33" s="161" t="str">
        <f>IFERROR(VLOOKUP(V33,Risk.Matrix,MATCH(W33,Data!$P$59:$U$59,0),FALSE),"")</f>
        <v>Low</v>
      </c>
      <c r="Y33" s="158">
        <f>VLOOKUP($A33,Assumption!$B$14:$S$106,13,FALSE)</f>
        <v>0</v>
      </c>
      <c r="Z33" s="160">
        <f>VLOOKUP($A33,Assumption!$B$14:$S$106,16,FALSE)</f>
        <v>0</v>
      </c>
      <c r="AA33" s="237"/>
      <c r="AB33" s="158">
        <f>VLOOKUP($A33,Assumption!$B$14:$S$106,13,FALSE)</f>
        <v>0</v>
      </c>
      <c r="AC33" s="160"/>
      <c r="AD33" s="240"/>
      <c r="AE33" s="241" t="s">
        <v>1721</v>
      </c>
      <c r="AF33" s="268"/>
      <c r="AG33" s="270"/>
      <c r="AH33" s="267"/>
    </row>
    <row r="34" spans="1:34" s="184" customFormat="1" ht="69.900000000000006" customHeight="1" x14ac:dyDescent="0.2">
      <c r="A34" s="267">
        <v>19</v>
      </c>
      <c r="B34" s="188">
        <v>19</v>
      </c>
      <c r="C34" s="237" t="s">
        <v>647</v>
      </c>
      <c r="D34" s="237" t="s">
        <v>343</v>
      </c>
      <c r="E34" s="237" t="s">
        <v>742</v>
      </c>
      <c r="F34" s="237" t="s">
        <v>1516</v>
      </c>
      <c r="G34" s="419" t="s">
        <v>1733</v>
      </c>
      <c r="H34" s="419"/>
      <c r="I34" s="157">
        <v>46022</v>
      </c>
      <c r="J34" s="157"/>
      <c r="K34" s="158">
        <f>VLOOKUP($A34,Assumption!$B$14:$S$106,2,FALSE)</f>
        <v>1400000000</v>
      </c>
      <c r="L34" s="159">
        <f>VLOOKUP($A34,Assumption!$B$14:$S$106,5,FALSE)</f>
        <v>180</v>
      </c>
      <c r="M34" s="157" t="s">
        <v>18</v>
      </c>
      <c r="N34" s="157" t="s">
        <v>287</v>
      </c>
      <c r="O34" s="160" t="s">
        <v>76</v>
      </c>
      <c r="P34" s="160" t="s">
        <v>79</v>
      </c>
      <c r="Q34" s="161" t="str">
        <f>IFERROR(VLOOKUP(O34,Risk.Matrix,MATCH(P34,Data!$P$59:$U$59,0),FALSE),"")</f>
        <v>High</v>
      </c>
      <c r="R34" s="237" t="s">
        <v>2093</v>
      </c>
      <c r="S34" s="158">
        <f>VLOOKUP($A34,Assumption!$B$14:$S$106,7,FALSE)</f>
        <v>0</v>
      </c>
      <c r="T34" s="162">
        <f>VLOOKUP($A34,Assumption!$B$14:$S$106,10,FALSE)</f>
        <v>0</v>
      </c>
      <c r="U34" s="186">
        <f>VLOOKUP($A34,Assumption!$B$14:$S$106,12,FALSE)</f>
        <v>0</v>
      </c>
      <c r="V34" s="160" t="s">
        <v>79</v>
      </c>
      <c r="W34" s="160" t="s">
        <v>79</v>
      </c>
      <c r="X34" s="161" t="str">
        <f>IFERROR(VLOOKUP(V34,Risk.Matrix,MATCH(W34,Data!$P$59:$U$59,0),FALSE),"")</f>
        <v>Medium</v>
      </c>
      <c r="Y34" s="158">
        <f>VLOOKUP($A34,Assumption!$B$14:$S$106,13,FALSE)</f>
        <v>0</v>
      </c>
      <c r="Z34" s="160">
        <f>VLOOKUP($A34,Assumption!$B$14:$S$106,16,FALSE)</f>
        <v>60</v>
      </c>
      <c r="AA34" s="237" t="s">
        <v>2094</v>
      </c>
      <c r="AB34" s="158">
        <f>VLOOKUP($A34,Assumption!$B$14:$S$106,13,FALSE)</f>
        <v>0</v>
      </c>
      <c r="AC34" s="160">
        <f>VLOOKUP($A34,Assumption!$B$14:$S$106,16,FALSE)</f>
        <v>60</v>
      </c>
      <c r="AD34" s="240">
        <f>VLOOKUP($A34,Assumption!$B$14:$S$106,18,FALSE)</f>
        <v>0</v>
      </c>
      <c r="AE34" s="241" t="s">
        <v>1721</v>
      </c>
      <c r="AF34" s="268"/>
      <c r="AG34" s="270"/>
      <c r="AH34" s="267"/>
    </row>
    <row r="35" spans="1:34" s="184" customFormat="1" ht="88.2" customHeight="1" x14ac:dyDescent="0.2">
      <c r="A35" s="267">
        <v>20</v>
      </c>
      <c r="B35" s="188">
        <v>20</v>
      </c>
      <c r="C35" s="237" t="s">
        <v>647</v>
      </c>
      <c r="D35" s="237" t="s">
        <v>343</v>
      </c>
      <c r="E35" s="237" t="s">
        <v>742</v>
      </c>
      <c r="F35" s="237" t="s">
        <v>1604</v>
      </c>
      <c r="G35" s="419" t="s">
        <v>1747</v>
      </c>
      <c r="H35" s="419"/>
      <c r="I35" s="157">
        <v>46022</v>
      </c>
      <c r="J35" s="157"/>
      <c r="K35" s="158">
        <f>VLOOKUP($A35,Assumption!$B$14:$S$106,2,FALSE)</f>
        <v>0</v>
      </c>
      <c r="L35" s="159">
        <f>VLOOKUP($A35,Assumption!$B$14:$S$106,5,FALSE)</f>
        <v>120</v>
      </c>
      <c r="M35" s="157" t="s">
        <v>18</v>
      </c>
      <c r="N35" s="157" t="s">
        <v>287</v>
      </c>
      <c r="O35" s="160" t="s">
        <v>76</v>
      </c>
      <c r="P35" s="160" t="s">
        <v>79</v>
      </c>
      <c r="Q35" s="161" t="str">
        <f>IFERROR(VLOOKUP(O35,Risk.Matrix,MATCH(P35,Data!$P$59:$U$59,0),FALSE),"")</f>
        <v>High</v>
      </c>
      <c r="R35" s="237" t="s">
        <v>1748</v>
      </c>
      <c r="S35" s="158">
        <f>VLOOKUP($A35,Assumption!$B$14:$S$106,7,FALSE)</f>
        <v>0</v>
      </c>
      <c r="T35" s="162">
        <f>VLOOKUP($A35,Assumption!$B$14:$S$106,10,FALSE)</f>
        <v>90</v>
      </c>
      <c r="U35" s="186">
        <f>VLOOKUP($A35,Assumption!$B$14:$S$106,12,FALSE)</f>
        <v>0.05</v>
      </c>
      <c r="V35" s="160" t="s">
        <v>79</v>
      </c>
      <c r="W35" s="160" t="s">
        <v>78</v>
      </c>
      <c r="X35" s="161" t="str">
        <f>IFERROR(VLOOKUP(V35,Risk.Matrix,MATCH(W35,Data!$P$59:$U$59,0),FALSE),"")</f>
        <v>Medium</v>
      </c>
      <c r="Y35" s="158">
        <f>VLOOKUP($A35,Assumption!$B$14:$S$106,13,FALSE)</f>
        <v>0</v>
      </c>
      <c r="Z35" s="160">
        <f>VLOOKUP($A35,Assumption!$B$14:$S$106,16,FALSE)</f>
        <v>0</v>
      </c>
      <c r="AA35" s="237"/>
      <c r="AB35" s="158">
        <f>VLOOKUP($A35,Assumption!$B$14:$S$106,13,FALSE)</f>
        <v>0</v>
      </c>
      <c r="AC35" s="160">
        <f>VLOOKUP($A35,Assumption!$B$14:$S$106,16,FALSE)</f>
        <v>0</v>
      </c>
      <c r="AD35" s="240">
        <f>VLOOKUP($A35,Assumption!$B$14:$S$106,18,FALSE)</f>
        <v>0</v>
      </c>
      <c r="AE35" s="241" t="s">
        <v>1721</v>
      </c>
      <c r="AF35" s="268"/>
      <c r="AG35" s="270"/>
      <c r="AH35" s="267"/>
    </row>
    <row r="36" spans="1:34" s="184" customFormat="1" ht="78.599999999999994" customHeight="1" x14ac:dyDescent="0.2">
      <c r="A36" s="267">
        <v>21</v>
      </c>
      <c r="B36" s="188">
        <v>21</v>
      </c>
      <c r="C36" s="237" t="s">
        <v>647</v>
      </c>
      <c r="D36" s="237" t="s">
        <v>343</v>
      </c>
      <c r="E36" s="237" t="s">
        <v>742</v>
      </c>
      <c r="F36" s="237" t="s">
        <v>1516</v>
      </c>
      <c r="G36" s="419" t="s">
        <v>1754</v>
      </c>
      <c r="H36" s="419"/>
      <c r="I36" s="157">
        <v>46022</v>
      </c>
      <c r="J36" s="157"/>
      <c r="K36" s="158"/>
      <c r="L36" s="159"/>
      <c r="M36" s="157" t="s">
        <v>18</v>
      </c>
      <c r="N36" s="157" t="s">
        <v>287</v>
      </c>
      <c r="O36" s="160" t="s">
        <v>119</v>
      </c>
      <c r="P36" s="160" t="s">
        <v>79</v>
      </c>
      <c r="Q36" s="161" t="str">
        <f>IFERROR(VLOOKUP(O36,Risk.Matrix,MATCH(P36,Data!$P$59:$U$59,0),FALSE),"")</f>
        <v>High</v>
      </c>
      <c r="R36" s="237" t="s">
        <v>1729</v>
      </c>
      <c r="S36" s="158">
        <f>VLOOKUP($A36,Assumption!$B$14:$S$106,7,FALSE)</f>
        <v>0</v>
      </c>
      <c r="T36" s="162"/>
      <c r="U36" s="186"/>
      <c r="V36" s="160" t="s">
        <v>119</v>
      </c>
      <c r="W36" s="160" t="s">
        <v>79</v>
      </c>
      <c r="X36" s="161" t="str">
        <f>IFERROR(VLOOKUP(V36,Risk.Matrix,MATCH(W36,Data!$P$59:$U$59,0),FALSE),"")</f>
        <v>High</v>
      </c>
      <c r="Y36" s="158">
        <f>VLOOKUP($A36,Assumption!$B$14:$S$106,13,FALSE)</f>
        <v>0</v>
      </c>
      <c r="Z36" s="160">
        <f>VLOOKUP($A36,Assumption!$B$14:$S$106,16,FALSE)</f>
        <v>60</v>
      </c>
      <c r="AA36" s="237"/>
      <c r="AB36" s="158">
        <f>VLOOKUP($A36,Assumption!$B$14:$S$106,13,FALSE)</f>
        <v>0</v>
      </c>
      <c r="AC36" s="160">
        <f>VLOOKUP($A36,Assumption!$B$14:$S$106,16,FALSE)</f>
        <v>60</v>
      </c>
      <c r="AD36" s="240">
        <f>VLOOKUP($A36,Assumption!$B$14:$S$106,18,FALSE)</f>
        <v>1</v>
      </c>
      <c r="AE36" s="241" t="s">
        <v>1721</v>
      </c>
      <c r="AF36" s="268"/>
      <c r="AG36" s="270"/>
      <c r="AH36" s="267"/>
    </row>
    <row r="37" spans="1:34" s="184" customFormat="1" ht="93.6" customHeight="1" x14ac:dyDescent="0.2">
      <c r="A37" s="267">
        <v>22</v>
      </c>
      <c r="B37" s="188">
        <v>22</v>
      </c>
      <c r="C37" s="237" t="s">
        <v>647</v>
      </c>
      <c r="D37" s="237" t="s">
        <v>343</v>
      </c>
      <c r="E37" s="237" t="s">
        <v>742</v>
      </c>
      <c r="F37" s="237" t="s">
        <v>1604</v>
      </c>
      <c r="G37" s="419" t="s">
        <v>1755</v>
      </c>
      <c r="H37" s="419"/>
      <c r="I37" s="157">
        <v>46022</v>
      </c>
      <c r="J37" s="157"/>
      <c r="K37" s="158"/>
      <c r="L37" s="159"/>
      <c r="M37" s="157" t="s">
        <v>18</v>
      </c>
      <c r="N37" s="157" t="s">
        <v>287</v>
      </c>
      <c r="O37" s="160" t="s">
        <v>78</v>
      </c>
      <c r="P37" s="160" t="s">
        <v>79</v>
      </c>
      <c r="Q37" s="161" t="str">
        <f>IFERROR(VLOOKUP(O37,Risk.Matrix,MATCH(P37,Data!$P$59:$U$59,0),FALSE),"")</f>
        <v>Low</v>
      </c>
      <c r="R37" s="237" t="s">
        <v>1729</v>
      </c>
      <c r="S37" s="158">
        <f>VLOOKUP($A37,Assumption!$B$14:$S$106,7,FALSE)</f>
        <v>0</v>
      </c>
      <c r="T37" s="162"/>
      <c r="U37" s="186"/>
      <c r="V37" s="160" t="s">
        <v>78</v>
      </c>
      <c r="W37" s="160" t="s">
        <v>79</v>
      </c>
      <c r="X37" s="161" t="str">
        <f>IFERROR(VLOOKUP(V37,Risk.Matrix,MATCH(W37,Data!$P$59:$U$59,0),FALSE),"")</f>
        <v>Low</v>
      </c>
      <c r="Y37" s="158">
        <f>VLOOKUP($A37,Assumption!$B$14:$S$106,13,FALSE)</f>
        <v>0</v>
      </c>
      <c r="Z37" s="160">
        <f>VLOOKUP($A37,Assumption!$B$14:$S$106,16,FALSE)</f>
        <v>60</v>
      </c>
      <c r="AA37" s="237" t="s">
        <v>1756</v>
      </c>
      <c r="AB37" s="158">
        <f>VLOOKUP($A37,Assumption!$B$14:$S$106,13,FALSE)</f>
        <v>0</v>
      </c>
      <c r="AC37" s="160">
        <f>VLOOKUP($A37,Assumption!$B$14:$S$106,16,FALSE)</f>
        <v>60</v>
      </c>
      <c r="AD37" s="240">
        <f>VLOOKUP($A37,Assumption!$B$14:$S$106,18,FALSE)</f>
        <v>1</v>
      </c>
      <c r="AE37" s="241" t="s">
        <v>1721</v>
      </c>
      <c r="AF37" s="268"/>
      <c r="AG37" s="270"/>
      <c r="AH37" s="267"/>
    </row>
    <row r="38" spans="1:34" s="184" customFormat="1" ht="102" customHeight="1" x14ac:dyDescent="0.2">
      <c r="A38" s="267">
        <v>23</v>
      </c>
      <c r="B38" s="188">
        <v>23</v>
      </c>
      <c r="C38" s="237" t="s">
        <v>647</v>
      </c>
      <c r="D38" s="237" t="s">
        <v>343</v>
      </c>
      <c r="E38" s="237" t="s">
        <v>742</v>
      </c>
      <c r="F38" s="237" t="s">
        <v>1604</v>
      </c>
      <c r="G38" s="419" t="s">
        <v>1762</v>
      </c>
      <c r="H38" s="419"/>
      <c r="I38" s="157">
        <v>46022</v>
      </c>
      <c r="J38" s="157"/>
      <c r="K38" s="158"/>
      <c r="L38" s="159"/>
      <c r="M38" s="157" t="s">
        <v>18</v>
      </c>
      <c r="N38" s="157" t="s">
        <v>287</v>
      </c>
      <c r="O38" s="160" t="s">
        <v>78</v>
      </c>
      <c r="P38" s="160" t="s">
        <v>79</v>
      </c>
      <c r="Q38" s="161" t="str">
        <f>IFERROR(VLOOKUP(O38,Risk.Matrix,MATCH(P38,Data!$P$59:$U$59,0),FALSE),"")</f>
        <v>Low</v>
      </c>
      <c r="R38" s="237" t="s">
        <v>1729</v>
      </c>
      <c r="S38" s="158">
        <f>VLOOKUP($A38,Assumption!$B$14:$S$106,7,FALSE)</f>
        <v>0</v>
      </c>
      <c r="T38" s="162"/>
      <c r="U38" s="186"/>
      <c r="V38" s="160" t="s">
        <v>78</v>
      </c>
      <c r="W38" s="160" t="s">
        <v>79</v>
      </c>
      <c r="X38" s="161" t="str">
        <f>IFERROR(VLOOKUP(V38,Risk.Matrix,MATCH(W38,Data!$P$59:$U$59,0),FALSE),"")</f>
        <v>Low</v>
      </c>
      <c r="Y38" s="158">
        <f>VLOOKUP($A38,Assumption!$B$14:$S$106,13,FALSE)</f>
        <v>0</v>
      </c>
      <c r="Z38" s="160">
        <v>60</v>
      </c>
      <c r="AA38" s="237" t="s">
        <v>2095</v>
      </c>
      <c r="AB38" s="158">
        <f>VLOOKUP($A38,Assumption!$B$14:$S$106,13,FALSE)</f>
        <v>0</v>
      </c>
      <c r="AC38" s="160">
        <v>60</v>
      </c>
      <c r="AD38" s="240">
        <f>VLOOKUP($A38,Assumption!$B$14:$S$106,18,FALSE)</f>
        <v>0</v>
      </c>
      <c r="AE38" s="241" t="s">
        <v>1721</v>
      </c>
      <c r="AF38" s="268"/>
      <c r="AG38" s="270"/>
      <c r="AH38" s="267"/>
    </row>
    <row r="39" spans="1:34" s="184" customFormat="1" ht="105.6" customHeight="1" x14ac:dyDescent="0.2">
      <c r="A39" s="267">
        <v>24</v>
      </c>
      <c r="B39" s="188">
        <v>24</v>
      </c>
      <c r="C39" s="237" t="s">
        <v>646</v>
      </c>
      <c r="D39" s="237" t="s">
        <v>347</v>
      </c>
      <c r="E39" s="237" t="s">
        <v>739</v>
      </c>
      <c r="F39" s="237" t="s">
        <v>1487</v>
      </c>
      <c r="G39" s="419" t="s">
        <v>1751</v>
      </c>
      <c r="H39" s="419"/>
      <c r="I39" s="157">
        <v>45572</v>
      </c>
      <c r="J39" s="157"/>
      <c r="K39" s="158">
        <f>VLOOKUP($A39,Assumption!$B$14:$S$106,2,FALSE)</f>
        <v>0</v>
      </c>
      <c r="L39" s="159">
        <f>VLOOKUP($A39,Assumption!$B$14:$S$106,5,FALSE)</f>
        <v>180</v>
      </c>
      <c r="M39" s="157" t="s">
        <v>18</v>
      </c>
      <c r="N39" s="157" t="s">
        <v>287</v>
      </c>
      <c r="O39" s="160" t="s">
        <v>76</v>
      </c>
      <c r="P39" s="160" t="s">
        <v>79</v>
      </c>
      <c r="Q39" s="161" t="str">
        <f>IFERROR(VLOOKUP(O39,Risk.Matrix,MATCH(P39,Data!$P$59:$U$59,0),FALSE),"")</f>
        <v>High</v>
      </c>
      <c r="R39" s="237" t="s">
        <v>1752</v>
      </c>
      <c r="S39" s="158">
        <f>VLOOKUP($A39,Assumption!$B$14:$S$106,7,FALSE)</f>
        <v>0</v>
      </c>
      <c r="T39" s="162">
        <f>VLOOKUP($A39,Assumption!$B$14:$S$106,10,FALSE)</f>
        <v>0</v>
      </c>
      <c r="U39" s="186">
        <f>VLOOKUP($A39,Assumption!$B$14:$S$106,12,FALSE)</f>
        <v>0</v>
      </c>
      <c r="V39" s="160" t="s">
        <v>79</v>
      </c>
      <c r="W39" s="160" t="s">
        <v>79</v>
      </c>
      <c r="X39" s="161" t="str">
        <f>IFERROR(VLOOKUP(V39,Risk.Matrix,MATCH(W39,Data!$P$59:$U$59,0),FALSE),"")</f>
        <v>Medium</v>
      </c>
      <c r="Y39" s="158">
        <f>VLOOKUP($A39,Assumption!$B$14:$S$106,13,FALSE)</f>
        <v>0</v>
      </c>
      <c r="Z39" s="160">
        <f>VLOOKUP($A39,Assumption!$B$14:$S$106,16,FALSE)</f>
        <v>60</v>
      </c>
      <c r="AA39" s="237" t="s">
        <v>1753</v>
      </c>
      <c r="AB39" s="158">
        <f>VLOOKUP($A39,Assumption!$B$14:$S$106,13,FALSE)</f>
        <v>0</v>
      </c>
      <c r="AC39" s="160">
        <f>VLOOKUP($A39,Assumption!$B$14:$S$106,16,FALSE)</f>
        <v>60</v>
      </c>
      <c r="AD39" s="240">
        <f>VLOOKUP($A39,Assumption!$B$14:$S$106,18,FALSE)</f>
        <v>1</v>
      </c>
      <c r="AE39" s="241" t="s">
        <v>1721</v>
      </c>
      <c r="AF39" s="268"/>
      <c r="AG39" s="270"/>
      <c r="AH39" s="267"/>
    </row>
    <row r="40" spans="1:34" s="184" customFormat="1" ht="115.2" customHeight="1" x14ac:dyDescent="0.2">
      <c r="A40" s="267">
        <v>25</v>
      </c>
      <c r="B40" s="188">
        <v>25</v>
      </c>
      <c r="C40" s="237" t="s">
        <v>647</v>
      </c>
      <c r="D40" s="237" t="s">
        <v>345</v>
      </c>
      <c r="E40" s="237" t="s">
        <v>734</v>
      </c>
      <c r="F40" s="237" t="s">
        <v>1341</v>
      </c>
      <c r="G40" s="419" t="s">
        <v>1763</v>
      </c>
      <c r="H40" s="419"/>
      <c r="I40" s="157">
        <v>45572</v>
      </c>
      <c r="J40" s="157"/>
      <c r="K40" s="158"/>
      <c r="L40" s="159">
        <f>6*30</f>
        <v>180</v>
      </c>
      <c r="M40" s="157" t="s">
        <v>18</v>
      </c>
      <c r="N40" s="157" t="s">
        <v>115</v>
      </c>
      <c r="O40" s="160" t="s">
        <v>79</v>
      </c>
      <c r="P40" s="160" t="s">
        <v>78</v>
      </c>
      <c r="Q40" s="161" t="str">
        <f>IFERROR(VLOOKUP(O40,Risk.Matrix,MATCH(P40,Data!$P$59:$U$59,0),FALSE),"")</f>
        <v>Medium</v>
      </c>
      <c r="R40" s="237" t="s">
        <v>1729</v>
      </c>
      <c r="S40" s="158">
        <f>VLOOKUP($A40,Assumption!$B$14:$S$106,7,FALSE)</f>
        <v>0</v>
      </c>
      <c r="T40" s="162"/>
      <c r="U40" s="186"/>
      <c r="V40" s="160" t="s">
        <v>79</v>
      </c>
      <c r="W40" s="160" t="s">
        <v>78</v>
      </c>
      <c r="X40" s="161" t="str">
        <f>IFERROR(VLOOKUP(V40,Risk.Matrix,MATCH(W40,Data!$P$59:$U$59,0),FALSE),"")</f>
        <v>Medium</v>
      </c>
      <c r="Y40" s="158">
        <f>VLOOKUP($A40,Assumption!$B$14:$S$106,13,FALSE)</f>
        <v>0</v>
      </c>
      <c r="Z40" s="160">
        <f>6*30</f>
        <v>180</v>
      </c>
      <c r="AA40" s="237" t="s">
        <v>2096</v>
      </c>
      <c r="AB40" s="158">
        <f>VLOOKUP($A40,Assumption!$B$14:$S$106,13,FALSE)</f>
        <v>0</v>
      </c>
      <c r="AC40" s="160">
        <f>Z40</f>
        <v>180</v>
      </c>
      <c r="AD40" s="240">
        <v>1</v>
      </c>
      <c r="AE40" s="241" t="s">
        <v>1721</v>
      </c>
      <c r="AF40" s="268"/>
      <c r="AG40" s="270"/>
      <c r="AH40" s="267"/>
    </row>
    <row r="41" spans="1:34" s="184" customFormat="1" ht="89.4" customHeight="1" x14ac:dyDescent="0.2">
      <c r="A41" s="267">
        <v>26</v>
      </c>
      <c r="B41" s="188">
        <v>26</v>
      </c>
      <c r="C41" s="237" t="s">
        <v>646</v>
      </c>
      <c r="D41" s="237" t="s">
        <v>346</v>
      </c>
      <c r="E41" s="237" t="s">
        <v>726</v>
      </c>
      <c r="F41" s="237" t="s">
        <v>1620</v>
      </c>
      <c r="G41" s="419" t="s">
        <v>1764</v>
      </c>
      <c r="H41" s="419"/>
      <c r="I41" s="157">
        <v>45572</v>
      </c>
      <c r="J41" s="157"/>
      <c r="K41" s="158"/>
      <c r="L41" s="159"/>
      <c r="M41" s="157" t="s">
        <v>18</v>
      </c>
      <c r="N41" s="157" t="s">
        <v>231</v>
      </c>
      <c r="O41" s="160" t="s">
        <v>79</v>
      </c>
      <c r="P41" s="160" t="s">
        <v>78</v>
      </c>
      <c r="Q41" s="161" t="str">
        <f>IFERROR(VLOOKUP(O41,Risk.Matrix,MATCH(P41,Data!$P$59:$U$59,0),FALSE),"")</f>
        <v>Medium</v>
      </c>
      <c r="R41" s="237" t="s">
        <v>2097</v>
      </c>
      <c r="S41" s="158">
        <f>VLOOKUP($A41,Assumption!$B$14:$S$106,7,FALSE)</f>
        <v>0</v>
      </c>
      <c r="T41" s="162"/>
      <c r="U41" s="186"/>
      <c r="V41" s="160" t="s">
        <v>78</v>
      </c>
      <c r="W41" s="160" t="s">
        <v>78</v>
      </c>
      <c r="X41" s="161" t="str">
        <f>IFERROR(VLOOKUP(V41,Risk.Matrix,MATCH(W41,Data!$P$59:$U$59,0),FALSE),"")</f>
        <v>Low</v>
      </c>
      <c r="Y41" s="158">
        <f>VLOOKUP($A41,Assumption!$B$14:$S$106,13,FALSE)</f>
        <v>0</v>
      </c>
      <c r="Z41" s="160">
        <f>VLOOKUP($A41,Assumption!$B$14:$S$106,16,FALSE)</f>
        <v>0</v>
      </c>
      <c r="AA41" s="237"/>
      <c r="AB41" s="158">
        <f>VLOOKUP($A41,Assumption!$B$14:$S$106,13,FALSE)</f>
        <v>0</v>
      </c>
      <c r="AC41" s="160">
        <f>VLOOKUP($A41,Assumption!$B$14:$S$106,16,FALSE)</f>
        <v>0</v>
      </c>
      <c r="AD41" s="240">
        <f>VLOOKUP($A41,Assumption!$B$14:$S$106,18,FALSE)</f>
        <v>0</v>
      </c>
      <c r="AE41" s="241" t="s">
        <v>1721</v>
      </c>
      <c r="AF41" s="268"/>
      <c r="AG41" s="270"/>
      <c r="AH41" s="267"/>
    </row>
    <row r="42" spans="1:34" s="184" customFormat="1" ht="69.900000000000006" customHeight="1" x14ac:dyDescent="0.2">
      <c r="A42" s="267">
        <v>27</v>
      </c>
      <c r="B42" s="188">
        <v>27</v>
      </c>
      <c r="C42" s="267" t="s">
        <v>646</v>
      </c>
      <c r="D42" s="267" t="s">
        <v>346</v>
      </c>
      <c r="E42" s="267" t="s">
        <v>726</v>
      </c>
      <c r="F42" s="267" t="s">
        <v>1640</v>
      </c>
      <c r="G42" s="354" t="s">
        <v>2098</v>
      </c>
      <c r="H42" s="267"/>
      <c r="I42" s="157">
        <v>45572</v>
      </c>
      <c r="J42" s="157"/>
      <c r="K42" s="158"/>
      <c r="L42" s="159"/>
      <c r="M42" s="157" t="s">
        <v>18</v>
      </c>
      <c r="N42" s="157" t="s">
        <v>231</v>
      </c>
      <c r="O42" s="160" t="s">
        <v>76</v>
      </c>
      <c r="P42" s="160" t="s">
        <v>78</v>
      </c>
      <c r="Q42" s="161" t="str">
        <f>IFERROR(VLOOKUP(O42,Risk.Matrix,MATCH(P42,Data!$P$59:$U$59,0),FALSE),"")</f>
        <v>Medium</v>
      </c>
      <c r="R42" s="237" t="s">
        <v>2099</v>
      </c>
      <c r="S42" s="158">
        <f>VLOOKUP($A42,Assumption!$B$14:$S$106,7,FALSE)</f>
        <v>0</v>
      </c>
      <c r="T42" s="162"/>
      <c r="U42" s="186"/>
      <c r="V42" s="160" t="s">
        <v>78</v>
      </c>
      <c r="W42" s="160" t="s">
        <v>78</v>
      </c>
      <c r="X42" s="161" t="str">
        <f>IFERROR(VLOOKUP(V42,Risk.Matrix,MATCH(W42,Data!$P$59:$U$59,0),FALSE),"")</f>
        <v>Low</v>
      </c>
      <c r="Y42" s="158">
        <f>VLOOKUP($A42,Assumption!$B$14:$S$106,13,FALSE)</f>
        <v>0</v>
      </c>
      <c r="Z42" s="160">
        <f>VLOOKUP($A42,Assumption!$B$14:$S$106,16,FALSE)</f>
        <v>0</v>
      </c>
      <c r="AA42" s="237"/>
      <c r="AB42" s="158">
        <f>VLOOKUP($A42,Assumption!$B$14:$S$106,13,FALSE)</f>
        <v>0</v>
      </c>
      <c r="AC42" s="160">
        <f>VLOOKUP($A42,Assumption!$B$14:$S$106,16,FALSE)</f>
        <v>0</v>
      </c>
      <c r="AD42" s="240">
        <f>VLOOKUP($A42,Assumption!$B$14:$S$106,18,FALSE)</f>
        <v>0</v>
      </c>
      <c r="AE42" s="241" t="s">
        <v>1721</v>
      </c>
      <c r="AF42" s="268"/>
      <c r="AG42" s="270"/>
      <c r="AH42" s="267"/>
    </row>
    <row r="43" spans="1:34" s="184" customFormat="1" ht="84" customHeight="1" x14ac:dyDescent="0.2">
      <c r="A43" s="267">
        <v>28</v>
      </c>
      <c r="B43" s="188">
        <v>28</v>
      </c>
      <c r="C43" s="237" t="s">
        <v>646</v>
      </c>
      <c r="D43" s="237" t="s">
        <v>654</v>
      </c>
      <c r="E43" s="237" t="s">
        <v>679</v>
      </c>
      <c r="F43" s="237" t="s">
        <v>1047</v>
      </c>
      <c r="G43" s="419" t="s">
        <v>1765</v>
      </c>
      <c r="H43" s="419"/>
      <c r="I43" s="157">
        <v>45572</v>
      </c>
      <c r="J43" s="157"/>
      <c r="K43" s="158"/>
      <c r="L43" s="159"/>
      <c r="M43" s="157" t="s">
        <v>18</v>
      </c>
      <c r="N43" s="157" t="s">
        <v>231</v>
      </c>
      <c r="O43" s="160" t="s">
        <v>79</v>
      </c>
      <c r="P43" s="160" t="s">
        <v>78</v>
      </c>
      <c r="Q43" s="161" t="str">
        <f>IFERROR(VLOOKUP(O43,Risk.Matrix,MATCH(P43,Data!$P$59:$U$59,0),FALSE),"")</f>
        <v>Medium</v>
      </c>
      <c r="R43" s="237" t="s">
        <v>2100</v>
      </c>
      <c r="S43" s="158">
        <f>VLOOKUP($A43,Assumption!$B$14:$S$106,7,FALSE)</f>
        <v>0</v>
      </c>
      <c r="T43" s="162"/>
      <c r="U43" s="186"/>
      <c r="V43" s="160" t="s">
        <v>78</v>
      </c>
      <c r="W43" s="160" t="s">
        <v>78</v>
      </c>
      <c r="X43" s="161" t="str">
        <f>IFERROR(VLOOKUP(V43,Risk.Matrix,MATCH(W43,Data!$P$59:$U$59,0),FALSE),"")</f>
        <v>Low</v>
      </c>
      <c r="Y43" s="158">
        <f>VLOOKUP($A43,Assumption!$B$14:$S$106,13,FALSE)</f>
        <v>0</v>
      </c>
      <c r="Z43" s="160">
        <f>VLOOKUP($A43,Assumption!$B$14:$S$106,16,FALSE)</f>
        <v>0</v>
      </c>
      <c r="AA43" s="237"/>
      <c r="AB43" s="158">
        <f>VLOOKUP($A43,Assumption!$B$14:$S$106,13,FALSE)</f>
        <v>0</v>
      </c>
      <c r="AC43" s="160">
        <f>VLOOKUP($A43,Assumption!$B$14:$S$106,16,FALSE)</f>
        <v>0</v>
      </c>
      <c r="AD43" s="240">
        <f>VLOOKUP($A43,Assumption!$B$14:$S$106,18,FALSE)</f>
        <v>0</v>
      </c>
      <c r="AE43" s="241" t="s">
        <v>1721</v>
      </c>
      <c r="AF43" s="268"/>
      <c r="AG43" s="270"/>
      <c r="AH43" s="267"/>
    </row>
    <row r="44" spans="1:34" s="184" customFormat="1" ht="90.75" customHeight="1" x14ac:dyDescent="0.2">
      <c r="A44" s="267">
        <v>29</v>
      </c>
      <c r="B44" s="188">
        <v>29</v>
      </c>
      <c r="C44" s="237" t="s">
        <v>646</v>
      </c>
      <c r="D44" s="237" t="s">
        <v>344</v>
      </c>
      <c r="E44" s="237" t="s">
        <v>688</v>
      </c>
      <c r="F44" s="237" t="s">
        <v>1302</v>
      </c>
      <c r="G44" s="419" t="s">
        <v>1766</v>
      </c>
      <c r="H44" s="419"/>
      <c r="I44" s="157">
        <v>45572</v>
      </c>
      <c r="J44" s="157"/>
      <c r="K44" s="158"/>
      <c r="L44" s="159"/>
      <c r="M44" s="157" t="s">
        <v>18</v>
      </c>
      <c r="N44" s="157" t="s">
        <v>231</v>
      </c>
      <c r="O44" s="160" t="s">
        <v>79</v>
      </c>
      <c r="P44" s="160" t="s">
        <v>78</v>
      </c>
      <c r="Q44" s="161" t="str">
        <f>IFERROR(VLOOKUP(O44,Risk.Matrix,MATCH(P44,Data!$P$59:$U$59,0),FALSE),"")</f>
        <v>Medium</v>
      </c>
      <c r="R44" s="237" t="s">
        <v>2101</v>
      </c>
      <c r="S44" s="158">
        <f>VLOOKUP($A44,Assumption!$B$14:$S$106,7,FALSE)</f>
        <v>0</v>
      </c>
      <c r="T44" s="162"/>
      <c r="U44" s="186"/>
      <c r="V44" s="160" t="s">
        <v>78</v>
      </c>
      <c r="W44" s="160" t="s">
        <v>78</v>
      </c>
      <c r="X44" s="161" t="str">
        <f>IFERROR(VLOOKUP(V44,Risk.Matrix,MATCH(W44,Data!$P$59:$U$59,0),FALSE),"")</f>
        <v>Low</v>
      </c>
      <c r="Y44" s="158">
        <f>VLOOKUP($A44,Assumption!$B$14:$S$106,13,FALSE)</f>
        <v>0</v>
      </c>
      <c r="Z44" s="160">
        <f>VLOOKUP($A44,Assumption!$B$14:$S$106,16,FALSE)</f>
        <v>0</v>
      </c>
      <c r="AA44" s="237"/>
      <c r="AB44" s="158">
        <f>VLOOKUP($A44,Assumption!$B$14:$S$106,13,FALSE)</f>
        <v>0</v>
      </c>
      <c r="AC44" s="160">
        <f>VLOOKUP($A44,Assumption!$B$14:$S$106,16,FALSE)</f>
        <v>0</v>
      </c>
      <c r="AD44" s="240">
        <f>VLOOKUP($A44,Assumption!$B$14:$S$106,18,FALSE)</f>
        <v>0</v>
      </c>
      <c r="AE44" s="241" t="s">
        <v>1721</v>
      </c>
      <c r="AF44" s="268"/>
      <c r="AG44" s="270"/>
      <c r="AH44" s="267"/>
    </row>
    <row r="45" spans="1:34" s="184" customFormat="1" ht="99.75" customHeight="1" x14ac:dyDescent="0.2">
      <c r="A45" s="267">
        <v>30</v>
      </c>
      <c r="B45" s="188">
        <v>30</v>
      </c>
      <c r="C45" s="237" t="s">
        <v>646</v>
      </c>
      <c r="D45" s="237" t="s">
        <v>654</v>
      </c>
      <c r="E45" s="237" t="s">
        <v>691</v>
      </c>
      <c r="F45" s="237" t="s">
        <v>1376</v>
      </c>
      <c r="G45" s="419" t="s">
        <v>1767</v>
      </c>
      <c r="H45" s="419"/>
      <c r="I45" s="157">
        <v>45572</v>
      </c>
      <c r="J45" s="157"/>
      <c r="K45" s="158"/>
      <c r="L45" s="159"/>
      <c r="M45" s="157" t="s">
        <v>18</v>
      </c>
      <c r="N45" s="157" t="s">
        <v>231</v>
      </c>
      <c r="O45" s="160" t="s">
        <v>79</v>
      </c>
      <c r="P45" s="160" t="s">
        <v>78</v>
      </c>
      <c r="Q45" s="161" t="str">
        <f>IFERROR(VLOOKUP(O45,Risk.Matrix,MATCH(P45,Data!$P$59:$U$59,0),FALSE),"")</f>
        <v>Medium</v>
      </c>
      <c r="R45" s="548" t="s">
        <v>2102</v>
      </c>
      <c r="S45" s="158">
        <f>VLOOKUP($A45,Assumption!$B$14:$S$106,7,FALSE)</f>
        <v>0</v>
      </c>
      <c r="T45" s="162"/>
      <c r="U45" s="186"/>
      <c r="V45" s="160" t="s">
        <v>78</v>
      </c>
      <c r="W45" s="160" t="s">
        <v>78</v>
      </c>
      <c r="X45" s="161" t="str">
        <f>IFERROR(VLOOKUP(V45,Risk.Matrix,MATCH(W45,Data!$P$59:$U$59,0),FALSE),"")</f>
        <v>Low</v>
      </c>
      <c r="Y45" s="158">
        <f>VLOOKUP($A45,Assumption!$B$14:$S$106,13,FALSE)</f>
        <v>0</v>
      </c>
      <c r="Z45" s="160">
        <f>VLOOKUP($A45,Assumption!$B$14:$S$106,16,FALSE)</f>
        <v>0</v>
      </c>
      <c r="AA45" s="237"/>
      <c r="AB45" s="158">
        <f>VLOOKUP($A45,Assumption!$B$14:$S$106,13,FALSE)</f>
        <v>0</v>
      </c>
      <c r="AC45" s="160">
        <f>VLOOKUP($A45,Assumption!$B$14:$S$106,16,FALSE)</f>
        <v>0</v>
      </c>
      <c r="AD45" s="240">
        <f>VLOOKUP($A45,Assumption!$B$14:$S$106,18,FALSE)</f>
        <v>0</v>
      </c>
      <c r="AE45" s="241" t="s">
        <v>1721</v>
      </c>
      <c r="AF45" s="268"/>
      <c r="AG45" s="270"/>
      <c r="AH45" s="267"/>
    </row>
    <row r="46" spans="1:34" s="184" customFormat="1" ht="99" customHeight="1" x14ac:dyDescent="0.2">
      <c r="A46" s="267">
        <v>31</v>
      </c>
      <c r="B46" s="188">
        <v>31</v>
      </c>
      <c r="C46" s="237" t="s">
        <v>646</v>
      </c>
      <c r="D46" s="237" t="s">
        <v>654</v>
      </c>
      <c r="E46" s="237" t="s">
        <v>691</v>
      </c>
      <c r="F46" s="237" t="s">
        <v>1416</v>
      </c>
      <c r="G46" s="419" t="s">
        <v>1768</v>
      </c>
      <c r="H46" s="419"/>
      <c r="I46" s="157">
        <v>45572</v>
      </c>
      <c r="J46" s="157"/>
      <c r="K46" s="158"/>
      <c r="L46" s="159"/>
      <c r="M46" s="157" t="s">
        <v>18</v>
      </c>
      <c r="N46" s="157" t="s">
        <v>231</v>
      </c>
      <c r="O46" s="160" t="s">
        <v>79</v>
      </c>
      <c r="P46" s="160" t="s">
        <v>78</v>
      </c>
      <c r="Q46" s="161" t="str">
        <f>IFERROR(VLOOKUP(O46,Risk.Matrix,MATCH(P46,Data!$P$59:$U$59,0),FALSE),"")</f>
        <v>Medium</v>
      </c>
      <c r="R46" s="267" t="s">
        <v>2103</v>
      </c>
      <c r="S46" s="158">
        <f>VLOOKUP($A46,Assumption!$B$14:$S$106,7,FALSE)</f>
        <v>0</v>
      </c>
      <c r="T46" s="162"/>
      <c r="U46" s="186"/>
      <c r="V46" s="160" t="s">
        <v>78</v>
      </c>
      <c r="W46" s="160" t="s">
        <v>78</v>
      </c>
      <c r="X46" s="161" t="str">
        <f>IFERROR(VLOOKUP(V46,Risk.Matrix,MATCH(W46,Data!$P$59:$U$59,0),FALSE),"")</f>
        <v>Low</v>
      </c>
      <c r="Y46" s="158">
        <f>VLOOKUP($A46,Assumption!$B$14:$S$106,13,FALSE)</f>
        <v>0</v>
      </c>
      <c r="Z46" s="160">
        <f>VLOOKUP($A46,Assumption!$B$14:$S$106,16,FALSE)</f>
        <v>0</v>
      </c>
      <c r="AA46" s="237"/>
      <c r="AB46" s="158">
        <f>VLOOKUP($A46,Assumption!$B$14:$S$106,13,FALSE)</f>
        <v>0</v>
      </c>
      <c r="AC46" s="160">
        <f>VLOOKUP($A46,Assumption!$B$14:$S$106,16,FALSE)</f>
        <v>0</v>
      </c>
      <c r="AD46" s="240">
        <f>VLOOKUP($A46,Assumption!$B$14:$S$106,18,FALSE)</f>
        <v>0</v>
      </c>
      <c r="AE46" s="241" t="s">
        <v>1721</v>
      </c>
      <c r="AF46" s="268"/>
      <c r="AG46" s="270"/>
      <c r="AH46" s="267"/>
    </row>
    <row r="47" spans="1:34" s="184" customFormat="1" ht="84.6" customHeight="1" x14ac:dyDescent="0.2">
      <c r="A47" s="267"/>
      <c r="B47" s="188">
        <v>32</v>
      </c>
      <c r="C47" s="237"/>
      <c r="D47" s="237"/>
      <c r="E47" s="237"/>
      <c r="F47" s="237"/>
      <c r="G47" s="419"/>
      <c r="H47" s="419"/>
      <c r="I47" s="157"/>
      <c r="J47" s="157"/>
      <c r="K47" s="158"/>
      <c r="L47" s="159"/>
      <c r="M47" s="157"/>
      <c r="N47" s="157"/>
      <c r="O47" s="160"/>
      <c r="P47" s="160"/>
      <c r="Q47" s="161" t="str">
        <f>IFERROR(VLOOKUP(O47,Risk.Matrix,MATCH(P47,Data!$P$59:$U$59,0),FALSE),"")</f>
        <v/>
      </c>
      <c r="R47" s="237"/>
      <c r="S47" s="158"/>
      <c r="T47" s="162"/>
      <c r="U47" s="186"/>
      <c r="V47" s="160"/>
      <c r="W47" s="160"/>
      <c r="X47" s="161" t="str">
        <f>IFERROR(VLOOKUP(V47,Risk.Matrix,MATCH(W47,Data!$P$59:$U$59,0),FALSE),"")</f>
        <v/>
      </c>
      <c r="Y47" s="158"/>
      <c r="Z47" s="160"/>
      <c r="AA47" s="237"/>
      <c r="AB47" s="158"/>
      <c r="AC47" s="160"/>
      <c r="AD47" s="240"/>
      <c r="AE47" s="241"/>
      <c r="AF47" s="268"/>
      <c r="AG47" s="270"/>
      <c r="AH47" s="267"/>
    </row>
    <row r="48" spans="1:34" s="184" customFormat="1" ht="69.900000000000006" customHeight="1" x14ac:dyDescent="0.2">
      <c r="A48" s="267"/>
      <c r="B48" s="188">
        <v>33</v>
      </c>
      <c r="C48" s="237"/>
      <c r="D48" s="237"/>
      <c r="E48" s="237"/>
      <c r="F48" s="237"/>
      <c r="G48" s="419"/>
      <c r="H48" s="419"/>
      <c r="I48" s="157"/>
      <c r="J48" s="157"/>
      <c r="K48" s="158"/>
      <c r="L48" s="159"/>
      <c r="M48" s="157"/>
      <c r="N48" s="157"/>
      <c r="O48" s="160"/>
      <c r="P48" s="160"/>
      <c r="Q48" s="161" t="str">
        <f>IFERROR(VLOOKUP(O48,Risk.Matrix,MATCH(P48,Data!$P$59:$U$59,0),FALSE),"")</f>
        <v/>
      </c>
      <c r="R48" s="237"/>
      <c r="S48" s="158"/>
      <c r="T48" s="162"/>
      <c r="U48" s="186"/>
      <c r="V48" s="160"/>
      <c r="W48" s="160"/>
      <c r="X48" s="161" t="str">
        <f>IFERROR(VLOOKUP(V48,Risk.Matrix,MATCH(W48,Data!$P$59:$U$59,0),FALSE),"")</f>
        <v/>
      </c>
      <c r="Y48" s="158"/>
      <c r="Z48" s="160"/>
      <c r="AA48" s="237"/>
      <c r="AB48" s="158"/>
      <c r="AC48" s="160"/>
      <c r="AD48" s="240"/>
      <c r="AE48" s="241"/>
      <c r="AF48" s="268"/>
      <c r="AG48" s="270"/>
      <c r="AH48" s="267"/>
    </row>
    <row r="49" spans="1:34" s="184" customFormat="1" ht="69.900000000000006" customHeight="1" x14ac:dyDescent="0.2">
      <c r="A49" s="267"/>
      <c r="B49" s="188">
        <v>34</v>
      </c>
      <c r="C49" s="237"/>
      <c r="D49" s="237"/>
      <c r="E49" s="237"/>
      <c r="F49" s="237"/>
      <c r="G49" s="419"/>
      <c r="H49" s="419"/>
      <c r="I49" s="157"/>
      <c r="J49" s="157"/>
      <c r="K49" s="158"/>
      <c r="L49" s="159"/>
      <c r="M49" s="157"/>
      <c r="N49" s="157"/>
      <c r="O49" s="160"/>
      <c r="P49" s="160"/>
      <c r="Q49" s="161" t="str">
        <f>IFERROR(VLOOKUP(O49,Risk.Matrix,MATCH(P49,Data!$P$59:$U$59,0),FALSE),"")</f>
        <v/>
      </c>
      <c r="R49" s="237"/>
      <c r="S49" s="158"/>
      <c r="T49" s="162"/>
      <c r="U49" s="186"/>
      <c r="V49" s="160"/>
      <c r="W49" s="160"/>
      <c r="X49" s="161" t="str">
        <f>IFERROR(VLOOKUP(V49,Risk.Matrix,MATCH(W49,Data!$P$59:$U$59,0),FALSE),"")</f>
        <v/>
      </c>
      <c r="Y49" s="158"/>
      <c r="Z49" s="160"/>
      <c r="AA49" s="237"/>
      <c r="AB49" s="158"/>
      <c r="AC49" s="160"/>
      <c r="AD49" s="240"/>
      <c r="AE49" s="241"/>
      <c r="AF49" s="268"/>
      <c r="AG49" s="270"/>
      <c r="AH49" s="267"/>
    </row>
    <row r="50" spans="1:34" s="184" customFormat="1" ht="69.900000000000006" customHeight="1" x14ac:dyDescent="0.2">
      <c r="A50" s="267"/>
      <c r="B50" s="188">
        <v>35</v>
      </c>
      <c r="C50" s="237"/>
      <c r="D50" s="237"/>
      <c r="E50" s="237"/>
      <c r="F50" s="237"/>
      <c r="G50" s="419"/>
      <c r="H50" s="419"/>
      <c r="I50" s="157"/>
      <c r="J50" s="157"/>
      <c r="K50" s="158"/>
      <c r="L50" s="159"/>
      <c r="M50" s="157"/>
      <c r="N50" s="157"/>
      <c r="O50" s="160"/>
      <c r="P50" s="160"/>
      <c r="Q50" s="161" t="str">
        <f>IFERROR(VLOOKUP(O50,Risk.Matrix,MATCH(P50,Data!$P$59:$U$59,0),FALSE),"")</f>
        <v/>
      </c>
      <c r="R50" s="548"/>
      <c r="S50" s="158"/>
      <c r="T50" s="162"/>
      <c r="U50" s="186"/>
      <c r="V50" s="160"/>
      <c r="W50" s="160"/>
      <c r="X50" s="161" t="str">
        <f>IFERROR(VLOOKUP(V50,Risk.Matrix,MATCH(W50,Data!$P$59:$U$59,0),FALSE),"")</f>
        <v/>
      </c>
      <c r="Y50" s="158"/>
      <c r="Z50" s="160"/>
      <c r="AA50" s="237"/>
      <c r="AB50" s="158"/>
      <c r="AC50" s="160"/>
      <c r="AD50" s="240"/>
      <c r="AE50" s="241"/>
      <c r="AF50" s="268"/>
      <c r="AG50" s="270"/>
      <c r="AH50" s="267"/>
    </row>
    <row r="51" spans="1:34" s="184" customFormat="1" ht="94.2" customHeight="1" x14ac:dyDescent="0.2">
      <c r="A51" s="267"/>
      <c r="B51" s="188">
        <v>36</v>
      </c>
      <c r="C51" s="237"/>
      <c r="D51" s="237"/>
      <c r="E51" s="237"/>
      <c r="F51" s="237"/>
      <c r="G51" s="419"/>
      <c r="H51" s="419"/>
      <c r="I51" s="157"/>
      <c r="J51" s="157"/>
      <c r="K51" s="158"/>
      <c r="L51" s="159"/>
      <c r="M51" s="157"/>
      <c r="N51" s="157"/>
      <c r="O51" s="160"/>
      <c r="P51" s="160"/>
      <c r="Q51" s="161" t="str">
        <f>IFERROR(VLOOKUP(O51,Risk.Matrix,MATCH(P51,Data!$P$59:$U$59,0),FALSE),"")</f>
        <v/>
      </c>
      <c r="R51" s="237"/>
      <c r="S51" s="158"/>
      <c r="T51" s="162"/>
      <c r="U51" s="186"/>
      <c r="V51" s="160"/>
      <c r="W51" s="160"/>
      <c r="X51" s="161" t="str">
        <f>IFERROR(VLOOKUP(V51,Risk.Matrix,MATCH(W51,Data!$P$59:$U$59,0),FALSE),"")</f>
        <v/>
      </c>
      <c r="Y51" s="158"/>
      <c r="Z51" s="160"/>
      <c r="AA51" s="237"/>
      <c r="AB51" s="158"/>
      <c r="AC51" s="160"/>
      <c r="AD51" s="240"/>
      <c r="AE51" s="241"/>
      <c r="AF51" s="268"/>
      <c r="AG51" s="270"/>
      <c r="AH51" s="267"/>
    </row>
    <row r="52" spans="1:34" s="184" customFormat="1" ht="132" customHeight="1" x14ac:dyDescent="0.2">
      <c r="A52" s="267"/>
      <c r="B52" s="188">
        <v>37</v>
      </c>
      <c r="C52" s="237"/>
      <c r="D52" s="237"/>
      <c r="E52" s="237"/>
      <c r="F52" s="237"/>
      <c r="G52" s="419"/>
      <c r="H52" s="419"/>
      <c r="I52" s="157"/>
      <c r="J52" s="157"/>
      <c r="K52" s="158"/>
      <c r="L52" s="159"/>
      <c r="M52" s="157"/>
      <c r="N52" s="157"/>
      <c r="O52" s="160"/>
      <c r="P52" s="160"/>
      <c r="Q52" s="161" t="str">
        <f>IFERROR(VLOOKUP(O52,Risk.Matrix,MATCH(P52,Data!$P$59:$U$59,0),FALSE),"")</f>
        <v/>
      </c>
      <c r="R52" s="549"/>
      <c r="S52" s="158"/>
      <c r="T52" s="162"/>
      <c r="U52" s="186"/>
      <c r="V52" s="160"/>
      <c r="W52" s="160"/>
      <c r="X52" s="161" t="str">
        <f>IFERROR(VLOOKUP(V52,Risk.Matrix,MATCH(W52,Data!$P$59:$U$59,0),FALSE),"")</f>
        <v/>
      </c>
      <c r="Y52" s="158"/>
      <c r="Z52" s="160"/>
      <c r="AA52" s="237"/>
      <c r="AB52" s="158"/>
      <c r="AC52" s="160"/>
      <c r="AD52" s="240"/>
      <c r="AE52" s="241"/>
      <c r="AF52" s="268"/>
      <c r="AG52" s="270"/>
      <c r="AH52" s="267"/>
    </row>
    <row r="53" spans="1:34" s="184" customFormat="1" ht="88.95" customHeight="1" x14ac:dyDescent="0.2">
      <c r="A53" s="267"/>
      <c r="B53" s="188">
        <v>38</v>
      </c>
      <c r="C53" s="237"/>
      <c r="D53" s="237"/>
      <c r="E53" s="237"/>
      <c r="F53" s="237"/>
      <c r="G53" s="419"/>
      <c r="H53" s="419"/>
      <c r="I53" s="157"/>
      <c r="J53" s="157"/>
      <c r="K53" s="158"/>
      <c r="L53" s="159"/>
      <c r="M53" s="157"/>
      <c r="N53" s="157"/>
      <c r="O53" s="160"/>
      <c r="P53" s="160"/>
      <c r="Q53" s="161" t="str">
        <f>IFERROR(VLOOKUP(O53,Risk.Matrix,MATCH(P53,Data!$P$59:$U$59,0),FALSE),"")</f>
        <v/>
      </c>
      <c r="R53" s="549"/>
      <c r="S53" s="158"/>
      <c r="T53" s="162"/>
      <c r="U53" s="186"/>
      <c r="V53" s="160"/>
      <c r="W53" s="160"/>
      <c r="X53" s="161" t="str">
        <f>IFERROR(VLOOKUP(V53,Risk.Matrix,MATCH(W53,Data!$P$59:$U$59,0),FALSE),"")</f>
        <v/>
      </c>
      <c r="Y53" s="158"/>
      <c r="Z53" s="160"/>
      <c r="AA53" s="237"/>
      <c r="AB53" s="158"/>
      <c r="AC53" s="160"/>
      <c r="AD53" s="240"/>
      <c r="AE53" s="241"/>
      <c r="AF53" s="268"/>
      <c r="AG53" s="270"/>
      <c r="AH53" s="267"/>
    </row>
    <row r="54" spans="1:34" s="184" customFormat="1" ht="102" customHeight="1" x14ac:dyDescent="0.2">
      <c r="A54" s="267"/>
      <c r="B54" s="188">
        <v>39</v>
      </c>
      <c r="C54" s="237"/>
      <c r="D54" s="237"/>
      <c r="E54" s="237"/>
      <c r="F54" s="237"/>
      <c r="G54" s="419"/>
      <c r="H54" s="419"/>
      <c r="I54" s="157"/>
      <c r="J54" s="157"/>
      <c r="K54" s="158"/>
      <c r="L54" s="159"/>
      <c r="M54" s="157"/>
      <c r="N54" s="157"/>
      <c r="O54" s="160"/>
      <c r="P54" s="160"/>
      <c r="Q54" s="161" t="str">
        <f>IFERROR(VLOOKUP(O54,Risk.Matrix,MATCH(P54,Data!$P$59:$U$59,0),FALSE),"")</f>
        <v/>
      </c>
      <c r="R54" s="237"/>
      <c r="S54" s="158"/>
      <c r="T54" s="162"/>
      <c r="U54" s="186"/>
      <c r="V54" s="160"/>
      <c r="W54" s="160"/>
      <c r="X54" s="161" t="str">
        <f>IFERROR(VLOOKUP(V54,Risk.Matrix,MATCH(W54,Data!$P$59:$U$59,0),FALSE),"")</f>
        <v/>
      </c>
      <c r="Y54" s="158"/>
      <c r="Z54" s="159"/>
      <c r="AA54" s="237"/>
      <c r="AB54" s="158"/>
      <c r="AC54" s="159"/>
      <c r="AD54" s="240"/>
      <c r="AE54" s="241"/>
      <c r="AF54" s="268"/>
      <c r="AG54" s="270"/>
      <c r="AH54" s="267"/>
    </row>
    <row r="55" spans="1:34" s="184" customFormat="1" ht="79.2" customHeight="1" x14ac:dyDescent="0.2">
      <c r="A55" s="267"/>
      <c r="B55" s="188">
        <v>40</v>
      </c>
      <c r="C55" s="237"/>
      <c r="D55" s="237"/>
      <c r="E55" s="237"/>
      <c r="F55" s="237"/>
      <c r="G55" s="419"/>
      <c r="H55" s="419"/>
      <c r="I55" s="157"/>
      <c r="J55" s="157"/>
      <c r="K55" s="158"/>
      <c r="L55" s="159"/>
      <c r="M55" s="157"/>
      <c r="N55" s="157"/>
      <c r="O55" s="160"/>
      <c r="P55" s="160"/>
      <c r="Q55" s="161" t="str">
        <f>IFERROR(VLOOKUP(O55,Risk.Matrix,MATCH(P55,Data!$P$59:$U$59,0),FALSE),"")</f>
        <v/>
      </c>
      <c r="R55" s="237"/>
      <c r="S55" s="158"/>
      <c r="T55" s="162"/>
      <c r="U55" s="186"/>
      <c r="V55" s="160"/>
      <c r="W55" s="160"/>
      <c r="X55" s="161" t="str">
        <f>IFERROR(VLOOKUP(V55,Risk.Matrix,MATCH(W55,Data!$P$59:$U$59,0),FALSE),"")</f>
        <v/>
      </c>
      <c r="Y55" s="158"/>
      <c r="Z55" s="160"/>
      <c r="AA55" s="237"/>
      <c r="AB55" s="158"/>
      <c r="AC55" s="160"/>
      <c r="AD55" s="240"/>
      <c r="AE55" s="241"/>
      <c r="AF55" s="268"/>
      <c r="AG55" s="270"/>
      <c r="AH55" s="267"/>
    </row>
    <row r="56" spans="1:34" s="184" customFormat="1" ht="72" customHeight="1" x14ac:dyDescent="0.2">
      <c r="A56" s="267"/>
      <c r="B56" s="188">
        <v>41</v>
      </c>
      <c r="C56" s="237"/>
      <c r="D56" s="237"/>
      <c r="E56" s="237"/>
      <c r="F56" s="237"/>
      <c r="G56" s="419"/>
      <c r="H56" s="419"/>
      <c r="I56" s="157"/>
      <c r="J56" s="157"/>
      <c r="K56" s="158"/>
      <c r="L56" s="159"/>
      <c r="M56" s="157"/>
      <c r="N56" s="157"/>
      <c r="O56" s="160"/>
      <c r="P56" s="160"/>
      <c r="Q56" s="161" t="str">
        <f>IFERROR(VLOOKUP(O56,Risk.Matrix,MATCH(P56,Data!$P$59:$U$59,0),FALSE),"")</f>
        <v/>
      </c>
      <c r="R56" s="237"/>
      <c r="S56" s="158"/>
      <c r="T56" s="162"/>
      <c r="U56" s="186"/>
      <c r="V56" s="160"/>
      <c r="W56" s="160"/>
      <c r="X56" s="161" t="str">
        <f>IFERROR(VLOOKUP(V56,Risk.Matrix,MATCH(W56,Data!$P$59:$U$59,0),FALSE),"")</f>
        <v/>
      </c>
      <c r="Y56" s="158"/>
      <c r="Z56" s="160"/>
      <c r="AA56" s="237"/>
      <c r="AB56" s="158"/>
      <c r="AC56" s="160"/>
      <c r="AD56" s="240"/>
      <c r="AE56" s="241"/>
      <c r="AF56" s="268"/>
      <c r="AG56" s="270"/>
      <c r="AH56" s="267"/>
    </row>
    <row r="57" spans="1:34" s="184" customFormat="1" ht="69.900000000000006" customHeight="1" x14ac:dyDescent="0.2">
      <c r="A57" s="267"/>
      <c r="B57" s="188">
        <v>42</v>
      </c>
      <c r="C57" s="237"/>
      <c r="D57" s="237"/>
      <c r="E57" s="237"/>
      <c r="F57" s="237"/>
      <c r="G57" s="419"/>
      <c r="H57" s="419"/>
      <c r="I57" s="157"/>
      <c r="J57" s="157"/>
      <c r="K57" s="158"/>
      <c r="L57" s="159"/>
      <c r="M57" s="157"/>
      <c r="N57" s="157"/>
      <c r="O57" s="160"/>
      <c r="P57" s="160"/>
      <c r="Q57" s="161" t="str">
        <f>IFERROR(VLOOKUP(O57,Risk.Matrix,MATCH(P57,Data!$P$59:$U$59,0),FALSE),"")</f>
        <v/>
      </c>
      <c r="R57" s="237"/>
      <c r="S57" s="158"/>
      <c r="T57" s="162"/>
      <c r="U57" s="186"/>
      <c r="V57" s="160"/>
      <c r="W57" s="160"/>
      <c r="X57" s="161" t="str">
        <f>IFERROR(VLOOKUP(V57,Risk.Matrix,MATCH(W57,Data!$P$59:$U$59,0),FALSE),"")</f>
        <v/>
      </c>
      <c r="Y57" s="158"/>
      <c r="Z57" s="159"/>
      <c r="AA57" s="237"/>
      <c r="AB57" s="158"/>
      <c r="AC57" s="159"/>
      <c r="AD57" s="240"/>
      <c r="AE57" s="241"/>
      <c r="AF57" s="268"/>
      <c r="AG57" s="270"/>
      <c r="AH57" s="267"/>
    </row>
    <row r="58" spans="1:34" s="184" customFormat="1" ht="69.900000000000006" customHeight="1" x14ac:dyDescent="0.2">
      <c r="A58" s="267"/>
      <c r="B58" s="188">
        <v>43</v>
      </c>
      <c r="C58" s="237"/>
      <c r="D58" s="237"/>
      <c r="E58" s="237"/>
      <c r="F58" s="237"/>
      <c r="G58" s="419"/>
      <c r="H58" s="419"/>
      <c r="I58" s="157"/>
      <c r="J58" s="157"/>
      <c r="K58" s="158"/>
      <c r="L58" s="159"/>
      <c r="M58" s="157"/>
      <c r="N58" s="157"/>
      <c r="O58" s="160"/>
      <c r="P58" s="160"/>
      <c r="Q58" s="161" t="str">
        <f>IFERROR(VLOOKUP(O58,Risk.Matrix,MATCH(P58,Data!$P$59:$U$59,0),FALSE),"")</f>
        <v/>
      </c>
      <c r="R58" s="237"/>
      <c r="S58" s="158"/>
      <c r="T58" s="162"/>
      <c r="U58" s="186"/>
      <c r="V58" s="160"/>
      <c r="W58" s="160"/>
      <c r="X58" s="161" t="str">
        <f>IFERROR(VLOOKUP(V58,Risk.Matrix,MATCH(W58,Data!$P$59:$U$59,0),FALSE),"")</f>
        <v/>
      </c>
      <c r="Y58" s="158"/>
      <c r="Z58" s="159"/>
      <c r="AA58" s="237"/>
      <c r="AB58" s="158"/>
      <c r="AC58" s="159"/>
      <c r="AD58" s="240"/>
      <c r="AE58" s="241"/>
      <c r="AF58" s="268"/>
      <c r="AG58" s="270"/>
      <c r="AH58" s="267"/>
    </row>
    <row r="59" spans="1:34" s="184" customFormat="1" ht="69.900000000000006" customHeight="1" x14ac:dyDescent="0.2">
      <c r="A59" s="267"/>
      <c r="B59" s="188">
        <v>44</v>
      </c>
      <c r="C59" s="237"/>
      <c r="D59" s="237"/>
      <c r="E59" s="237"/>
      <c r="F59" s="237"/>
      <c r="G59" s="419"/>
      <c r="H59" s="419"/>
      <c r="I59" s="157"/>
      <c r="J59" s="157"/>
      <c r="K59" s="158"/>
      <c r="L59" s="159"/>
      <c r="M59" s="157"/>
      <c r="N59" s="157"/>
      <c r="O59" s="160"/>
      <c r="P59" s="160"/>
      <c r="Q59" s="161" t="str">
        <f>IFERROR(VLOOKUP(O59,Risk.Matrix,MATCH(P59,Data!$P$59:$U$59,0),FALSE),"")</f>
        <v/>
      </c>
      <c r="R59" s="237"/>
      <c r="S59" s="158"/>
      <c r="T59" s="162"/>
      <c r="U59" s="186"/>
      <c r="V59" s="160"/>
      <c r="W59" s="160"/>
      <c r="X59" s="161" t="str">
        <f>IFERROR(VLOOKUP(V59,Risk.Matrix,MATCH(W59,Data!$P$59:$U$59,0),FALSE),"")</f>
        <v/>
      </c>
      <c r="Y59" s="158"/>
      <c r="Z59" s="160"/>
      <c r="AA59" s="237"/>
      <c r="AB59" s="158"/>
      <c r="AC59" s="160"/>
      <c r="AD59" s="240"/>
      <c r="AE59" s="241"/>
      <c r="AF59" s="268"/>
      <c r="AG59" s="270"/>
      <c r="AH59" s="267"/>
    </row>
    <row r="60" spans="1:34" s="184" customFormat="1" ht="69.900000000000006" customHeight="1" x14ac:dyDescent="0.2">
      <c r="A60" s="267"/>
      <c r="B60" s="188">
        <v>45</v>
      </c>
      <c r="C60" s="237"/>
      <c r="D60" s="237"/>
      <c r="E60" s="237"/>
      <c r="F60" s="237"/>
      <c r="G60" s="419"/>
      <c r="H60" s="419"/>
      <c r="I60" s="157"/>
      <c r="J60" s="157"/>
      <c r="K60" s="158"/>
      <c r="L60" s="159"/>
      <c r="M60" s="157"/>
      <c r="N60" s="157"/>
      <c r="O60" s="160"/>
      <c r="P60" s="160"/>
      <c r="Q60" s="161" t="str">
        <f>IFERROR(VLOOKUP(O60,Risk.Matrix,MATCH(P60,Data!$P$59:$U$59,0),FALSE),"")</f>
        <v/>
      </c>
      <c r="R60" s="237"/>
      <c r="S60" s="158"/>
      <c r="T60" s="162"/>
      <c r="U60" s="186"/>
      <c r="V60" s="160"/>
      <c r="W60" s="160"/>
      <c r="X60" s="161" t="str">
        <f>IFERROR(VLOOKUP(V60,Risk.Matrix,MATCH(W60,Data!$P$59:$U$59,0),FALSE),"")</f>
        <v/>
      </c>
      <c r="Y60" s="158"/>
      <c r="Z60" s="160"/>
      <c r="AA60" s="237"/>
      <c r="AB60" s="158"/>
      <c r="AC60" s="160"/>
      <c r="AD60" s="240"/>
      <c r="AE60" s="241"/>
      <c r="AF60" s="268"/>
      <c r="AG60" s="270"/>
      <c r="AH60" s="267"/>
    </row>
    <row r="61" spans="1:34" s="184" customFormat="1" ht="91.95" customHeight="1" x14ac:dyDescent="0.2">
      <c r="A61" s="267"/>
      <c r="B61" s="188">
        <v>46</v>
      </c>
      <c r="C61" s="237"/>
      <c r="D61" s="237"/>
      <c r="E61" s="237"/>
      <c r="F61" s="237"/>
      <c r="G61" s="432"/>
      <c r="H61" s="433"/>
      <c r="I61" s="157"/>
      <c r="J61" s="157"/>
      <c r="K61" s="158"/>
      <c r="L61" s="159"/>
      <c r="M61" s="157"/>
      <c r="N61" s="157"/>
      <c r="O61" s="160"/>
      <c r="P61" s="160"/>
      <c r="Q61" s="161" t="str">
        <f>IFERROR(VLOOKUP(O61,Risk.Matrix,MATCH(P61,Data!$P$59:$U$59,0),FALSE),"")</f>
        <v/>
      </c>
      <c r="R61" s="237"/>
      <c r="S61" s="158"/>
      <c r="T61" s="162"/>
      <c r="U61" s="186"/>
      <c r="V61" s="160"/>
      <c r="W61" s="160"/>
      <c r="X61" s="161" t="str">
        <f>IFERROR(VLOOKUP(V61,Risk.Matrix,MATCH(W61,Data!$P$59:$U$59,0),FALSE),"")</f>
        <v/>
      </c>
      <c r="Y61" s="158"/>
      <c r="Z61" s="160"/>
      <c r="AA61" s="237"/>
      <c r="AB61" s="158"/>
      <c r="AC61" s="160"/>
      <c r="AD61" s="240"/>
      <c r="AE61" s="241"/>
      <c r="AF61" s="268"/>
      <c r="AG61" s="270"/>
      <c r="AH61" s="267"/>
    </row>
    <row r="62" spans="1:34" s="184" customFormat="1" ht="86.4" customHeight="1" x14ac:dyDescent="0.2">
      <c r="A62" s="267"/>
      <c r="B62" s="188">
        <v>47</v>
      </c>
      <c r="C62" s="237"/>
      <c r="D62" s="237"/>
      <c r="E62" s="237"/>
      <c r="F62" s="237"/>
      <c r="G62" s="354"/>
      <c r="H62" s="267"/>
      <c r="I62" s="157"/>
      <c r="J62" s="157"/>
      <c r="K62" s="158"/>
      <c r="L62" s="159"/>
      <c r="M62" s="157"/>
      <c r="N62" s="157"/>
      <c r="O62" s="160"/>
      <c r="P62" s="160"/>
      <c r="Q62" s="161" t="str">
        <f>IFERROR(VLOOKUP(O62,Risk.Matrix,MATCH(P62,Data!$P$59:$U$59,0),FALSE),"")</f>
        <v/>
      </c>
      <c r="R62" s="237"/>
      <c r="S62" s="158"/>
      <c r="T62" s="162"/>
      <c r="U62" s="186"/>
      <c r="V62" s="160"/>
      <c r="W62" s="160"/>
      <c r="X62" s="161" t="str">
        <f>IFERROR(VLOOKUP(V62,Risk.Matrix,MATCH(W62,Data!$P$59:$U$59,0),FALSE),"")</f>
        <v/>
      </c>
      <c r="Y62" s="158"/>
      <c r="Z62" s="160"/>
      <c r="AA62" s="237"/>
      <c r="AB62" s="158"/>
      <c r="AC62" s="160"/>
      <c r="AD62" s="240"/>
      <c r="AE62" s="241"/>
      <c r="AF62" s="268"/>
      <c r="AG62" s="270"/>
      <c r="AH62" s="267"/>
    </row>
    <row r="63" spans="1:34" s="184" customFormat="1" ht="69.900000000000006" customHeight="1" x14ac:dyDescent="0.2">
      <c r="A63" s="267"/>
      <c r="B63" s="188">
        <v>48</v>
      </c>
      <c r="C63" s="237"/>
      <c r="D63" s="237"/>
      <c r="E63" s="237"/>
      <c r="F63" s="237"/>
      <c r="G63" s="419"/>
      <c r="H63" s="419"/>
      <c r="I63" s="157"/>
      <c r="J63" s="157"/>
      <c r="K63" s="158"/>
      <c r="L63" s="159"/>
      <c r="M63" s="157"/>
      <c r="N63" s="157"/>
      <c r="O63" s="160"/>
      <c r="P63" s="160"/>
      <c r="Q63" s="161" t="str">
        <f>IFERROR(VLOOKUP(O63,Risk.Matrix,MATCH(P63,Data!$P$59:$U$59,0),FALSE),"")</f>
        <v/>
      </c>
      <c r="R63" s="237"/>
      <c r="S63" s="158"/>
      <c r="T63" s="162"/>
      <c r="U63" s="186"/>
      <c r="V63" s="160"/>
      <c r="W63" s="160"/>
      <c r="X63" s="161" t="str">
        <f>IFERROR(VLOOKUP(V63,Risk.Matrix,MATCH(W63,Data!$P$59:$U$59,0),FALSE),"")</f>
        <v/>
      </c>
      <c r="Y63" s="158"/>
      <c r="Z63" s="160"/>
      <c r="AA63" s="237"/>
      <c r="AB63" s="158"/>
      <c r="AC63" s="160"/>
      <c r="AD63" s="240"/>
      <c r="AE63" s="241"/>
      <c r="AF63" s="268"/>
      <c r="AG63" s="270"/>
      <c r="AH63" s="267"/>
    </row>
    <row r="64" spans="1:34" s="184" customFormat="1" ht="85.95" customHeight="1" x14ac:dyDescent="0.2">
      <c r="A64" s="267"/>
      <c r="B64" s="188">
        <v>49</v>
      </c>
      <c r="C64" s="237"/>
      <c r="D64" s="237"/>
      <c r="E64" s="237"/>
      <c r="F64" s="237"/>
      <c r="G64" s="419"/>
      <c r="H64" s="419"/>
      <c r="I64" s="157"/>
      <c r="J64" s="157"/>
      <c r="K64" s="158"/>
      <c r="L64" s="159"/>
      <c r="M64" s="157"/>
      <c r="N64" s="157"/>
      <c r="O64" s="160"/>
      <c r="P64" s="160"/>
      <c r="Q64" s="161" t="str">
        <f>IFERROR(VLOOKUP(O64,Risk.Matrix,MATCH(P64,Data!$P$59:$U$59,0),FALSE),"")</f>
        <v/>
      </c>
      <c r="R64" s="237"/>
      <c r="S64" s="158"/>
      <c r="T64" s="162"/>
      <c r="U64" s="186"/>
      <c r="V64" s="160"/>
      <c r="W64" s="160"/>
      <c r="X64" s="161" t="str">
        <f>IFERROR(VLOOKUP(V64,Risk.Matrix,MATCH(W64,Data!$P$59:$U$59,0),FALSE),"")</f>
        <v/>
      </c>
      <c r="Y64" s="158"/>
      <c r="Z64" s="160"/>
      <c r="AA64" s="237"/>
      <c r="AB64" s="158"/>
      <c r="AC64" s="160"/>
      <c r="AD64" s="240"/>
      <c r="AE64" s="241"/>
      <c r="AF64" s="268"/>
      <c r="AG64" s="270"/>
      <c r="AH64" s="267"/>
    </row>
    <row r="65" spans="1:34" s="184" customFormat="1" ht="93.6" customHeight="1" x14ac:dyDescent="0.2">
      <c r="A65" s="267"/>
      <c r="B65" s="188">
        <v>50</v>
      </c>
      <c r="C65" s="237"/>
      <c r="D65" s="237"/>
      <c r="E65" s="237"/>
      <c r="F65" s="237"/>
      <c r="G65" s="419"/>
      <c r="H65" s="419"/>
      <c r="I65" s="157"/>
      <c r="J65" s="157"/>
      <c r="K65" s="158"/>
      <c r="L65" s="159"/>
      <c r="M65" s="157"/>
      <c r="N65" s="157"/>
      <c r="O65" s="160"/>
      <c r="P65" s="160"/>
      <c r="Q65" s="161" t="str">
        <f>IFERROR(VLOOKUP(O65,Risk.Matrix,MATCH(P65,Data!$P$59:$U$59,0),FALSE),"")</f>
        <v/>
      </c>
      <c r="R65" s="237"/>
      <c r="S65" s="158"/>
      <c r="T65" s="162"/>
      <c r="U65" s="186"/>
      <c r="V65" s="160"/>
      <c r="W65" s="160"/>
      <c r="X65" s="161" t="str">
        <f>IFERROR(VLOOKUP(V65,Risk.Matrix,MATCH(W65,Data!$P$59:$U$59,0),FALSE),"")</f>
        <v/>
      </c>
      <c r="Y65" s="158"/>
      <c r="Z65" s="160"/>
      <c r="AA65" s="237"/>
      <c r="AB65" s="158"/>
      <c r="AC65" s="160"/>
      <c r="AD65" s="240"/>
      <c r="AE65" s="241"/>
      <c r="AF65" s="268"/>
      <c r="AG65" s="270"/>
      <c r="AH65" s="267"/>
    </row>
    <row r="66" spans="1:34" s="184" customFormat="1" ht="69.900000000000006" customHeight="1" x14ac:dyDescent="0.2">
      <c r="A66" s="267"/>
      <c r="B66" s="188">
        <v>51</v>
      </c>
      <c r="C66" s="237"/>
      <c r="D66" s="237"/>
      <c r="E66" s="237"/>
      <c r="F66" s="237"/>
      <c r="G66" s="432"/>
      <c r="H66" s="433"/>
      <c r="I66" s="157"/>
      <c r="J66" s="157"/>
      <c r="K66" s="158"/>
      <c r="L66" s="159"/>
      <c r="M66" s="157"/>
      <c r="N66" s="157"/>
      <c r="O66" s="160"/>
      <c r="P66" s="160"/>
      <c r="Q66" s="161" t="str">
        <f>IFERROR(VLOOKUP(O66,Risk.Matrix,MATCH(P66,Data!$P$59:$U$59,0),FALSE),"")</f>
        <v/>
      </c>
      <c r="R66" s="237"/>
      <c r="S66" s="158"/>
      <c r="T66" s="162"/>
      <c r="U66" s="186"/>
      <c r="V66" s="160"/>
      <c r="W66" s="160"/>
      <c r="X66" s="161" t="str">
        <f>IFERROR(VLOOKUP(V66,Risk.Matrix,MATCH(W66,Data!$P$59:$U$59,0),FALSE),"")</f>
        <v/>
      </c>
      <c r="Y66" s="158"/>
      <c r="Z66" s="160"/>
      <c r="AA66" s="237"/>
      <c r="AB66" s="158"/>
      <c r="AC66" s="160"/>
      <c r="AD66" s="240"/>
      <c r="AE66" s="241"/>
      <c r="AF66" s="268"/>
      <c r="AG66" s="270"/>
      <c r="AH66" s="267"/>
    </row>
    <row r="67" spans="1:34" s="184" customFormat="1" ht="69.900000000000006" customHeight="1" x14ac:dyDescent="0.2">
      <c r="A67" s="267"/>
      <c r="B67" s="188">
        <v>52</v>
      </c>
      <c r="C67" s="237"/>
      <c r="D67" s="237"/>
      <c r="E67" s="237"/>
      <c r="F67" s="237"/>
      <c r="G67" s="419"/>
      <c r="H67" s="419"/>
      <c r="I67" s="157"/>
      <c r="J67" s="157"/>
      <c r="K67" s="158"/>
      <c r="L67" s="159"/>
      <c r="M67" s="157"/>
      <c r="N67" s="157"/>
      <c r="O67" s="160"/>
      <c r="P67" s="160"/>
      <c r="Q67" s="161" t="str">
        <f>IFERROR(VLOOKUP(O67,Risk.Matrix,MATCH(P67,Data!$P$59:$U$59,0),FALSE),"")</f>
        <v/>
      </c>
      <c r="R67" s="237"/>
      <c r="S67" s="158"/>
      <c r="T67" s="162"/>
      <c r="U67" s="186"/>
      <c r="V67" s="160"/>
      <c r="W67" s="160"/>
      <c r="X67" s="161" t="str">
        <f>IFERROR(VLOOKUP(V67,Risk.Matrix,MATCH(W67,Data!$P$59:$U$59,0),FALSE),"")</f>
        <v/>
      </c>
      <c r="Y67" s="158"/>
      <c r="Z67" s="160"/>
      <c r="AA67" s="237"/>
      <c r="AB67" s="158"/>
      <c r="AC67" s="160"/>
      <c r="AD67" s="240"/>
      <c r="AE67" s="241"/>
      <c r="AF67" s="268"/>
      <c r="AG67" s="270"/>
      <c r="AH67" s="267"/>
    </row>
    <row r="68" spans="1:34" s="184" customFormat="1" ht="114" customHeight="1" x14ac:dyDescent="0.2">
      <c r="A68" s="267"/>
      <c r="B68" s="188">
        <v>53</v>
      </c>
      <c r="C68" s="237"/>
      <c r="D68" s="237"/>
      <c r="E68" s="237"/>
      <c r="F68" s="237"/>
      <c r="G68" s="419"/>
      <c r="H68" s="419"/>
      <c r="I68" s="157"/>
      <c r="J68" s="157"/>
      <c r="K68" s="158"/>
      <c r="L68" s="159"/>
      <c r="M68" s="157"/>
      <c r="N68" s="157"/>
      <c r="O68" s="160"/>
      <c r="P68" s="160"/>
      <c r="Q68" s="161" t="str">
        <f>IFERROR(VLOOKUP(O68,Risk.Matrix,MATCH(P68,Data!$P$59:$U$59,0),FALSE),"")</f>
        <v/>
      </c>
      <c r="R68" s="237"/>
      <c r="S68" s="158"/>
      <c r="T68" s="162"/>
      <c r="U68" s="186"/>
      <c r="V68" s="160"/>
      <c r="W68" s="160"/>
      <c r="X68" s="161" t="str">
        <f>IFERROR(VLOOKUP(V68,Risk.Matrix,MATCH(W68,Data!$P$59:$U$59,0),FALSE),"")</f>
        <v/>
      </c>
      <c r="Y68" s="158"/>
      <c r="Z68" s="160"/>
      <c r="AA68" s="237"/>
      <c r="AB68" s="158"/>
      <c r="AC68" s="160"/>
      <c r="AD68" s="240"/>
      <c r="AE68" s="241"/>
      <c r="AF68" s="268"/>
      <c r="AG68" s="270"/>
      <c r="AH68" s="267"/>
    </row>
    <row r="69" spans="1:34" s="184" customFormat="1" ht="69.900000000000006" customHeight="1" x14ac:dyDescent="0.2">
      <c r="A69" s="267"/>
      <c r="B69" s="188">
        <v>54</v>
      </c>
      <c r="C69" s="237"/>
      <c r="D69" s="237"/>
      <c r="E69" s="237"/>
      <c r="F69" s="237"/>
      <c r="G69" s="419"/>
      <c r="H69" s="419"/>
      <c r="I69" s="157"/>
      <c r="J69" s="157"/>
      <c r="K69" s="158"/>
      <c r="L69" s="159"/>
      <c r="M69" s="157"/>
      <c r="N69" s="157"/>
      <c r="O69" s="160"/>
      <c r="P69" s="160"/>
      <c r="Q69" s="161" t="str">
        <f>IFERROR(VLOOKUP(O69,Risk.Matrix,MATCH(P69,Data!$P$59:$U$59,0),FALSE),"")</f>
        <v/>
      </c>
      <c r="R69" s="237"/>
      <c r="S69" s="158"/>
      <c r="T69" s="162"/>
      <c r="U69" s="186"/>
      <c r="V69" s="160"/>
      <c r="W69" s="160"/>
      <c r="X69" s="161" t="str">
        <f>IFERROR(VLOOKUP(V69,Risk.Matrix,MATCH(W69,Data!$P$59:$U$59,0),FALSE),"")</f>
        <v/>
      </c>
      <c r="Y69" s="158"/>
      <c r="Z69" s="160"/>
      <c r="AA69" s="237"/>
      <c r="AB69" s="158"/>
      <c r="AC69" s="160"/>
      <c r="AD69" s="240"/>
      <c r="AE69" s="241"/>
      <c r="AF69" s="268"/>
      <c r="AG69" s="270"/>
      <c r="AH69" s="267"/>
    </row>
    <row r="70" spans="1:34" s="184" customFormat="1" ht="69.900000000000006" customHeight="1" x14ac:dyDescent="0.2">
      <c r="A70" s="267"/>
      <c r="B70" s="188">
        <v>55</v>
      </c>
      <c r="C70" s="237"/>
      <c r="D70" s="237"/>
      <c r="E70" s="237"/>
      <c r="F70" s="237"/>
      <c r="G70" s="432"/>
      <c r="H70" s="433"/>
      <c r="I70" s="157"/>
      <c r="J70" s="157"/>
      <c r="K70" s="158"/>
      <c r="L70" s="159"/>
      <c r="M70" s="157"/>
      <c r="N70" s="157"/>
      <c r="O70" s="160"/>
      <c r="P70" s="160"/>
      <c r="Q70" s="161" t="str">
        <f>IFERROR(VLOOKUP(O70,Risk.Matrix,MATCH(P70,Data!$P$59:$U$59,0),FALSE),"")</f>
        <v/>
      </c>
      <c r="R70" s="237"/>
      <c r="S70" s="158"/>
      <c r="T70" s="162"/>
      <c r="U70" s="186"/>
      <c r="V70" s="160"/>
      <c r="W70" s="160"/>
      <c r="X70" s="161" t="str">
        <f>IFERROR(VLOOKUP(V70,Risk.Matrix,MATCH(W70,Data!$P$59:$U$59,0),FALSE),"")</f>
        <v/>
      </c>
      <c r="Y70" s="158"/>
      <c r="Z70" s="160"/>
      <c r="AA70" s="237"/>
      <c r="AB70" s="158"/>
      <c r="AC70" s="160"/>
      <c r="AD70" s="240"/>
      <c r="AE70" s="241"/>
      <c r="AF70" s="268"/>
      <c r="AG70" s="270"/>
      <c r="AH70" s="267"/>
    </row>
    <row r="71" spans="1:34" s="184" customFormat="1" ht="69.900000000000006" customHeight="1" x14ac:dyDescent="0.2">
      <c r="A71" s="267"/>
      <c r="B71" s="188">
        <v>56</v>
      </c>
      <c r="C71" s="237"/>
      <c r="D71" s="237"/>
      <c r="E71" s="237"/>
      <c r="F71" s="237"/>
      <c r="G71" s="432"/>
      <c r="H71" s="433"/>
      <c r="I71" s="157"/>
      <c r="J71" s="157"/>
      <c r="K71" s="158"/>
      <c r="L71" s="159"/>
      <c r="M71" s="157"/>
      <c r="N71" s="157"/>
      <c r="O71" s="160"/>
      <c r="P71" s="160"/>
      <c r="Q71" s="161" t="str">
        <f>IFERROR(VLOOKUP(O71,Risk.Matrix,MATCH(P71,Data!$P$59:$U$59,0),FALSE),"")</f>
        <v/>
      </c>
      <c r="R71" s="237"/>
      <c r="S71" s="158"/>
      <c r="T71" s="162"/>
      <c r="U71" s="186"/>
      <c r="V71" s="160"/>
      <c r="W71" s="160"/>
      <c r="X71" s="161" t="str">
        <f>IFERROR(VLOOKUP(V71,Risk.Matrix,MATCH(W71,Data!$P$59:$U$59,0),FALSE),"")</f>
        <v/>
      </c>
      <c r="Y71" s="158"/>
      <c r="Z71" s="160"/>
      <c r="AA71" s="237"/>
      <c r="AB71" s="158"/>
      <c r="AC71" s="160"/>
      <c r="AD71" s="240"/>
      <c r="AE71" s="241"/>
      <c r="AF71" s="268"/>
      <c r="AG71" s="270"/>
      <c r="AH71" s="267"/>
    </row>
    <row r="72" spans="1:34" s="184" customFormat="1" ht="69.900000000000006" customHeight="1" x14ac:dyDescent="0.2">
      <c r="A72" s="267"/>
      <c r="B72" s="188">
        <v>57</v>
      </c>
      <c r="C72" s="237"/>
      <c r="D72" s="237"/>
      <c r="E72" s="237"/>
      <c r="F72" s="237"/>
      <c r="G72" s="432"/>
      <c r="H72" s="433"/>
      <c r="I72" s="157"/>
      <c r="J72" s="157"/>
      <c r="K72" s="158"/>
      <c r="L72" s="159"/>
      <c r="M72" s="157"/>
      <c r="N72" s="157"/>
      <c r="O72" s="160"/>
      <c r="P72" s="160"/>
      <c r="Q72" s="161" t="str">
        <f>IFERROR(VLOOKUP(O72,Risk.Matrix,MATCH(P72,Data!$P$59:$U$59,0),FALSE),"")</f>
        <v/>
      </c>
      <c r="R72" s="237"/>
      <c r="S72" s="158"/>
      <c r="T72" s="162"/>
      <c r="U72" s="186"/>
      <c r="V72" s="160"/>
      <c r="W72" s="160"/>
      <c r="X72" s="161" t="str">
        <f>IFERROR(VLOOKUP(V72,Risk.Matrix,MATCH(W72,Data!$P$59:$U$59,0),FALSE),"")</f>
        <v/>
      </c>
      <c r="Y72" s="158"/>
      <c r="Z72" s="160"/>
      <c r="AA72" s="237"/>
      <c r="AB72" s="158"/>
      <c r="AC72" s="160"/>
      <c r="AD72" s="240"/>
      <c r="AE72" s="241"/>
      <c r="AF72" s="268"/>
      <c r="AG72" s="270"/>
      <c r="AH72" s="267"/>
    </row>
    <row r="73" spans="1:34" s="184" customFormat="1" ht="69.900000000000006" customHeight="1" x14ac:dyDescent="0.2">
      <c r="A73" s="267"/>
      <c r="B73" s="188">
        <v>58</v>
      </c>
      <c r="C73" s="237"/>
      <c r="D73" s="237"/>
      <c r="E73" s="237"/>
      <c r="F73" s="237"/>
      <c r="G73" s="432"/>
      <c r="H73" s="433"/>
      <c r="I73" s="157"/>
      <c r="J73" s="157"/>
      <c r="K73" s="158"/>
      <c r="L73" s="159"/>
      <c r="M73" s="157"/>
      <c r="N73" s="157"/>
      <c r="O73" s="160"/>
      <c r="P73" s="160"/>
      <c r="Q73" s="161" t="str">
        <f>IFERROR(VLOOKUP(O73,Risk.Matrix,MATCH(P73,Data!$P$59:$U$59,0),FALSE),"")</f>
        <v/>
      </c>
      <c r="R73" s="237"/>
      <c r="S73" s="158"/>
      <c r="T73" s="162"/>
      <c r="U73" s="186"/>
      <c r="V73" s="160"/>
      <c r="W73" s="160"/>
      <c r="X73" s="161" t="str">
        <f>IFERROR(VLOOKUP(V73,Risk.Matrix,MATCH(W73,Data!$P$59:$U$59,0),FALSE),"")</f>
        <v/>
      </c>
      <c r="Y73" s="158"/>
      <c r="Z73" s="160"/>
      <c r="AA73" s="237"/>
      <c r="AB73" s="158"/>
      <c r="AC73" s="160"/>
      <c r="AD73" s="240"/>
      <c r="AE73" s="241"/>
      <c r="AF73" s="268"/>
      <c r="AG73" s="270"/>
      <c r="AH73" s="267"/>
    </row>
    <row r="74" spans="1:34" s="184" customFormat="1" ht="69.900000000000006" customHeight="1" x14ac:dyDescent="0.2">
      <c r="A74" s="267"/>
      <c r="B74" s="188">
        <v>59</v>
      </c>
      <c r="C74" s="237"/>
      <c r="D74" s="237"/>
      <c r="E74" s="237"/>
      <c r="F74" s="237"/>
      <c r="G74" s="432"/>
      <c r="H74" s="433"/>
      <c r="I74" s="157"/>
      <c r="J74" s="157"/>
      <c r="K74" s="158"/>
      <c r="L74" s="159"/>
      <c r="M74" s="157"/>
      <c r="N74" s="157"/>
      <c r="O74" s="160"/>
      <c r="P74" s="160"/>
      <c r="Q74" s="161" t="str">
        <f>IFERROR(VLOOKUP(O74,Risk.Matrix,MATCH(P74,Data!$P$59:$U$59,0),FALSE),"")</f>
        <v/>
      </c>
      <c r="R74" s="237"/>
      <c r="S74" s="158"/>
      <c r="T74" s="162"/>
      <c r="U74" s="186"/>
      <c r="V74" s="160"/>
      <c r="W74" s="160"/>
      <c r="X74" s="161" t="str">
        <f>IFERROR(VLOOKUP(V74,Risk.Matrix,MATCH(W74,Data!$P$59:$U$59,0),FALSE),"")</f>
        <v/>
      </c>
      <c r="Y74" s="158"/>
      <c r="Z74" s="160"/>
      <c r="AA74" s="237"/>
      <c r="AB74" s="158"/>
      <c r="AC74" s="160"/>
      <c r="AD74" s="240"/>
      <c r="AE74" s="241"/>
      <c r="AF74" s="268"/>
      <c r="AG74" s="270"/>
      <c r="AH74" s="267"/>
    </row>
    <row r="75" spans="1:34" s="184" customFormat="1" ht="69.900000000000006" customHeight="1" x14ac:dyDescent="0.2">
      <c r="A75" s="267"/>
      <c r="B75" s="188">
        <v>60</v>
      </c>
      <c r="C75" s="237"/>
      <c r="D75" s="237"/>
      <c r="E75" s="237"/>
      <c r="F75" s="237"/>
      <c r="G75" s="432"/>
      <c r="H75" s="433"/>
      <c r="I75" s="157"/>
      <c r="J75" s="157"/>
      <c r="K75" s="158"/>
      <c r="L75" s="159"/>
      <c r="M75" s="157"/>
      <c r="N75" s="157"/>
      <c r="O75" s="160"/>
      <c r="P75" s="160"/>
      <c r="Q75" s="161" t="str">
        <f>IFERROR(VLOOKUP(O75,Risk.Matrix,MATCH(P75,Data!$P$59:$U$59,0),FALSE),"")</f>
        <v/>
      </c>
      <c r="R75" s="237"/>
      <c r="S75" s="158"/>
      <c r="T75" s="162"/>
      <c r="U75" s="186"/>
      <c r="V75" s="160"/>
      <c r="W75" s="160"/>
      <c r="X75" s="161" t="str">
        <f>IFERROR(VLOOKUP(V75,Risk.Matrix,MATCH(W75,Data!$P$59:$U$59,0),FALSE),"")</f>
        <v/>
      </c>
      <c r="Y75" s="158"/>
      <c r="Z75" s="160"/>
      <c r="AA75" s="237"/>
      <c r="AB75" s="158"/>
      <c r="AC75" s="160"/>
      <c r="AD75" s="240"/>
      <c r="AE75" s="241"/>
      <c r="AF75" s="268"/>
      <c r="AG75" s="270"/>
      <c r="AH75" s="267"/>
    </row>
    <row r="76" spans="1:34" s="184" customFormat="1" ht="69.900000000000006" customHeight="1" x14ac:dyDescent="0.2">
      <c r="A76" s="267"/>
      <c r="B76" s="188">
        <v>61</v>
      </c>
      <c r="C76" s="237"/>
      <c r="D76" s="237"/>
      <c r="E76" s="237"/>
      <c r="F76" s="237"/>
      <c r="G76" s="432"/>
      <c r="H76" s="433"/>
      <c r="I76" s="157"/>
      <c r="J76" s="157"/>
      <c r="K76" s="158"/>
      <c r="L76" s="159"/>
      <c r="M76" s="157"/>
      <c r="N76" s="157"/>
      <c r="O76" s="160"/>
      <c r="P76" s="160"/>
      <c r="Q76" s="161" t="str">
        <f>IFERROR(VLOOKUP(O76,Risk.Matrix,MATCH(P76,Data!$P$59:$U$59,0),FALSE),"")</f>
        <v/>
      </c>
      <c r="R76" s="237"/>
      <c r="S76" s="158"/>
      <c r="T76" s="162"/>
      <c r="U76" s="186"/>
      <c r="V76" s="160"/>
      <c r="W76" s="160"/>
      <c r="X76" s="161" t="str">
        <f>IFERROR(VLOOKUP(V76,Risk.Matrix,MATCH(W76,Data!$P$59:$U$59,0),FALSE),"")</f>
        <v/>
      </c>
      <c r="Y76" s="158"/>
      <c r="Z76" s="160"/>
      <c r="AA76" s="237"/>
      <c r="AB76" s="158"/>
      <c r="AC76" s="160"/>
      <c r="AD76" s="240"/>
      <c r="AE76" s="241"/>
      <c r="AF76" s="268"/>
      <c r="AG76" s="270"/>
      <c r="AH76" s="267"/>
    </row>
    <row r="77" spans="1:34" s="184" customFormat="1" ht="69.900000000000006" customHeight="1" x14ac:dyDescent="0.2">
      <c r="A77" s="267">
        <v>8</v>
      </c>
      <c r="B77" s="188">
        <v>62</v>
      </c>
      <c r="C77" s="237"/>
      <c r="D77" s="237"/>
      <c r="E77" s="237"/>
      <c r="F77" s="237"/>
      <c r="G77" s="419"/>
      <c r="H77" s="419"/>
      <c r="I77" s="157"/>
      <c r="J77" s="157"/>
      <c r="K77" s="158"/>
      <c r="L77" s="159"/>
      <c r="M77" s="157"/>
      <c r="N77" s="157"/>
      <c r="O77" s="160"/>
      <c r="P77" s="160"/>
      <c r="Q77" s="161" t="str">
        <f>IFERROR(VLOOKUP(O77,Risk.Matrix,MATCH(P77,Data!$P$59:$U$59,0),FALSE),"")</f>
        <v/>
      </c>
      <c r="R77" s="237"/>
      <c r="S77" s="158"/>
      <c r="T77" s="162"/>
      <c r="U77" s="186"/>
      <c r="V77" s="160"/>
      <c r="W77" s="160"/>
      <c r="X77" s="161" t="str">
        <f>IFERROR(VLOOKUP(V77,Risk.Matrix,MATCH(W77,Data!$P$59:$U$59,0),FALSE),"")</f>
        <v/>
      </c>
      <c r="Y77" s="158"/>
      <c r="Z77" s="160"/>
      <c r="AA77" s="237"/>
      <c r="AB77" s="158"/>
      <c r="AC77" s="160"/>
      <c r="AD77" s="240"/>
      <c r="AE77" s="241"/>
      <c r="AF77" s="268"/>
      <c r="AG77" s="270"/>
      <c r="AH77" s="267"/>
    </row>
    <row r="78" spans="1:34" s="184" customFormat="1" ht="69.900000000000006" customHeight="1" x14ac:dyDescent="0.2">
      <c r="A78" s="267">
        <v>14</v>
      </c>
      <c r="B78" s="188">
        <v>63</v>
      </c>
      <c r="C78" s="237"/>
      <c r="D78" s="237"/>
      <c r="E78" s="237"/>
      <c r="F78" s="237"/>
      <c r="G78" s="419"/>
      <c r="H78" s="419"/>
      <c r="I78" s="157"/>
      <c r="J78" s="157"/>
      <c r="K78" s="158"/>
      <c r="L78" s="159"/>
      <c r="M78" s="157"/>
      <c r="N78" s="157"/>
      <c r="O78" s="160"/>
      <c r="P78" s="160"/>
      <c r="Q78" s="161" t="str">
        <f>IFERROR(VLOOKUP(O78,Risk.Matrix,MATCH(P78,Data!$P$59:$U$59,0),FALSE),"")</f>
        <v/>
      </c>
      <c r="R78" s="237"/>
      <c r="S78" s="158"/>
      <c r="T78" s="162"/>
      <c r="U78" s="186"/>
      <c r="V78" s="160"/>
      <c r="W78" s="160"/>
      <c r="X78" s="161" t="str">
        <f>IFERROR(VLOOKUP(V78,Risk.Matrix,MATCH(W78,Data!$P$59:$U$59,0),FALSE),"")</f>
        <v/>
      </c>
      <c r="Y78" s="158"/>
      <c r="Z78" s="160"/>
      <c r="AA78" s="237"/>
      <c r="AB78" s="158"/>
      <c r="AC78" s="160"/>
      <c r="AD78" s="240"/>
      <c r="AE78" s="241"/>
      <c r="AF78" s="268"/>
      <c r="AG78" s="270"/>
      <c r="AH78" s="267"/>
    </row>
    <row r="79" spans="1:34" s="184" customFormat="1" ht="69.900000000000006" customHeight="1" x14ac:dyDescent="0.2">
      <c r="A79" s="267">
        <v>17</v>
      </c>
      <c r="B79" s="188">
        <v>64</v>
      </c>
      <c r="C79" s="237"/>
      <c r="D79" s="237"/>
      <c r="E79" s="237"/>
      <c r="F79" s="237"/>
      <c r="G79" s="419"/>
      <c r="H79" s="419"/>
      <c r="I79" s="157"/>
      <c r="J79" s="157"/>
      <c r="K79" s="158"/>
      <c r="L79" s="159"/>
      <c r="M79" s="157"/>
      <c r="N79" s="157"/>
      <c r="O79" s="160"/>
      <c r="P79" s="160"/>
      <c r="Q79" s="161" t="str">
        <f>IFERROR(VLOOKUP(O79,Risk.Matrix,MATCH(P79,Data!$P$59:$U$59,0),FALSE),"")</f>
        <v/>
      </c>
      <c r="R79" s="237"/>
      <c r="S79" s="158"/>
      <c r="T79" s="162"/>
      <c r="U79" s="186"/>
      <c r="V79" s="160"/>
      <c r="W79" s="160"/>
      <c r="X79" s="161" t="str">
        <f>IFERROR(VLOOKUP(V79,Risk.Matrix,MATCH(W79,Data!$P$59:$U$59,0),FALSE),"")</f>
        <v/>
      </c>
      <c r="Y79" s="158"/>
      <c r="Z79" s="160"/>
      <c r="AA79" s="237"/>
      <c r="AB79" s="158"/>
      <c r="AC79" s="160"/>
      <c r="AD79" s="240"/>
      <c r="AE79" s="241"/>
      <c r="AF79" s="268"/>
      <c r="AG79" s="270"/>
      <c r="AH79" s="267"/>
    </row>
    <row r="80" spans="1:34" s="184" customFormat="1" ht="69.900000000000006" customHeight="1" x14ac:dyDescent="0.2">
      <c r="A80" s="267">
        <v>18</v>
      </c>
      <c r="B80" s="188">
        <v>65</v>
      </c>
      <c r="C80" s="237"/>
      <c r="D80" s="237"/>
      <c r="E80" s="237"/>
      <c r="F80" s="237"/>
      <c r="G80" s="419"/>
      <c r="H80" s="419"/>
      <c r="I80" s="157"/>
      <c r="J80" s="157"/>
      <c r="K80" s="158"/>
      <c r="L80" s="159"/>
      <c r="M80" s="157"/>
      <c r="N80" s="157"/>
      <c r="O80" s="160"/>
      <c r="P80" s="160"/>
      <c r="Q80" s="161" t="str">
        <f>IFERROR(VLOOKUP(O80,Risk.Matrix,MATCH(P80,Data!$P$59:$U$59,0),FALSE),"")</f>
        <v/>
      </c>
      <c r="R80" s="237"/>
      <c r="S80" s="158"/>
      <c r="T80" s="162"/>
      <c r="U80" s="186"/>
      <c r="V80" s="160"/>
      <c r="W80" s="160"/>
      <c r="X80" s="161" t="str">
        <f>IFERROR(VLOOKUP(V80,Risk.Matrix,MATCH(W80,Data!$P$59:$U$59,0),FALSE),"")</f>
        <v/>
      </c>
      <c r="Y80" s="158"/>
      <c r="Z80" s="160"/>
      <c r="AA80" s="237"/>
      <c r="AB80" s="158"/>
      <c r="AC80" s="160"/>
      <c r="AD80" s="240"/>
      <c r="AE80" s="241"/>
      <c r="AF80" s="268"/>
      <c r="AG80" s="270"/>
      <c r="AH80" s="267"/>
    </row>
    <row r="81" spans="1:34" s="184" customFormat="1" ht="69.900000000000006" customHeight="1" x14ac:dyDescent="0.2">
      <c r="A81" s="267"/>
      <c r="B81" s="188">
        <v>66</v>
      </c>
      <c r="C81" s="237"/>
      <c r="D81" s="237"/>
      <c r="E81" s="237"/>
      <c r="F81" s="237"/>
      <c r="G81" s="419"/>
      <c r="H81" s="419"/>
      <c r="I81" s="157"/>
      <c r="J81" s="157"/>
      <c r="K81" s="158"/>
      <c r="L81" s="159"/>
      <c r="M81" s="157"/>
      <c r="N81" s="157"/>
      <c r="O81" s="160"/>
      <c r="P81" s="160"/>
      <c r="Q81" s="161" t="str">
        <f>IFERROR(VLOOKUP(O81,Risk.Matrix,MATCH(P81,Data!$P$59:$U$59,0),FALSE),"")</f>
        <v/>
      </c>
      <c r="R81" s="237"/>
      <c r="S81" s="158"/>
      <c r="T81" s="162"/>
      <c r="U81" s="186"/>
      <c r="V81" s="160"/>
      <c r="W81" s="160"/>
      <c r="X81" s="161" t="str">
        <f>IFERROR(VLOOKUP(V81,Risk.Matrix,MATCH(W81,Data!$P$59:$U$59,0),FALSE),"")</f>
        <v/>
      </c>
      <c r="Y81" s="158"/>
      <c r="Z81" s="160"/>
      <c r="AA81" s="237"/>
      <c r="AB81" s="158"/>
      <c r="AC81" s="160"/>
      <c r="AD81" s="240"/>
      <c r="AE81" s="241"/>
      <c r="AF81" s="268"/>
      <c r="AG81" s="270"/>
      <c r="AH81" s="267"/>
    </row>
    <row r="82" spans="1:34" s="184" customFormat="1" ht="69.900000000000006" customHeight="1" x14ac:dyDescent="0.2">
      <c r="A82" s="267"/>
      <c r="B82" s="188">
        <v>67</v>
      </c>
      <c r="C82" s="237"/>
      <c r="D82" s="237"/>
      <c r="E82" s="237"/>
      <c r="F82" s="237"/>
      <c r="G82" s="419"/>
      <c r="H82" s="419"/>
      <c r="I82" s="157"/>
      <c r="J82" s="157"/>
      <c r="K82" s="158"/>
      <c r="L82" s="159"/>
      <c r="M82" s="157"/>
      <c r="N82" s="157"/>
      <c r="O82" s="160"/>
      <c r="P82" s="160"/>
      <c r="Q82" s="161" t="str">
        <f>IFERROR(VLOOKUP(O82,Risk.Matrix,MATCH(P82,Data!$P$59:$U$59,0),FALSE),"")</f>
        <v/>
      </c>
      <c r="R82" s="237"/>
      <c r="S82" s="158"/>
      <c r="T82" s="162"/>
      <c r="U82" s="186"/>
      <c r="V82" s="160"/>
      <c r="W82" s="160"/>
      <c r="X82" s="161" t="str">
        <f>IFERROR(VLOOKUP(V82,Risk.Matrix,MATCH(W82,Data!$P$59:$U$59,0),FALSE),"")</f>
        <v/>
      </c>
      <c r="Y82" s="158"/>
      <c r="Z82" s="160"/>
      <c r="AA82" s="237"/>
      <c r="AB82" s="158"/>
      <c r="AC82" s="160"/>
      <c r="AD82" s="240"/>
      <c r="AE82" s="241"/>
      <c r="AF82" s="268"/>
      <c r="AG82" s="270"/>
      <c r="AH82" s="267"/>
    </row>
    <row r="83" spans="1:34" s="184" customFormat="1" ht="69.900000000000006" customHeight="1" x14ac:dyDescent="0.2">
      <c r="A83" s="267">
        <v>16</v>
      </c>
      <c r="B83" s="188">
        <v>68</v>
      </c>
      <c r="C83" s="237"/>
      <c r="D83" s="237"/>
      <c r="E83" s="237"/>
      <c r="F83" s="237"/>
      <c r="G83" s="419"/>
      <c r="H83" s="419"/>
      <c r="I83" s="157"/>
      <c r="J83" s="157"/>
      <c r="K83" s="158"/>
      <c r="L83" s="159"/>
      <c r="M83" s="157"/>
      <c r="N83" s="157"/>
      <c r="O83" s="160"/>
      <c r="P83" s="160"/>
      <c r="Q83" s="161" t="str">
        <f>IFERROR(VLOOKUP(O83,Risk.Matrix,MATCH(P83,Data!$P$59:$U$59,0),FALSE),"")</f>
        <v/>
      </c>
      <c r="R83" s="237"/>
      <c r="S83" s="158"/>
      <c r="T83" s="162"/>
      <c r="U83" s="186"/>
      <c r="V83" s="160"/>
      <c r="W83" s="160"/>
      <c r="X83" s="161" t="str">
        <f>IFERROR(VLOOKUP(V83,Risk.Matrix,MATCH(W83,Data!$P$59:$U$59,0),FALSE),"")</f>
        <v/>
      </c>
      <c r="Y83" s="158"/>
      <c r="Z83" s="160"/>
      <c r="AA83" s="237"/>
      <c r="AB83" s="158"/>
      <c r="AC83" s="160"/>
      <c r="AD83" s="240"/>
      <c r="AE83" s="241"/>
      <c r="AF83" s="268"/>
      <c r="AG83" s="270"/>
      <c r="AH83" s="267"/>
    </row>
    <row r="84" spans="1:34" s="184" customFormat="1" ht="69.900000000000006" customHeight="1" x14ac:dyDescent="0.2">
      <c r="A84" s="267"/>
      <c r="B84" s="188">
        <v>69</v>
      </c>
      <c r="C84" s="237"/>
      <c r="D84" s="237"/>
      <c r="E84" s="237"/>
      <c r="F84" s="237"/>
      <c r="G84" s="419"/>
      <c r="H84" s="419"/>
      <c r="I84" s="157"/>
      <c r="J84" s="157"/>
      <c r="K84" s="158"/>
      <c r="L84" s="159"/>
      <c r="M84" s="157"/>
      <c r="N84" s="157"/>
      <c r="O84" s="160"/>
      <c r="P84" s="160"/>
      <c r="Q84" s="161" t="str">
        <f>IFERROR(VLOOKUP(O84,Risk.Matrix,MATCH(P84,Data!$P$59:$U$59,0),FALSE),"")</f>
        <v/>
      </c>
      <c r="R84" s="237"/>
      <c r="S84" s="158"/>
      <c r="T84" s="162"/>
      <c r="U84" s="186"/>
      <c r="V84" s="160"/>
      <c r="W84" s="160"/>
      <c r="X84" s="161" t="str">
        <f>IFERROR(VLOOKUP(V84,Risk.Matrix,MATCH(W84,Data!$P$59:$U$59,0),FALSE),"")</f>
        <v/>
      </c>
      <c r="Y84" s="158"/>
      <c r="Z84" s="160"/>
      <c r="AA84" s="237"/>
      <c r="AB84" s="158"/>
      <c r="AC84" s="160"/>
      <c r="AD84" s="240"/>
      <c r="AE84" s="241"/>
      <c r="AF84" s="268"/>
      <c r="AG84" s="270"/>
      <c r="AH84" s="267"/>
    </row>
    <row r="85" spans="1:34" s="184" customFormat="1" ht="69.900000000000006" customHeight="1" x14ac:dyDescent="0.2">
      <c r="A85" s="267"/>
      <c r="B85" s="188">
        <v>70</v>
      </c>
      <c r="C85" s="237"/>
      <c r="D85" s="237"/>
      <c r="E85" s="237"/>
      <c r="F85" s="237"/>
      <c r="G85" s="419"/>
      <c r="H85" s="419"/>
      <c r="I85" s="157"/>
      <c r="J85" s="157"/>
      <c r="K85" s="158"/>
      <c r="L85" s="159"/>
      <c r="M85" s="157"/>
      <c r="N85" s="157"/>
      <c r="O85" s="160"/>
      <c r="P85" s="160"/>
      <c r="Q85" s="161" t="str">
        <f>IFERROR(VLOOKUP(O85,Risk.Matrix,MATCH(P85,Data!$P$59:$U$59,0),FALSE),"")</f>
        <v/>
      </c>
      <c r="R85" s="237"/>
      <c r="S85" s="158"/>
      <c r="T85" s="162"/>
      <c r="U85" s="186"/>
      <c r="V85" s="160"/>
      <c r="W85" s="160"/>
      <c r="X85" s="161" t="str">
        <f>IFERROR(VLOOKUP(V85,Risk.Matrix,MATCH(W85,Data!$P$59:$U$59,0),FALSE),"")</f>
        <v/>
      </c>
      <c r="Y85" s="158"/>
      <c r="Z85" s="160"/>
      <c r="AA85" s="237"/>
      <c r="AB85" s="158"/>
      <c r="AC85" s="160"/>
      <c r="AD85" s="240"/>
      <c r="AE85" s="241"/>
      <c r="AF85" s="268"/>
      <c r="AG85" s="270"/>
      <c r="AH85" s="267"/>
    </row>
    <row r="86" spans="1:34" s="184" customFormat="1" ht="69.900000000000006" customHeight="1" x14ac:dyDescent="0.2">
      <c r="A86" s="267"/>
      <c r="B86" s="188">
        <v>71</v>
      </c>
      <c r="C86" s="237"/>
      <c r="D86" s="237"/>
      <c r="E86" s="237"/>
      <c r="F86" s="237"/>
      <c r="G86" s="419"/>
      <c r="H86" s="419"/>
      <c r="I86" s="157"/>
      <c r="J86" s="157"/>
      <c r="K86" s="158"/>
      <c r="L86" s="159"/>
      <c r="M86" s="157"/>
      <c r="N86" s="157"/>
      <c r="O86" s="160"/>
      <c r="P86" s="160"/>
      <c r="Q86" s="161" t="str">
        <f>IFERROR(VLOOKUP(O86,Risk.Matrix,MATCH(P86,Data!$P$59:$U$59,0),FALSE),"")</f>
        <v/>
      </c>
      <c r="R86" s="237"/>
      <c r="S86" s="158"/>
      <c r="T86" s="162"/>
      <c r="U86" s="186"/>
      <c r="V86" s="160"/>
      <c r="W86" s="160"/>
      <c r="X86" s="161" t="str">
        <f>IFERROR(VLOOKUP(V86,Risk.Matrix,MATCH(W86,Data!$P$59:$U$59,0),FALSE),"")</f>
        <v/>
      </c>
      <c r="Y86" s="158"/>
      <c r="Z86" s="160"/>
      <c r="AA86" s="237"/>
      <c r="AB86" s="158"/>
      <c r="AC86" s="160"/>
      <c r="AD86" s="240"/>
      <c r="AE86" s="241"/>
      <c r="AF86" s="268"/>
      <c r="AG86" s="270"/>
      <c r="AH86" s="267"/>
    </row>
    <row r="87" spans="1:34" s="184" customFormat="1" ht="69.900000000000006" customHeight="1" x14ac:dyDescent="0.2">
      <c r="A87" s="267"/>
      <c r="B87" s="188">
        <v>72</v>
      </c>
      <c r="C87" s="237"/>
      <c r="D87" s="237"/>
      <c r="E87" s="237"/>
      <c r="F87" s="237"/>
      <c r="G87" s="419"/>
      <c r="H87" s="419"/>
      <c r="I87" s="157"/>
      <c r="J87" s="157"/>
      <c r="K87" s="158"/>
      <c r="L87" s="159"/>
      <c r="M87" s="157"/>
      <c r="N87" s="157"/>
      <c r="O87" s="160"/>
      <c r="P87" s="160"/>
      <c r="Q87" s="161" t="str">
        <f>IFERROR(VLOOKUP(O87,Risk.Matrix,MATCH(P87,Data!$P$59:$U$59,0),FALSE),"")</f>
        <v/>
      </c>
      <c r="R87" s="237"/>
      <c r="S87" s="158"/>
      <c r="T87" s="162"/>
      <c r="U87" s="186"/>
      <c r="V87" s="160"/>
      <c r="W87" s="160"/>
      <c r="X87" s="161" t="str">
        <f>IFERROR(VLOOKUP(V87,Risk.Matrix,MATCH(W87,Data!$P$59:$U$59,0),FALSE),"")</f>
        <v/>
      </c>
      <c r="Y87" s="158"/>
      <c r="Z87" s="160"/>
      <c r="AA87" s="237"/>
      <c r="AB87" s="158"/>
      <c r="AC87" s="160"/>
      <c r="AD87" s="240"/>
      <c r="AE87" s="241"/>
      <c r="AF87" s="268"/>
      <c r="AG87" s="270"/>
      <c r="AH87" s="267"/>
    </row>
    <row r="88" spans="1:34" s="184" customFormat="1" ht="69.900000000000006" customHeight="1" x14ac:dyDescent="0.2">
      <c r="A88" s="267"/>
      <c r="B88" s="188">
        <v>73</v>
      </c>
      <c r="C88" s="237"/>
      <c r="D88" s="237"/>
      <c r="E88" s="237"/>
      <c r="F88" s="237"/>
      <c r="G88" s="419"/>
      <c r="H88" s="419"/>
      <c r="I88" s="157"/>
      <c r="J88" s="157"/>
      <c r="K88" s="158"/>
      <c r="L88" s="159"/>
      <c r="M88" s="157"/>
      <c r="N88" s="157"/>
      <c r="O88" s="160"/>
      <c r="P88" s="160"/>
      <c r="Q88" s="161" t="str">
        <f>IFERROR(VLOOKUP(O88,Risk.Matrix,MATCH(P88,Data!$P$59:$U$59,0),FALSE),"")</f>
        <v/>
      </c>
      <c r="R88" s="237"/>
      <c r="S88" s="158"/>
      <c r="T88" s="162"/>
      <c r="U88" s="186"/>
      <c r="V88" s="160"/>
      <c r="W88" s="160"/>
      <c r="X88" s="161" t="str">
        <f>IFERROR(VLOOKUP(V88,Risk.Matrix,MATCH(W88,Data!$P$59:$U$59,0),FALSE),"")</f>
        <v/>
      </c>
      <c r="Y88" s="158"/>
      <c r="Z88" s="160"/>
      <c r="AA88" s="237"/>
      <c r="AB88" s="158"/>
      <c r="AC88" s="160"/>
      <c r="AD88" s="240"/>
      <c r="AE88" s="241"/>
      <c r="AF88" s="268"/>
      <c r="AG88" s="270"/>
      <c r="AH88" s="267"/>
    </row>
    <row r="89" spans="1:34" s="184" customFormat="1" ht="69.900000000000006" customHeight="1" x14ac:dyDescent="0.2">
      <c r="A89" s="267"/>
      <c r="B89" s="188">
        <v>74</v>
      </c>
      <c r="C89" s="237"/>
      <c r="D89" s="237"/>
      <c r="E89" s="237"/>
      <c r="F89" s="237"/>
      <c r="G89" s="419"/>
      <c r="H89" s="419"/>
      <c r="I89" s="157"/>
      <c r="J89" s="157"/>
      <c r="K89" s="158"/>
      <c r="L89" s="159"/>
      <c r="M89" s="157"/>
      <c r="N89" s="157"/>
      <c r="O89" s="160"/>
      <c r="P89" s="160"/>
      <c r="Q89" s="161" t="str">
        <f>IFERROR(VLOOKUP(O89,Risk.Matrix,MATCH(P89,Data!$P$59:$U$59,0),FALSE),"")</f>
        <v/>
      </c>
      <c r="R89" s="237"/>
      <c r="S89" s="158"/>
      <c r="T89" s="162"/>
      <c r="U89" s="186"/>
      <c r="V89" s="160"/>
      <c r="W89" s="160"/>
      <c r="X89" s="161" t="str">
        <f>IFERROR(VLOOKUP(V89,Risk.Matrix,MATCH(W89,Data!$P$59:$U$59,0),FALSE),"")</f>
        <v/>
      </c>
      <c r="Y89" s="158"/>
      <c r="Z89" s="160"/>
      <c r="AA89" s="237"/>
      <c r="AB89" s="158"/>
      <c r="AC89" s="160"/>
      <c r="AD89" s="240"/>
      <c r="AE89" s="241"/>
      <c r="AF89" s="268"/>
      <c r="AG89" s="270"/>
      <c r="AH89" s="267"/>
    </row>
    <row r="90" spans="1:34" s="184" customFormat="1" ht="69.900000000000006" customHeight="1" x14ac:dyDescent="0.2">
      <c r="A90" s="267"/>
      <c r="B90" s="188">
        <v>75</v>
      </c>
      <c r="C90" s="237"/>
      <c r="D90" s="237"/>
      <c r="E90" s="237"/>
      <c r="F90" s="237"/>
      <c r="G90" s="419"/>
      <c r="H90" s="419"/>
      <c r="I90" s="157"/>
      <c r="J90" s="157"/>
      <c r="K90" s="158"/>
      <c r="L90" s="159"/>
      <c r="M90" s="157"/>
      <c r="N90" s="157"/>
      <c r="O90" s="160"/>
      <c r="P90" s="160"/>
      <c r="Q90" s="161" t="str">
        <f>IFERROR(VLOOKUP(O90,Risk.Matrix,MATCH(P90,Data!$P$59:$U$59,0),FALSE),"")</f>
        <v/>
      </c>
      <c r="R90" s="237"/>
      <c r="S90" s="158"/>
      <c r="T90" s="162"/>
      <c r="U90" s="186"/>
      <c r="V90" s="160"/>
      <c r="W90" s="160"/>
      <c r="X90" s="161" t="str">
        <f>IFERROR(VLOOKUP(V90,Risk.Matrix,MATCH(W90,Data!$P$59:$U$59,0),FALSE),"")</f>
        <v/>
      </c>
      <c r="Y90" s="158"/>
      <c r="Z90" s="160"/>
      <c r="AA90" s="237"/>
      <c r="AB90" s="158"/>
      <c r="AC90" s="160"/>
      <c r="AD90" s="240"/>
      <c r="AE90" s="241"/>
      <c r="AF90" s="268"/>
      <c r="AG90" s="270"/>
      <c r="AH90" s="267"/>
    </row>
    <row r="91" spans="1:34" s="184" customFormat="1" ht="69.900000000000006" customHeight="1" x14ac:dyDescent="0.2">
      <c r="A91" s="267"/>
      <c r="B91" s="188">
        <v>76</v>
      </c>
      <c r="C91" s="237"/>
      <c r="D91" s="237"/>
      <c r="E91" s="237"/>
      <c r="F91" s="237"/>
      <c r="G91" s="419"/>
      <c r="H91" s="419"/>
      <c r="I91" s="157"/>
      <c r="J91" s="157"/>
      <c r="K91" s="158"/>
      <c r="L91" s="159"/>
      <c r="M91" s="157"/>
      <c r="N91" s="157"/>
      <c r="O91" s="160"/>
      <c r="P91" s="160"/>
      <c r="Q91" s="161" t="str">
        <f>IFERROR(VLOOKUP(O91,Risk.Matrix,MATCH(P91,Data!$P$59:$U$59,0),FALSE),"")</f>
        <v/>
      </c>
      <c r="R91" s="237"/>
      <c r="S91" s="158"/>
      <c r="T91" s="162"/>
      <c r="U91" s="186"/>
      <c r="V91" s="160"/>
      <c r="W91" s="160"/>
      <c r="X91" s="161" t="str">
        <f>IFERROR(VLOOKUP(V91,Risk.Matrix,MATCH(W91,Data!$P$59:$U$59,0),FALSE),"")</f>
        <v/>
      </c>
      <c r="Y91" s="158"/>
      <c r="Z91" s="160"/>
      <c r="AA91" s="237"/>
      <c r="AB91" s="158"/>
      <c r="AC91" s="160"/>
      <c r="AD91" s="240"/>
      <c r="AE91" s="241"/>
      <c r="AF91" s="268"/>
      <c r="AG91" s="270"/>
      <c r="AH91" s="267"/>
    </row>
    <row r="92" spans="1:34" s="184" customFormat="1" ht="69.900000000000006" customHeight="1" x14ac:dyDescent="0.2">
      <c r="A92" s="267"/>
      <c r="B92" s="188">
        <v>77</v>
      </c>
      <c r="C92" s="237"/>
      <c r="D92" s="237"/>
      <c r="E92" s="237"/>
      <c r="F92" s="237"/>
      <c r="G92" s="419"/>
      <c r="H92" s="419"/>
      <c r="I92" s="157"/>
      <c r="J92" s="157"/>
      <c r="K92" s="158"/>
      <c r="L92" s="159"/>
      <c r="M92" s="157"/>
      <c r="N92" s="157"/>
      <c r="O92" s="160"/>
      <c r="P92" s="160"/>
      <c r="Q92" s="161" t="str">
        <f>IFERROR(VLOOKUP(O92,Risk.Matrix,MATCH(P92,Data!$P$59:$U$59,0),FALSE),"")</f>
        <v/>
      </c>
      <c r="R92" s="237"/>
      <c r="S92" s="158"/>
      <c r="T92" s="162"/>
      <c r="U92" s="186"/>
      <c r="V92" s="160"/>
      <c r="W92" s="160"/>
      <c r="X92" s="161" t="str">
        <f>IFERROR(VLOOKUP(V92,Risk.Matrix,MATCH(W92,Data!$P$59:$U$59,0),FALSE),"")</f>
        <v/>
      </c>
      <c r="Y92" s="158"/>
      <c r="Z92" s="160"/>
      <c r="AA92" s="237"/>
      <c r="AB92" s="158"/>
      <c r="AC92" s="160"/>
      <c r="AD92" s="240"/>
      <c r="AE92" s="241"/>
      <c r="AF92" s="268"/>
      <c r="AG92" s="270"/>
      <c r="AH92" s="267"/>
    </row>
    <row r="93" spans="1:34" s="184" customFormat="1" ht="69.900000000000006" customHeight="1" x14ac:dyDescent="0.2">
      <c r="A93" s="267"/>
      <c r="B93" s="188">
        <v>78</v>
      </c>
      <c r="C93" s="237"/>
      <c r="D93" s="237"/>
      <c r="E93" s="237"/>
      <c r="F93" s="237"/>
      <c r="G93" s="419"/>
      <c r="H93" s="419"/>
      <c r="I93" s="157"/>
      <c r="J93" s="157"/>
      <c r="K93" s="158"/>
      <c r="L93" s="159"/>
      <c r="M93" s="157"/>
      <c r="N93" s="157"/>
      <c r="O93" s="160"/>
      <c r="P93" s="160"/>
      <c r="Q93" s="161" t="str">
        <f>IFERROR(VLOOKUP(O93,Risk.Matrix,MATCH(P93,Data!$P$59:$U$59,0),FALSE),"")</f>
        <v/>
      </c>
      <c r="R93" s="237"/>
      <c r="S93" s="158"/>
      <c r="T93" s="162"/>
      <c r="U93" s="186"/>
      <c r="V93" s="160"/>
      <c r="W93" s="160"/>
      <c r="X93" s="161" t="str">
        <f>IFERROR(VLOOKUP(V93,Risk.Matrix,MATCH(W93,Data!$P$59:$U$59,0),FALSE),"")</f>
        <v/>
      </c>
      <c r="Y93" s="158"/>
      <c r="Z93" s="160"/>
      <c r="AA93" s="237"/>
      <c r="AB93" s="158"/>
      <c r="AC93" s="160"/>
      <c r="AD93" s="240"/>
      <c r="AE93" s="241"/>
      <c r="AF93" s="268"/>
      <c r="AG93" s="270"/>
      <c r="AH93" s="267"/>
    </row>
    <row r="94" spans="1:34" s="184" customFormat="1" ht="69.900000000000006" customHeight="1" x14ac:dyDescent="0.2">
      <c r="A94" s="267"/>
      <c r="B94" s="188">
        <v>79</v>
      </c>
      <c r="C94" s="237"/>
      <c r="D94" s="237"/>
      <c r="E94" s="237"/>
      <c r="F94" s="237"/>
      <c r="G94" s="419"/>
      <c r="H94" s="419"/>
      <c r="I94" s="157"/>
      <c r="J94" s="157"/>
      <c r="K94" s="158"/>
      <c r="L94" s="159"/>
      <c r="M94" s="157"/>
      <c r="N94" s="157"/>
      <c r="O94" s="160"/>
      <c r="P94" s="160"/>
      <c r="Q94" s="161" t="str">
        <f>IFERROR(VLOOKUP(O94,Risk.Matrix,MATCH(P94,Data!$P$59:$U$59,0),FALSE),"")</f>
        <v/>
      </c>
      <c r="R94" s="237"/>
      <c r="S94" s="158"/>
      <c r="T94" s="162"/>
      <c r="U94" s="186"/>
      <c r="V94" s="160"/>
      <c r="W94" s="160"/>
      <c r="X94" s="161" t="str">
        <f>IFERROR(VLOOKUP(V94,Risk.Matrix,MATCH(W94,Data!$P$59:$U$59,0),FALSE),"")</f>
        <v/>
      </c>
      <c r="Y94" s="158"/>
      <c r="Z94" s="160"/>
      <c r="AA94" s="237"/>
      <c r="AB94" s="158"/>
      <c r="AC94" s="160"/>
      <c r="AD94" s="240"/>
      <c r="AE94" s="241"/>
      <c r="AF94" s="268"/>
      <c r="AG94" s="270"/>
      <c r="AH94" s="267"/>
    </row>
    <row r="95" spans="1:34" s="184" customFormat="1" ht="69.900000000000006" customHeight="1" x14ac:dyDescent="0.2">
      <c r="A95" s="267"/>
      <c r="B95" s="188">
        <v>80</v>
      </c>
      <c r="C95" s="237"/>
      <c r="D95" s="237"/>
      <c r="E95" s="237"/>
      <c r="F95" s="237"/>
      <c r="G95" s="419"/>
      <c r="H95" s="419"/>
      <c r="I95" s="157"/>
      <c r="J95" s="157"/>
      <c r="K95" s="158"/>
      <c r="L95" s="159"/>
      <c r="M95" s="157"/>
      <c r="N95" s="157"/>
      <c r="O95" s="160"/>
      <c r="P95" s="160"/>
      <c r="Q95" s="161" t="str">
        <f>IFERROR(VLOOKUP(O95,Risk.Matrix,MATCH(P95,Data!$P$59:$U$59,0),FALSE),"")</f>
        <v/>
      </c>
      <c r="R95" s="237"/>
      <c r="S95" s="158"/>
      <c r="T95" s="162"/>
      <c r="U95" s="186"/>
      <c r="V95" s="160"/>
      <c r="W95" s="160"/>
      <c r="X95" s="161" t="str">
        <f>IFERROR(VLOOKUP(V95,Risk.Matrix,MATCH(W95,Data!$P$59:$U$59,0),FALSE),"")</f>
        <v/>
      </c>
      <c r="Y95" s="158"/>
      <c r="Z95" s="160"/>
      <c r="AA95" s="237"/>
      <c r="AB95" s="158"/>
      <c r="AC95" s="160"/>
      <c r="AD95" s="240"/>
      <c r="AE95" s="241"/>
      <c r="AF95" s="268"/>
      <c r="AG95" s="270"/>
      <c r="AH95" s="267"/>
    </row>
    <row r="96" spans="1:34" s="184" customFormat="1" ht="69.900000000000006" customHeight="1" x14ac:dyDescent="0.2">
      <c r="A96" s="267"/>
      <c r="B96" s="188">
        <v>81</v>
      </c>
      <c r="C96" s="237"/>
      <c r="D96" s="237"/>
      <c r="E96" s="237"/>
      <c r="F96" s="237"/>
      <c r="G96" s="419"/>
      <c r="H96" s="419"/>
      <c r="I96" s="157"/>
      <c r="J96" s="157"/>
      <c r="K96" s="158"/>
      <c r="L96" s="159"/>
      <c r="M96" s="157"/>
      <c r="N96" s="157"/>
      <c r="O96" s="160"/>
      <c r="P96" s="160"/>
      <c r="Q96" s="161" t="str">
        <f>IFERROR(VLOOKUP(O96,Risk.Matrix,MATCH(P96,Data!$P$59:$U$59,0),FALSE),"")</f>
        <v/>
      </c>
      <c r="R96" s="237"/>
      <c r="S96" s="158"/>
      <c r="T96" s="162"/>
      <c r="U96" s="186"/>
      <c r="V96" s="160"/>
      <c r="W96" s="160"/>
      <c r="X96" s="161" t="str">
        <f>IFERROR(VLOOKUP(V96,Risk.Matrix,MATCH(W96,Data!$P$59:$U$59,0),FALSE),"")</f>
        <v/>
      </c>
      <c r="Y96" s="158"/>
      <c r="Z96" s="160"/>
      <c r="AA96" s="237"/>
      <c r="AB96" s="158"/>
      <c r="AC96" s="160"/>
      <c r="AD96" s="240"/>
      <c r="AE96" s="241"/>
      <c r="AF96" s="268"/>
      <c r="AG96" s="270"/>
      <c r="AH96" s="267"/>
    </row>
    <row r="97" spans="1:34" s="184" customFormat="1" ht="69.900000000000006" customHeight="1" x14ac:dyDescent="0.2">
      <c r="A97" s="267"/>
      <c r="B97" s="188">
        <v>82</v>
      </c>
      <c r="C97" s="237"/>
      <c r="D97" s="237"/>
      <c r="E97" s="237"/>
      <c r="F97" s="237"/>
      <c r="G97" s="419"/>
      <c r="H97" s="419"/>
      <c r="I97" s="157"/>
      <c r="J97" s="157"/>
      <c r="K97" s="158"/>
      <c r="L97" s="159"/>
      <c r="M97" s="157"/>
      <c r="N97" s="157"/>
      <c r="O97" s="160"/>
      <c r="P97" s="160"/>
      <c r="Q97" s="161" t="str">
        <f>IFERROR(VLOOKUP(O97,Risk.Matrix,MATCH(P97,Data!$P$59:$U$59,0),FALSE),"")</f>
        <v/>
      </c>
      <c r="R97" s="237"/>
      <c r="S97" s="158"/>
      <c r="T97" s="162"/>
      <c r="U97" s="186"/>
      <c r="V97" s="160"/>
      <c r="W97" s="160"/>
      <c r="X97" s="161" t="str">
        <f>IFERROR(VLOOKUP(V97,Risk.Matrix,MATCH(W97,Data!$P$59:$U$59,0),FALSE),"")</f>
        <v/>
      </c>
      <c r="Y97" s="158"/>
      <c r="Z97" s="160"/>
      <c r="AA97" s="237"/>
      <c r="AB97" s="158"/>
      <c r="AC97" s="160"/>
      <c r="AD97" s="240"/>
      <c r="AE97" s="241"/>
      <c r="AF97" s="268"/>
      <c r="AG97" s="270"/>
      <c r="AH97" s="267"/>
    </row>
    <row r="98" spans="1:34" s="184" customFormat="1" ht="69.900000000000006" customHeight="1" x14ac:dyDescent="0.2">
      <c r="A98" s="267"/>
      <c r="B98" s="188">
        <v>83</v>
      </c>
      <c r="C98" s="237"/>
      <c r="D98" s="237"/>
      <c r="E98" s="237"/>
      <c r="F98" s="237"/>
      <c r="G98" s="419"/>
      <c r="H98" s="419"/>
      <c r="I98" s="157"/>
      <c r="J98" s="157"/>
      <c r="K98" s="158"/>
      <c r="L98" s="159"/>
      <c r="M98" s="157"/>
      <c r="N98" s="157"/>
      <c r="O98" s="160"/>
      <c r="P98" s="160"/>
      <c r="Q98" s="161" t="str">
        <f>IFERROR(VLOOKUP(O98,Risk.Matrix,MATCH(P98,Data!$P$59:$U$59,0),FALSE),"")</f>
        <v/>
      </c>
      <c r="R98" s="237"/>
      <c r="S98" s="158"/>
      <c r="T98" s="162"/>
      <c r="U98" s="186"/>
      <c r="V98" s="160"/>
      <c r="W98" s="160"/>
      <c r="X98" s="161" t="str">
        <f>IFERROR(VLOOKUP(V98,Risk.Matrix,MATCH(W98,Data!$P$59:$U$59,0),FALSE),"")</f>
        <v/>
      </c>
      <c r="Y98" s="158"/>
      <c r="Z98" s="160"/>
      <c r="AA98" s="237"/>
      <c r="AB98" s="158"/>
      <c r="AC98" s="160"/>
      <c r="AD98" s="240"/>
      <c r="AE98" s="241"/>
      <c r="AF98" s="268"/>
      <c r="AG98" s="270"/>
      <c r="AH98" s="267"/>
    </row>
    <row r="99" spans="1:34" s="184" customFormat="1" ht="69.900000000000006" customHeight="1" x14ac:dyDescent="0.2">
      <c r="A99" s="267"/>
      <c r="B99" s="188">
        <v>84</v>
      </c>
      <c r="C99" s="237"/>
      <c r="D99" s="237"/>
      <c r="E99" s="237"/>
      <c r="F99" s="237"/>
      <c r="G99" s="419"/>
      <c r="H99" s="419"/>
      <c r="I99" s="157"/>
      <c r="J99" s="157"/>
      <c r="K99" s="158"/>
      <c r="L99" s="159"/>
      <c r="M99" s="157"/>
      <c r="N99" s="157"/>
      <c r="O99" s="160"/>
      <c r="P99" s="160"/>
      <c r="Q99" s="161" t="str">
        <f>IFERROR(VLOOKUP(O99,Risk.Matrix,MATCH(P99,Data!$P$59:$U$59,0),FALSE),"")</f>
        <v/>
      </c>
      <c r="R99" s="237"/>
      <c r="S99" s="158"/>
      <c r="T99" s="162"/>
      <c r="U99" s="186"/>
      <c r="V99" s="160"/>
      <c r="W99" s="160"/>
      <c r="X99" s="161" t="str">
        <f>IFERROR(VLOOKUP(V99,Risk.Matrix,MATCH(W99,Data!$P$59:$U$59,0),FALSE),"")</f>
        <v/>
      </c>
      <c r="Y99" s="158"/>
      <c r="Z99" s="160"/>
      <c r="AA99" s="237"/>
      <c r="AB99" s="158"/>
      <c r="AC99" s="160"/>
      <c r="AD99" s="240"/>
      <c r="AE99" s="241"/>
      <c r="AF99" s="268"/>
      <c r="AG99" s="270"/>
      <c r="AH99" s="267"/>
    </row>
    <row r="100" spans="1:34" s="184" customFormat="1" ht="69.900000000000006" customHeight="1" x14ac:dyDescent="0.2">
      <c r="A100" s="267"/>
      <c r="B100" s="188">
        <v>85</v>
      </c>
      <c r="C100" s="237"/>
      <c r="D100" s="237"/>
      <c r="E100" s="237"/>
      <c r="F100" s="237"/>
      <c r="G100" s="419"/>
      <c r="H100" s="419"/>
      <c r="I100" s="157"/>
      <c r="J100" s="157"/>
      <c r="K100" s="158"/>
      <c r="L100" s="159"/>
      <c r="M100" s="157"/>
      <c r="N100" s="157"/>
      <c r="O100" s="160"/>
      <c r="P100" s="160"/>
      <c r="Q100" s="161" t="str">
        <f>IFERROR(VLOOKUP(O100,Risk.Matrix,MATCH(P100,Data!$P$59:$U$59,0),FALSE),"")</f>
        <v/>
      </c>
      <c r="R100" s="237"/>
      <c r="S100" s="158"/>
      <c r="T100" s="162"/>
      <c r="U100" s="186"/>
      <c r="V100" s="160"/>
      <c r="W100" s="160"/>
      <c r="X100" s="161" t="str">
        <f>IFERROR(VLOOKUP(V100,Risk.Matrix,MATCH(W100,Data!$P$59:$U$59,0),FALSE),"")</f>
        <v/>
      </c>
      <c r="Y100" s="158"/>
      <c r="Z100" s="160"/>
      <c r="AA100" s="237"/>
      <c r="AB100" s="158"/>
      <c r="AC100" s="160"/>
      <c r="AD100" s="240"/>
      <c r="AE100" s="241"/>
      <c r="AF100" s="268"/>
      <c r="AG100" s="270"/>
      <c r="AH100" s="267"/>
    </row>
    <row r="101" spans="1:34" s="184" customFormat="1" ht="69.900000000000006" customHeight="1" x14ac:dyDescent="0.2">
      <c r="A101" s="267"/>
      <c r="B101" s="188">
        <v>86</v>
      </c>
      <c r="C101" s="237"/>
      <c r="D101" s="237"/>
      <c r="E101" s="237"/>
      <c r="F101" s="237"/>
      <c r="G101" s="419"/>
      <c r="H101" s="419"/>
      <c r="I101" s="157"/>
      <c r="J101" s="157"/>
      <c r="K101" s="158"/>
      <c r="L101" s="159"/>
      <c r="M101" s="157"/>
      <c r="N101" s="157"/>
      <c r="O101" s="160"/>
      <c r="P101" s="160"/>
      <c r="Q101" s="161" t="str">
        <f>IFERROR(VLOOKUP(O101,Risk.Matrix,MATCH(P101,Data!$P$59:$U$59,0),FALSE),"")</f>
        <v/>
      </c>
      <c r="R101" s="237"/>
      <c r="S101" s="158"/>
      <c r="T101" s="162"/>
      <c r="U101" s="186"/>
      <c r="V101" s="160"/>
      <c r="W101" s="160"/>
      <c r="X101" s="161" t="str">
        <f>IFERROR(VLOOKUP(V101,Risk.Matrix,MATCH(W101,Data!$P$59:$U$59,0),FALSE),"")</f>
        <v/>
      </c>
      <c r="Y101" s="158"/>
      <c r="Z101" s="160"/>
      <c r="AA101" s="237"/>
      <c r="AB101" s="158"/>
      <c r="AC101" s="160"/>
      <c r="AD101" s="240"/>
      <c r="AE101" s="241"/>
      <c r="AF101" s="268"/>
      <c r="AG101" s="270"/>
      <c r="AH101" s="267"/>
    </row>
    <row r="102" spans="1:34" s="184" customFormat="1" ht="69.900000000000006" customHeight="1" x14ac:dyDescent="0.2">
      <c r="A102" s="267"/>
      <c r="B102" s="188">
        <v>87</v>
      </c>
      <c r="C102" s="237"/>
      <c r="D102" s="237"/>
      <c r="E102" s="237"/>
      <c r="F102" s="237"/>
      <c r="G102" s="419"/>
      <c r="H102" s="419"/>
      <c r="I102" s="157"/>
      <c r="J102" s="157"/>
      <c r="K102" s="158"/>
      <c r="L102" s="159"/>
      <c r="M102" s="157"/>
      <c r="N102" s="157"/>
      <c r="O102" s="160"/>
      <c r="P102" s="160"/>
      <c r="Q102" s="161" t="str">
        <f>IFERROR(VLOOKUP(O102,Risk.Matrix,MATCH(P102,Data!$P$59:$U$59,0),FALSE),"")</f>
        <v/>
      </c>
      <c r="R102" s="237"/>
      <c r="S102" s="158"/>
      <c r="T102" s="162"/>
      <c r="U102" s="186"/>
      <c r="V102" s="160"/>
      <c r="W102" s="160"/>
      <c r="X102" s="161" t="str">
        <f>IFERROR(VLOOKUP(V102,Risk.Matrix,MATCH(W102,Data!$P$59:$U$59,0),FALSE),"")</f>
        <v/>
      </c>
      <c r="Y102" s="158"/>
      <c r="Z102" s="160"/>
      <c r="AA102" s="237"/>
      <c r="AB102" s="158"/>
      <c r="AC102" s="160"/>
      <c r="AD102" s="240"/>
      <c r="AE102" s="241"/>
      <c r="AF102" s="268"/>
      <c r="AG102" s="270"/>
      <c r="AH102" s="267"/>
    </row>
    <row r="103" spans="1:34" s="184" customFormat="1" ht="69.900000000000006" customHeight="1" x14ac:dyDescent="0.2">
      <c r="A103" s="267"/>
      <c r="B103" s="188">
        <v>88</v>
      </c>
      <c r="C103" s="237"/>
      <c r="D103" s="237"/>
      <c r="E103" s="237"/>
      <c r="F103" s="237"/>
      <c r="G103" s="419"/>
      <c r="H103" s="419"/>
      <c r="I103" s="157"/>
      <c r="J103" s="157"/>
      <c r="K103" s="158"/>
      <c r="L103" s="159"/>
      <c r="M103" s="157"/>
      <c r="N103" s="157"/>
      <c r="O103" s="160"/>
      <c r="P103" s="160"/>
      <c r="Q103" s="161" t="str">
        <f>IFERROR(VLOOKUP(O103,Risk.Matrix,MATCH(P103,Data!$P$59:$U$59,0),FALSE),"")</f>
        <v/>
      </c>
      <c r="R103" s="237"/>
      <c r="S103" s="158"/>
      <c r="T103" s="162"/>
      <c r="U103" s="186"/>
      <c r="V103" s="160"/>
      <c r="W103" s="160"/>
      <c r="X103" s="161" t="str">
        <f>IFERROR(VLOOKUP(V103,Risk.Matrix,MATCH(W103,Data!$P$59:$U$59,0),FALSE),"")</f>
        <v/>
      </c>
      <c r="Y103" s="158"/>
      <c r="Z103" s="160"/>
      <c r="AA103" s="237"/>
      <c r="AB103" s="158"/>
      <c r="AC103" s="160"/>
      <c r="AD103" s="240"/>
      <c r="AE103" s="241"/>
      <c r="AF103" s="268"/>
      <c r="AG103" s="270"/>
      <c r="AH103" s="267"/>
    </row>
    <row r="104" spans="1:34" s="184" customFormat="1" ht="69.900000000000006" customHeight="1" x14ac:dyDescent="0.2">
      <c r="A104" s="267"/>
      <c r="B104" s="188">
        <v>89</v>
      </c>
      <c r="C104" s="237"/>
      <c r="D104" s="237"/>
      <c r="E104" s="237"/>
      <c r="F104" s="237"/>
      <c r="G104" s="419"/>
      <c r="H104" s="419"/>
      <c r="I104" s="157"/>
      <c r="J104" s="157"/>
      <c r="K104" s="158"/>
      <c r="L104" s="159"/>
      <c r="M104" s="157"/>
      <c r="N104" s="157"/>
      <c r="O104" s="160"/>
      <c r="P104" s="160"/>
      <c r="Q104" s="161" t="str">
        <f>IFERROR(VLOOKUP(O104,Risk.Matrix,MATCH(P104,Data!$P$59:$U$59,0),FALSE),"")</f>
        <v/>
      </c>
      <c r="R104" s="237"/>
      <c r="S104" s="158"/>
      <c r="T104" s="162"/>
      <c r="U104" s="186"/>
      <c r="V104" s="160"/>
      <c r="W104" s="160"/>
      <c r="X104" s="161" t="str">
        <f>IFERROR(VLOOKUP(V104,Risk.Matrix,MATCH(W104,Data!$P$59:$U$59,0),FALSE),"")</f>
        <v/>
      </c>
      <c r="Y104" s="158"/>
      <c r="Z104" s="160"/>
      <c r="AA104" s="237"/>
      <c r="AB104" s="158"/>
      <c r="AC104" s="160"/>
      <c r="AD104" s="240"/>
      <c r="AE104" s="241"/>
      <c r="AF104" s="268"/>
      <c r="AG104" s="270"/>
      <c r="AH104" s="267"/>
    </row>
    <row r="105" spans="1:34" s="184" customFormat="1" ht="69.900000000000006" customHeight="1" x14ac:dyDescent="0.2">
      <c r="A105" s="267"/>
      <c r="B105" s="188">
        <v>90</v>
      </c>
      <c r="C105" s="237"/>
      <c r="D105" s="237"/>
      <c r="E105" s="237"/>
      <c r="F105" s="237"/>
      <c r="G105" s="419"/>
      <c r="H105" s="419"/>
      <c r="I105" s="157"/>
      <c r="J105" s="157"/>
      <c r="K105" s="158"/>
      <c r="L105" s="159"/>
      <c r="M105" s="157"/>
      <c r="N105" s="157"/>
      <c r="O105" s="160"/>
      <c r="P105" s="160"/>
      <c r="Q105" s="161" t="str">
        <f>IFERROR(VLOOKUP(O105,Risk.Matrix,MATCH(P105,Data!$P$59:$U$59,0),FALSE),"")</f>
        <v/>
      </c>
      <c r="R105" s="237"/>
      <c r="S105" s="158"/>
      <c r="T105" s="162"/>
      <c r="U105" s="186"/>
      <c r="V105" s="160"/>
      <c r="W105" s="160"/>
      <c r="X105" s="161" t="str">
        <f>IFERROR(VLOOKUP(V105,Risk.Matrix,MATCH(W105,Data!$P$59:$U$59,0),FALSE),"")</f>
        <v/>
      </c>
      <c r="Y105" s="158"/>
      <c r="Z105" s="160"/>
      <c r="AA105" s="237"/>
      <c r="AB105" s="158"/>
      <c r="AC105" s="160"/>
      <c r="AD105" s="240"/>
      <c r="AE105" s="241"/>
      <c r="AF105" s="268"/>
      <c r="AG105" s="270"/>
      <c r="AH105" s="267"/>
    </row>
    <row r="106" spans="1:34" s="184" customFormat="1" ht="69.900000000000006" customHeight="1" x14ac:dyDescent="0.2">
      <c r="A106" s="267"/>
      <c r="B106" s="188">
        <v>91</v>
      </c>
      <c r="C106" s="237"/>
      <c r="D106" s="237"/>
      <c r="E106" s="237"/>
      <c r="F106" s="237"/>
      <c r="G106" s="419"/>
      <c r="H106" s="419"/>
      <c r="I106" s="157"/>
      <c r="J106" s="157"/>
      <c r="K106" s="158"/>
      <c r="L106" s="159"/>
      <c r="M106" s="157"/>
      <c r="N106" s="157"/>
      <c r="O106" s="160"/>
      <c r="P106" s="160"/>
      <c r="Q106" s="161" t="str">
        <f>IFERROR(VLOOKUP(O106,Risk.Matrix,MATCH(P106,Data!$P$59:$U$59,0),FALSE),"")</f>
        <v/>
      </c>
      <c r="R106" s="237"/>
      <c r="S106" s="158"/>
      <c r="T106" s="162"/>
      <c r="U106" s="186"/>
      <c r="V106" s="160"/>
      <c r="W106" s="160"/>
      <c r="X106" s="161" t="str">
        <f>IFERROR(VLOOKUP(V106,Risk.Matrix,MATCH(W106,Data!$P$59:$U$59,0),FALSE),"")</f>
        <v/>
      </c>
      <c r="Y106" s="158"/>
      <c r="Z106" s="160"/>
      <c r="AA106" s="237"/>
      <c r="AB106" s="158"/>
      <c r="AC106" s="160"/>
      <c r="AD106" s="240"/>
      <c r="AE106" s="241"/>
      <c r="AF106" s="268"/>
      <c r="AG106" s="270"/>
      <c r="AH106" s="267"/>
    </row>
    <row r="107" spans="1:34" s="184" customFormat="1" ht="69.900000000000006" customHeight="1" x14ac:dyDescent="0.2">
      <c r="A107" s="267"/>
      <c r="B107" s="188">
        <v>92</v>
      </c>
      <c r="C107" s="237"/>
      <c r="D107" s="237"/>
      <c r="E107" s="237"/>
      <c r="F107" s="237"/>
      <c r="G107" s="419"/>
      <c r="H107" s="419"/>
      <c r="I107" s="157"/>
      <c r="J107" s="157"/>
      <c r="K107" s="158"/>
      <c r="L107" s="159"/>
      <c r="M107" s="157"/>
      <c r="N107" s="157"/>
      <c r="O107" s="160"/>
      <c r="P107" s="160"/>
      <c r="Q107" s="161" t="str">
        <f>IFERROR(VLOOKUP(O107,Risk.Matrix,MATCH(P107,Data!$P$59:$U$59,0),FALSE),"")</f>
        <v/>
      </c>
      <c r="R107" s="237"/>
      <c r="S107" s="158"/>
      <c r="T107" s="162"/>
      <c r="U107" s="186"/>
      <c r="V107" s="160"/>
      <c r="W107" s="160"/>
      <c r="X107" s="161" t="str">
        <f>IFERROR(VLOOKUP(V107,Risk.Matrix,MATCH(W107,Data!$P$59:$U$59,0),FALSE),"")</f>
        <v/>
      </c>
      <c r="Y107" s="158"/>
      <c r="Z107" s="160"/>
      <c r="AA107" s="237"/>
      <c r="AB107" s="158"/>
      <c r="AC107" s="160"/>
      <c r="AD107" s="240"/>
      <c r="AE107" s="241"/>
      <c r="AF107" s="268"/>
      <c r="AG107" s="270"/>
      <c r="AH107" s="267"/>
    </row>
    <row r="108" spans="1:34" s="184" customFormat="1" ht="69.900000000000006" customHeight="1" x14ac:dyDescent="0.2">
      <c r="A108" s="267"/>
      <c r="B108" s="188">
        <v>93</v>
      </c>
      <c r="C108" s="237"/>
      <c r="D108" s="237"/>
      <c r="E108" s="237"/>
      <c r="F108" s="237"/>
      <c r="G108" s="419"/>
      <c r="H108" s="419"/>
      <c r="I108" s="157"/>
      <c r="J108" s="157"/>
      <c r="K108" s="158"/>
      <c r="L108" s="159"/>
      <c r="M108" s="157"/>
      <c r="N108" s="157"/>
      <c r="O108" s="160"/>
      <c r="P108" s="160"/>
      <c r="Q108" s="161" t="str">
        <f>IFERROR(VLOOKUP(O108,Risk.Matrix,MATCH(P108,Data!$P$59:$U$59,0),FALSE),"")</f>
        <v/>
      </c>
      <c r="R108" s="237"/>
      <c r="S108" s="158"/>
      <c r="T108" s="162"/>
      <c r="U108" s="186"/>
      <c r="V108" s="160"/>
      <c r="W108" s="160"/>
      <c r="X108" s="161" t="str">
        <f>IFERROR(VLOOKUP(V108,Risk.Matrix,MATCH(W108,Data!$P$59:$U$59,0),FALSE),"")</f>
        <v/>
      </c>
      <c r="Y108" s="158"/>
      <c r="Z108" s="160"/>
      <c r="AA108" s="237"/>
      <c r="AB108" s="158"/>
      <c r="AC108" s="160"/>
      <c r="AD108" s="240"/>
      <c r="AE108" s="241"/>
      <c r="AF108" s="268"/>
      <c r="AG108" s="270"/>
      <c r="AH108" s="267"/>
    </row>
    <row r="109" spans="1:34" s="184" customFormat="1" ht="69.900000000000006" customHeight="1" x14ac:dyDescent="0.2">
      <c r="A109" s="267"/>
      <c r="B109" s="188">
        <v>94</v>
      </c>
      <c r="C109" s="237"/>
      <c r="D109" s="237"/>
      <c r="E109" s="237"/>
      <c r="F109" s="237"/>
      <c r="G109" s="419"/>
      <c r="H109" s="419"/>
      <c r="I109" s="157"/>
      <c r="J109" s="157"/>
      <c r="K109" s="158"/>
      <c r="L109" s="159"/>
      <c r="M109" s="157"/>
      <c r="N109" s="157"/>
      <c r="O109" s="160"/>
      <c r="P109" s="160"/>
      <c r="Q109" s="161" t="str">
        <f>IFERROR(VLOOKUP(O109,Risk.Matrix,MATCH(P109,Data!$P$59:$U$59,0),FALSE),"")</f>
        <v/>
      </c>
      <c r="R109" s="237"/>
      <c r="S109" s="158"/>
      <c r="T109" s="162"/>
      <c r="U109" s="186"/>
      <c r="V109" s="160"/>
      <c r="W109" s="160"/>
      <c r="X109" s="161" t="str">
        <f>IFERROR(VLOOKUP(V109,Risk.Matrix,MATCH(W109,Data!$P$59:$U$59,0),FALSE),"")</f>
        <v/>
      </c>
      <c r="Y109" s="158"/>
      <c r="Z109" s="160"/>
      <c r="AA109" s="237"/>
      <c r="AB109" s="158"/>
      <c r="AC109" s="160"/>
      <c r="AD109" s="240"/>
      <c r="AE109" s="241"/>
      <c r="AF109" s="268"/>
      <c r="AG109" s="270"/>
      <c r="AH109" s="267"/>
    </row>
    <row r="110" spans="1:34" s="184" customFormat="1" ht="69.900000000000006" customHeight="1" x14ac:dyDescent="0.2">
      <c r="A110" s="267"/>
      <c r="B110" s="188">
        <v>95</v>
      </c>
      <c r="C110" s="237"/>
      <c r="D110" s="237"/>
      <c r="E110" s="237"/>
      <c r="F110" s="237"/>
      <c r="G110" s="419"/>
      <c r="H110" s="419"/>
      <c r="I110" s="157"/>
      <c r="J110" s="157"/>
      <c r="K110" s="158"/>
      <c r="L110" s="159"/>
      <c r="M110" s="157"/>
      <c r="N110" s="157"/>
      <c r="O110" s="160"/>
      <c r="P110" s="160"/>
      <c r="Q110" s="161" t="str">
        <f>IFERROR(VLOOKUP(O110,Risk.Matrix,MATCH(P110,Data!$P$59:$U$59,0),FALSE),"")</f>
        <v/>
      </c>
      <c r="R110" s="237"/>
      <c r="S110" s="158"/>
      <c r="T110" s="162"/>
      <c r="U110" s="186"/>
      <c r="V110" s="160"/>
      <c r="W110" s="160"/>
      <c r="X110" s="161" t="str">
        <f>IFERROR(VLOOKUP(V110,Risk.Matrix,MATCH(W110,Data!$P$59:$U$59,0),FALSE),"")</f>
        <v/>
      </c>
      <c r="Y110" s="158"/>
      <c r="Z110" s="160"/>
      <c r="AA110" s="237"/>
      <c r="AB110" s="158"/>
      <c r="AC110" s="160"/>
      <c r="AD110" s="240"/>
      <c r="AE110" s="241"/>
      <c r="AF110" s="268"/>
      <c r="AG110" s="270"/>
      <c r="AH110" s="267"/>
    </row>
    <row r="111" spans="1:34" s="184" customFormat="1" ht="69.900000000000006" customHeight="1" x14ac:dyDescent="0.2">
      <c r="A111" s="267"/>
      <c r="B111" s="188">
        <v>96</v>
      </c>
      <c r="C111" s="237"/>
      <c r="D111" s="237"/>
      <c r="E111" s="237"/>
      <c r="F111" s="237"/>
      <c r="G111" s="419"/>
      <c r="H111" s="419"/>
      <c r="I111" s="157"/>
      <c r="J111" s="157"/>
      <c r="K111" s="158"/>
      <c r="L111" s="159"/>
      <c r="M111" s="157"/>
      <c r="N111" s="157"/>
      <c r="O111" s="160"/>
      <c r="P111" s="160"/>
      <c r="Q111" s="161" t="str">
        <f>IFERROR(VLOOKUP(O111,Risk.Matrix,MATCH(P111,Data!$P$59:$U$59,0),FALSE),"")</f>
        <v/>
      </c>
      <c r="R111" s="237"/>
      <c r="S111" s="158"/>
      <c r="T111" s="162"/>
      <c r="U111" s="186"/>
      <c r="V111" s="160"/>
      <c r="W111" s="160"/>
      <c r="X111" s="161" t="str">
        <f>IFERROR(VLOOKUP(V111,Risk.Matrix,MATCH(W111,Data!$P$59:$U$59,0),FALSE),"")</f>
        <v/>
      </c>
      <c r="Y111" s="158"/>
      <c r="Z111" s="160"/>
      <c r="AA111" s="237"/>
      <c r="AB111" s="158"/>
      <c r="AC111" s="160"/>
      <c r="AD111" s="240"/>
      <c r="AE111" s="241"/>
      <c r="AF111" s="268"/>
      <c r="AG111" s="270"/>
      <c r="AH111" s="267"/>
    </row>
    <row r="112" spans="1:34" s="184" customFormat="1" ht="69.900000000000006" customHeight="1" x14ac:dyDescent="0.2">
      <c r="A112" s="267"/>
      <c r="B112" s="188">
        <v>97</v>
      </c>
      <c r="C112" s="237"/>
      <c r="D112" s="237"/>
      <c r="E112" s="237"/>
      <c r="F112" s="237"/>
      <c r="G112" s="419"/>
      <c r="H112" s="419"/>
      <c r="I112" s="157"/>
      <c r="J112" s="157"/>
      <c r="K112" s="158"/>
      <c r="L112" s="159"/>
      <c r="M112" s="157"/>
      <c r="N112" s="157"/>
      <c r="O112" s="160"/>
      <c r="P112" s="160"/>
      <c r="Q112" s="161" t="str">
        <f>IFERROR(VLOOKUP(O112,Risk.Matrix,MATCH(P112,Data!$P$59:$U$59,0),FALSE),"")</f>
        <v/>
      </c>
      <c r="R112" s="237"/>
      <c r="S112" s="158"/>
      <c r="T112" s="162"/>
      <c r="U112" s="186"/>
      <c r="V112" s="160"/>
      <c r="W112" s="160"/>
      <c r="X112" s="161" t="str">
        <f>IFERROR(VLOOKUP(V112,Risk.Matrix,MATCH(W112,Data!$P$59:$U$59,0),FALSE),"")</f>
        <v/>
      </c>
      <c r="Y112" s="158"/>
      <c r="Z112" s="160"/>
      <c r="AA112" s="237"/>
      <c r="AB112" s="158"/>
      <c r="AC112" s="160"/>
      <c r="AD112" s="240"/>
      <c r="AE112" s="241"/>
      <c r="AF112" s="268"/>
      <c r="AG112" s="270"/>
      <c r="AH112" s="267"/>
    </row>
    <row r="113" spans="1:34" s="184" customFormat="1" ht="69.900000000000006" customHeight="1" x14ac:dyDescent="0.2">
      <c r="A113" s="267"/>
      <c r="B113" s="188">
        <v>98</v>
      </c>
      <c r="C113" s="237"/>
      <c r="D113" s="237"/>
      <c r="E113" s="237"/>
      <c r="F113" s="237"/>
      <c r="G113" s="419"/>
      <c r="H113" s="419"/>
      <c r="I113" s="157"/>
      <c r="J113" s="157"/>
      <c r="K113" s="158"/>
      <c r="L113" s="159"/>
      <c r="M113" s="157"/>
      <c r="N113" s="157"/>
      <c r="O113" s="160"/>
      <c r="P113" s="160"/>
      <c r="Q113" s="161" t="str">
        <f>IFERROR(VLOOKUP(O113,Risk.Matrix,MATCH(P113,Data!$P$59:$U$59,0),FALSE),"")</f>
        <v/>
      </c>
      <c r="R113" s="237"/>
      <c r="S113" s="158"/>
      <c r="T113" s="162"/>
      <c r="U113" s="186"/>
      <c r="V113" s="160"/>
      <c r="W113" s="160"/>
      <c r="X113" s="161" t="str">
        <f>IFERROR(VLOOKUP(V113,Risk.Matrix,MATCH(W113,Data!$P$59:$U$59,0),FALSE),"")</f>
        <v/>
      </c>
      <c r="Y113" s="158"/>
      <c r="Z113" s="160"/>
      <c r="AA113" s="237"/>
      <c r="AB113" s="158"/>
      <c r="AC113" s="160"/>
      <c r="AD113" s="240"/>
      <c r="AE113" s="241"/>
      <c r="AF113" s="268"/>
      <c r="AG113" s="270"/>
      <c r="AH113" s="267"/>
    </row>
    <row r="114" spans="1:34" s="184" customFormat="1" ht="69.900000000000006" customHeight="1" x14ac:dyDescent="0.2">
      <c r="A114" s="267"/>
      <c r="B114" s="188">
        <v>99</v>
      </c>
      <c r="C114" s="237"/>
      <c r="D114" s="237"/>
      <c r="E114" s="237"/>
      <c r="F114" s="237"/>
      <c r="G114" s="419"/>
      <c r="H114" s="419"/>
      <c r="I114" s="157"/>
      <c r="J114" s="157"/>
      <c r="K114" s="158"/>
      <c r="L114" s="159"/>
      <c r="M114" s="157"/>
      <c r="N114" s="157"/>
      <c r="O114" s="160"/>
      <c r="P114" s="160"/>
      <c r="Q114" s="161" t="str">
        <f>IFERROR(VLOOKUP(O114,Risk.Matrix,MATCH(P114,Data!$P$59:$U$59,0),FALSE),"")</f>
        <v/>
      </c>
      <c r="R114" s="237"/>
      <c r="S114" s="158"/>
      <c r="T114" s="162"/>
      <c r="U114" s="186"/>
      <c r="V114" s="160"/>
      <c r="W114" s="160"/>
      <c r="X114" s="161" t="str">
        <f>IFERROR(VLOOKUP(V114,Risk.Matrix,MATCH(W114,Data!$P$59:$U$59,0),FALSE),"")</f>
        <v/>
      </c>
      <c r="Y114" s="158"/>
      <c r="Z114" s="160"/>
      <c r="AA114" s="237"/>
      <c r="AB114" s="158"/>
      <c r="AC114" s="160"/>
      <c r="AD114" s="240"/>
      <c r="AE114" s="241"/>
      <c r="AF114" s="268"/>
      <c r="AG114" s="270"/>
      <c r="AH114" s="267"/>
    </row>
    <row r="115" spans="1:34" s="184" customFormat="1" ht="69.900000000000006" customHeight="1" x14ac:dyDescent="0.2">
      <c r="A115" s="267"/>
      <c r="B115" s="188">
        <v>100</v>
      </c>
      <c r="C115" s="237"/>
      <c r="D115" s="237"/>
      <c r="E115" s="237"/>
      <c r="F115" s="237"/>
      <c r="G115" s="419"/>
      <c r="H115" s="419"/>
      <c r="I115" s="157"/>
      <c r="J115" s="157"/>
      <c r="K115" s="158"/>
      <c r="L115" s="159"/>
      <c r="M115" s="157"/>
      <c r="N115" s="157"/>
      <c r="O115" s="160"/>
      <c r="P115" s="160"/>
      <c r="Q115" s="161" t="str">
        <f>IFERROR(VLOOKUP(O115,Risk.Matrix,MATCH(P115,Data!$P$59:$U$59,0),FALSE),"")</f>
        <v/>
      </c>
      <c r="R115" s="237"/>
      <c r="S115" s="158"/>
      <c r="T115" s="162"/>
      <c r="U115" s="186"/>
      <c r="V115" s="160"/>
      <c r="W115" s="160"/>
      <c r="X115" s="161" t="str">
        <f>IFERROR(VLOOKUP(V115,Risk.Matrix,MATCH(W115,Data!$P$59:$U$59,0),FALSE),"")</f>
        <v/>
      </c>
      <c r="Y115" s="158"/>
      <c r="Z115" s="160"/>
      <c r="AA115" s="237"/>
      <c r="AB115" s="158"/>
      <c r="AC115" s="160"/>
      <c r="AD115" s="186"/>
      <c r="AE115" s="241"/>
      <c r="AF115" s="268"/>
      <c r="AG115" s="270"/>
      <c r="AH115" s="267"/>
    </row>
    <row r="116" spans="1:34" s="184" customFormat="1" ht="69.900000000000006" customHeight="1" x14ac:dyDescent="0.2">
      <c r="A116" s="267"/>
      <c r="B116" s="188">
        <v>101</v>
      </c>
      <c r="C116" s="237"/>
      <c r="D116" s="237"/>
      <c r="E116" s="237"/>
      <c r="F116" s="237"/>
      <c r="G116" s="419"/>
      <c r="H116" s="419"/>
      <c r="I116" s="157"/>
      <c r="J116" s="157"/>
      <c r="K116" s="158"/>
      <c r="L116" s="159"/>
      <c r="M116" s="157"/>
      <c r="N116" s="157"/>
      <c r="O116" s="160"/>
      <c r="P116" s="160"/>
      <c r="Q116" s="161" t="str">
        <f>IFERROR(VLOOKUP(O116,Risk.Matrix,MATCH(P116,Data!$P$59:$U$59,0),FALSE),"")</f>
        <v/>
      </c>
      <c r="R116" s="237"/>
      <c r="S116" s="158"/>
      <c r="T116" s="162"/>
      <c r="U116" s="186"/>
      <c r="V116" s="160"/>
      <c r="W116" s="160"/>
      <c r="X116" s="161" t="str">
        <f>IFERROR(VLOOKUP(V116,Risk.Matrix,MATCH(W116,Data!$P$59:$U$59,0),FALSE),"")</f>
        <v/>
      </c>
      <c r="Y116" s="158"/>
      <c r="Z116" s="160"/>
      <c r="AA116" s="237"/>
      <c r="AB116" s="158"/>
      <c r="AC116" s="160"/>
      <c r="AD116" s="186"/>
      <c r="AE116" s="241"/>
      <c r="AF116" s="268"/>
      <c r="AG116" s="270"/>
      <c r="AH116" s="267"/>
    </row>
    <row r="117" spans="1:34" s="184" customFormat="1" ht="69.900000000000006" customHeight="1" x14ac:dyDescent="0.2">
      <c r="A117" s="267"/>
      <c r="B117" s="188">
        <v>102</v>
      </c>
      <c r="C117" s="237"/>
      <c r="D117" s="237"/>
      <c r="E117" s="237"/>
      <c r="F117" s="237"/>
      <c r="G117" s="419"/>
      <c r="H117" s="419"/>
      <c r="I117" s="157"/>
      <c r="J117" s="157"/>
      <c r="K117" s="158"/>
      <c r="L117" s="159"/>
      <c r="M117" s="157"/>
      <c r="N117" s="157"/>
      <c r="O117" s="160"/>
      <c r="P117" s="160"/>
      <c r="Q117" s="161" t="str">
        <f>IFERROR(VLOOKUP(O117,Risk.Matrix,MATCH(P117,Data!$P$59:$U$59,0),FALSE),"")</f>
        <v/>
      </c>
      <c r="R117" s="237"/>
      <c r="S117" s="158"/>
      <c r="T117" s="162"/>
      <c r="U117" s="186"/>
      <c r="V117" s="160"/>
      <c r="W117" s="160"/>
      <c r="X117" s="161" t="str">
        <f>IFERROR(VLOOKUP(V117,Risk.Matrix,MATCH(W117,Data!$P$59:$U$59,0),FALSE),"")</f>
        <v/>
      </c>
      <c r="Y117" s="158"/>
      <c r="Z117" s="160"/>
      <c r="AA117" s="237"/>
      <c r="AB117" s="158"/>
      <c r="AC117" s="160"/>
      <c r="AD117" s="186"/>
      <c r="AE117" s="241"/>
      <c r="AF117" s="268"/>
      <c r="AG117" s="270"/>
      <c r="AH117" s="267"/>
    </row>
    <row r="118" spans="1:34" s="184" customFormat="1" ht="69.900000000000006" customHeight="1" x14ac:dyDescent="0.2">
      <c r="A118" s="267"/>
      <c r="B118" s="188">
        <v>103</v>
      </c>
      <c r="C118" s="237"/>
      <c r="D118" s="237"/>
      <c r="E118" s="237"/>
      <c r="F118" s="237"/>
      <c r="G118" s="419"/>
      <c r="H118" s="419"/>
      <c r="I118" s="157"/>
      <c r="J118" s="157"/>
      <c r="K118" s="158"/>
      <c r="L118" s="159"/>
      <c r="M118" s="157"/>
      <c r="N118" s="157"/>
      <c r="O118" s="160"/>
      <c r="P118" s="160"/>
      <c r="Q118" s="161" t="str">
        <f>IFERROR(VLOOKUP(O118,Risk.Matrix,MATCH(P118,Data!$P$59:$U$59,0),FALSE),"")</f>
        <v/>
      </c>
      <c r="R118" s="237"/>
      <c r="S118" s="158"/>
      <c r="T118" s="162"/>
      <c r="U118" s="186"/>
      <c r="V118" s="160"/>
      <c r="W118" s="160"/>
      <c r="X118" s="161" t="str">
        <f>IFERROR(VLOOKUP(V118,Risk.Matrix,MATCH(W118,Data!$P$59:$U$59,0),FALSE),"")</f>
        <v/>
      </c>
      <c r="Y118" s="158"/>
      <c r="Z118" s="160"/>
      <c r="AA118" s="237"/>
      <c r="AB118" s="158"/>
      <c r="AC118" s="160"/>
      <c r="AD118" s="186"/>
      <c r="AE118" s="241"/>
      <c r="AF118" s="268"/>
      <c r="AG118" s="270"/>
      <c r="AH118" s="267"/>
    </row>
    <row r="119" spans="1:34" s="184" customFormat="1" ht="69.900000000000006" customHeight="1" x14ac:dyDescent="0.2">
      <c r="A119" s="267"/>
      <c r="B119" s="188">
        <v>104</v>
      </c>
      <c r="C119" s="237"/>
      <c r="D119" s="237"/>
      <c r="E119" s="237"/>
      <c r="F119" s="237"/>
      <c r="G119" s="419"/>
      <c r="H119" s="419"/>
      <c r="I119" s="157"/>
      <c r="J119" s="157"/>
      <c r="K119" s="158"/>
      <c r="L119" s="159"/>
      <c r="M119" s="157"/>
      <c r="N119" s="157"/>
      <c r="O119" s="160"/>
      <c r="P119" s="160"/>
      <c r="Q119" s="161" t="str">
        <f>IFERROR(VLOOKUP(O119,Risk.Matrix,MATCH(P119,Data!$P$59:$U$59,0),FALSE),"")</f>
        <v/>
      </c>
      <c r="R119" s="237"/>
      <c r="S119" s="158"/>
      <c r="T119" s="162"/>
      <c r="U119" s="186"/>
      <c r="V119" s="160"/>
      <c r="W119" s="160"/>
      <c r="X119" s="161" t="str">
        <f>IFERROR(VLOOKUP(V119,Risk.Matrix,MATCH(W119,Data!$P$59:$U$59,0),FALSE),"")</f>
        <v/>
      </c>
      <c r="Y119" s="158"/>
      <c r="Z119" s="160"/>
      <c r="AA119" s="237"/>
      <c r="AB119" s="158"/>
      <c r="AC119" s="160"/>
      <c r="AD119" s="186"/>
      <c r="AE119" s="241"/>
      <c r="AF119" s="268"/>
      <c r="AG119" s="270"/>
      <c r="AH119" s="267"/>
    </row>
    <row r="120" spans="1:34" s="184" customFormat="1" ht="69.900000000000006" customHeight="1" x14ac:dyDescent="0.2">
      <c r="A120" s="267"/>
      <c r="B120" s="188">
        <v>105</v>
      </c>
      <c r="C120" s="237"/>
      <c r="D120" s="237"/>
      <c r="E120" s="237"/>
      <c r="F120" s="237"/>
      <c r="G120" s="419"/>
      <c r="H120" s="419"/>
      <c r="I120" s="157"/>
      <c r="J120" s="157"/>
      <c r="K120" s="158"/>
      <c r="L120" s="159"/>
      <c r="M120" s="157"/>
      <c r="N120" s="157"/>
      <c r="O120" s="160"/>
      <c r="P120" s="160"/>
      <c r="Q120" s="161" t="str">
        <f>IFERROR(VLOOKUP(O120,Risk.Matrix,MATCH(P120,Data!$P$59:$U$59,0),FALSE),"")</f>
        <v/>
      </c>
      <c r="R120" s="237"/>
      <c r="S120" s="158"/>
      <c r="T120" s="162"/>
      <c r="U120" s="186"/>
      <c r="V120" s="160"/>
      <c r="W120" s="160"/>
      <c r="X120" s="161" t="str">
        <f>IFERROR(VLOOKUP(V120,Risk.Matrix,MATCH(W120,Data!$P$59:$U$59,0),FALSE),"")</f>
        <v/>
      </c>
      <c r="Y120" s="158"/>
      <c r="Z120" s="160"/>
      <c r="AA120" s="237"/>
      <c r="AB120" s="158"/>
      <c r="AC120" s="160"/>
      <c r="AD120" s="186"/>
      <c r="AE120" s="241"/>
      <c r="AF120" s="268"/>
      <c r="AG120" s="270"/>
      <c r="AH120" s="267"/>
    </row>
    <row r="121" spans="1:34" s="184" customFormat="1" ht="69.900000000000006" customHeight="1" x14ac:dyDescent="0.2">
      <c r="A121" s="267"/>
      <c r="B121" s="188">
        <v>106</v>
      </c>
      <c r="C121" s="237"/>
      <c r="D121" s="237"/>
      <c r="E121" s="237"/>
      <c r="F121" s="237"/>
      <c r="G121" s="419"/>
      <c r="H121" s="419"/>
      <c r="I121" s="157"/>
      <c r="J121" s="157"/>
      <c r="K121" s="158"/>
      <c r="L121" s="159"/>
      <c r="M121" s="157"/>
      <c r="N121" s="157"/>
      <c r="O121" s="160"/>
      <c r="P121" s="160"/>
      <c r="Q121" s="161" t="str">
        <f>IFERROR(VLOOKUP(O121,Risk.Matrix,MATCH(P121,Data!$P$59:$U$59,0),FALSE),"")</f>
        <v/>
      </c>
      <c r="R121" s="237"/>
      <c r="S121" s="158"/>
      <c r="T121" s="162"/>
      <c r="U121" s="186"/>
      <c r="V121" s="160"/>
      <c r="W121" s="160"/>
      <c r="X121" s="161" t="str">
        <f>IFERROR(VLOOKUP(V121,Risk.Matrix,MATCH(W121,Data!$P$59:$U$59,0),FALSE),"")</f>
        <v/>
      </c>
      <c r="Y121" s="158"/>
      <c r="Z121" s="160"/>
      <c r="AA121" s="237"/>
      <c r="AB121" s="158"/>
      <c r="AC121" s="160"/>
      <c r="AD121" s="186"/>
      <c r="AE121" s="241"/>
      <c r="AF121" s="268"/>
      <c r="AG121" s="270"/>
      <c r="AH121" s="267"/>
    </row>
    <row r="122" spans="1:34" s="184" customFormat="1" ht="69.900000000000006" customHeight="1" x14ac:dyDescent="0.2">
      <c r="A122" s="267"/>
      <c r="B122" s="188">
        <v>107</v>
      </c>
      <c r="C122" s="237"/>
      <c r="D122" s="237"/>
      <c r="E122" s="237"/>
      <c r="F122" s="237"/>
      <c r="G122" s="419"/>
      <c r="H122" s="419"/>
      <c r="I122" s="157"/>
      <c r="J122" s="157"/>
      <c r="K122" s="158"/>
      <c r="L122" s="159"/>
      <c r="M122" s="157"/>
      <c r="N122" s="157"/>
      <c r="O122" s="160"/>
      <c r="P122" s="160"/>
      <c r="Q122" s="161" t="str">
        <f>IFERROR(VLOOKUP(O122,Risk.Matrix,MATCH(P122,Data!$P$59:$U$59,0),FALSE),"")</f>
        <v/>
      </c>
      <c r="R122" s="237"/>
      <c r="S122" s="158"/>
      <c r="T122" s="162"/>
      <c r="U122" s="186"/>
      <c r="V122" s="160"/>
      <c r="W122" s="160"/>
      <c r="X122" s="161" t="str">
        <f>IFERROR(VLOOKUP(V122,Risk.Matrix,MATCH(W122,Data!$P$59:$U$59,0),FALSE),"")</f>
        <v/>
      </c>
      <c r="Y122" s="158"/>
      <c r="Z122" s="160"/>
      <c r="AA122" s="237"/>
      <c r="AB122" s="158"/>
      <c r="AC122" s="160"/>
      <c r="AD122" s="186"/>
      <c r="AE122" s="241"/>
      <c r="AF122" s="268"/>
      <c r="AG122" s="270"/>
      <c r="AH122" s="267"/>
    </row>
    <row r="123" spans="1:34" s="184" customFormat="1" ht="69.900000000000006" customHeight="1" x14ac:dyDescent="0.2">
      <c r="A123" s="267"/>
      <c r="B123" s="188">
        <v>108</v>
      </c>
      <c r="C123" s="237"/>
      <c r="D123" s="237"/>
      <c r="E123" s="237"/>
      <c r="F123" s="237"/>
      <c r="G123" s="419"/>
      <c r="H123" s="419"/>
      <c r="I123" s="157"/>
      <c r="J123" s="157"/>
      <c r="K123" s="158"/>
      <c r="L123" s="159"/>
      <c r="M123" s="157"/>
      <c r="N123" s="157"/>
      <c r="O123" s="160"/>
      <c r="P123" s="160"/>
      <c r="Q123" s="161" t="str">
        <f>IFERROR(VLOOKUP(O123,Risk.Matrix,MATCH(P123,Data!$P$59:$U$59,0),FALSE),"")</f>
        <v/>
      </c>
      <c r="R123" s="237"/>
      <c r="S123" s="158"/>
      <c r="T123" s="162"/>
      <c r="U123" s="186"/>
      <c r="V123" s="160"/>
      <c r="W123" s="160"/>
      <c r="X123" s="161" t="str">
        <f>IFERROR(VLOOKUP(V123,Risk.Matrix,MATCH(W123,Data!$P$59:$U$59,0),FALSE),"")</f>
        <v/>
      </c>
      <c r="Y123" s="158"/>
      <c r="Z123" s="160"/>
      <c r="AA123" s="237"/>
      <c r="AB123" s="158"/>
      <c r="AC123" s="160"/>
      <c r="AD123" s="186"/>
      <c r="AE123" s="241"/>
      <c r="AF123" s="268"/>
      <c r="AG123" s="270"/>
      <c r="AH123" s="267"/>
    </row>
    <row r="124" spans="1:34" s="184" customFormat="1" ht="69.900000000000006" customHeight="1" x14ac:dyDescent="0.2">
      <c r="A124" s="267"/>
      <c r="B124" s="188">
        <v>109</v>
      </c>
      <c r="C124" s="237"/>
      <c r="D124" s="237"/>
      <c r="E124" s="237"/>
      <c r="F124" s="237"/>
      <c r="G124" s="419"/>
      <c r="H124" s="419"/>
      <c r="I124" s="157"/>
      <c r="J124" s="157"/>
      <c r="K124" s="158"/>
      <c r="L124" s="159"/>
      <c r="M124" s="157"/>
      <c r="N124" s="157"/>
      <c r="O124" s="160"/>
      <c r="P124" s="160"/>
      <c r="Q124" s="161" t="str">
        <f>IFERROR(VLOOKUP(O124,Risk.Matrix,MATCH(P124,Data!$P$59:$U$59,0),FALSE),"")</f>
        <v/>
      </c>
      <c r="R124" s="237"/>
      <c r="S124" s="158"/>
      <c r="T124" s="162"/>
      <c r="U124" s="186"/>
      <c r="V124" s="160"/>
      <c r="W124" s="160"/>
      <c r="X124" s="161" t="str">
        <f>IFERROR(VLOOKUP(V124,Risk.Matrix,MATCH(W124,Data!$P$59:$U$59,0),FALSE),"")</f>
        <v/>
      </c>
      <c r="Y124" s="158"/>
      <c r="Z124" s="160"/>
      <c r="AA124" s="237"/>
      <c r="AB124" s="158"/>
      <c r="AC124" s="160"/>
      <c r="AD124" s="186"/>
      <c r="AE124" s="241"/>
      <c r="AF124" s="268"/>
      <c r="AG124" s="270"/>
      <c r="AH124" s="267"/>
    </row>
    <row r="125" spans="1:34" s="184" customFormat="1" ht="69.900000000000006" customHeight="1" x14ac:dyDescent="0.2">
      <c r="A125" s="267"/>
      <c r="B125" s="188">
        <v>110</v>
      </c>
      <c r="C125" s="237"/>
      <c r="D125" s="237"/>
      <c r="E125" s="237"/>
      <c r="F125" s="237"/>
      <c r="G125" s="419"/>
      <c r="H125" s="419"/>
      <c r="I125" s="157"/>
      <c r="J125" s="157"/>
      <c r="K125" s="158"/>
      <c r="L125" s="159"/>
      <c r="M125" s="157"/>
      <c r="N125" s="157"/>
      <c r="O125" s="160"/>
      <c r="P125" s="160"/>
      <c r="Q125" s="161" t="str">
        <f>IFERROR(VLOOKUP(O125,Risk.Matrix,MATCH(P125,Data!$P$59:$U$59,0),FALSE),"")</f>
        <v/>
      </c>
      <c r="R125" s="237"/>
      <c r="S125" s="158"/>
      <c r="T125" s="162"/>
      <c r="U125" s="186"/>
      <c r="V125" s="160"/>
      <c r="W125" s="160"/>
      <c r="X125" s="161" t="str">
        <f>IFERROR(VLOOKUP(V125,Risk.Matrix,MATCH(W125,Data!$P$59:$U$59,0),FALSE),"")</f>
        <v/>
      </c>
      <c r="Y125" s="158"/>
      <c r="Z125" s="160"/>
      <c r="AA125" s="237"/>
      <c r="AB125" s="158"/>
      <c r="AC125" s="160"/>
      <c r="AD125" s="186"/>
      <c r="AE125" s="241"/>
      <c r="AF125" s="268"/>
      <c r="AG125" s="270"/>
      <c r="AH125" s="267"/>
    </row>
    <row r="126" spans="1:34" s="184" customFormat="1" ht="69.900000000000006" customHeight="1" x14ac:dyDescent="0.2">
      <c r="A126" s="267"/>
      <c r="B126" s="188">
        <v>111</v>
      </c>
      <c r="C126" s="237"/>
      <c r="D126" s="237"/>
      <c r="E126" s="237"/>
      <c r="F126" s="237"/>
      <c r="G126" s="419"/>
      <c r="H126" s="419"/>
      <c r="I126" s="157"/>
      <c r="J126" s="157"/>
      <c r="K126" s="158"/>
      <c r="L126" s="159"/>
      <c r="M126" s="157"/>
      <c r="N126" s="157"/>
      <c r="O126" s="160"/>
      <c r="P126" s="160"/>
      <c r="Q126" s="161" t="str">
        <f>IFERROR(VLOOKUP(O126,Risk.Matrix,MATCH(P126,Data!$P$59:$U$59,0),FALSE),"")</f>
        <v/>
      </c>
      <c r="R126" s="237"/>
      <c r="S126" s="158"/>
      <c r="T126" s="162"/>
      <c r="U126" s="186"/>
      <c r="V126" s="160"/>
      <c r="W126" s="160"/>
      <c r="X126" s="161" t="str">
        <f>IFERROR(VLOOKUP(V126,Risk.Matrix,MATCH(W126,Data!$P$59:$U$59,0),FALSE),"")</f>
        <v/>
      </c>
      <c r="Y126" s="158"/>
      <c r="Z126" s="160"/>
      <c r="AA126" s="237"/>
      <c r="AB126" s="158"/>
      <c r="AC126" s="160"/>
      <c r="AD126" s="186"/>
      <c r="AE126" s="241"/>
      <c r="AF126" s="268"/>
      <c r="AG126" s="270"/>
      <c r="AH126" s="267"/>
    </row>
    <row r="127" spans="1:34" s="184" customFormat="1" ht="69.900000000000006" customHeight="1" x14ac:dyDescent="0.2">
      <c r="A127" s="267"/>
      <c r="B127" s="188">
        <v>112</v>
      </c>
      <c r="C127" s="237"/>
      <c r="D127" s="237"/>
      <c r="E127" s="237"/>
      <c r="F127" s="237"/>
      <c r="G127" s="419"/>
      <c r="H127" s="419"/>
      <c r="I127" s="157"/>
      <c r="J127" s="157"/>
      <c r="K127" s="158"/>
      <c r="L127" s="159"/>
      <c r="M127" s="157"/>
      <c r="N127" s="157"/>
      <c r="O127" s="160"/>
      <c r="P127" s="160"/>
      <c r="Q127" s="161" t="str">
        <f>IFERROR(VLOOKUP(O127,Risk.Matrix,MATCH(P127,Data!$P$59:$U$59,0),FALSE),"")</f>
        <v/>
      </c>
      <c r="R127" s="237"/>
      <c r="S127" s="158"/>
      <c r="T127" s="162"/>
      <c r="U127" s="186"/>
      <c r="V127" s="160"/>
      <c r="W127" s="160"/>
      <c r="X127" s="161" t="str">
        <f>IFERROR(VLOOKUP(V127,Risk.Matrix,MATCH(W127,Data!$P$59:$U$59,0),FALSE),"")</f>
        <v/>
      </c>
      <c r="Y127" s="158"/>
      <c r="Z127" s="160"/>
      <c r="AA127" s="237"/>
      <c r="AB127" s="158"/>
      <c r="AC127" s="160"/>
      <c r="AD127" s="186"/>
      <c r="AE127" s="241"/>
      <c r="AF127" s="268"/>
      <c r="AG127" s="270"/>
      <c r="AH127" s="267"/>
    </row>
    <row r="128" spans="1:34" s="184" customFormat="1" ht="69.900000000000006" customHeight="1" x14ac:dyDescent="0.2">
      <c r="A128" s="267"/>
      <c r="B128" s="188">
        <v>113</v>
      </c>
      <c r="C128" s="237"/>
      <c r="D128" s="237"/>
      <c r="E128" s="237"/>
      <c r="F128" s="237"/>
      <c r="G128" s="419"/>
      <c r="H128" s="419"/>
      <c r="I128" s="157"/>
      <c r="J128" s="157"/>
      <c r="K128" s="158"/>
      <c r="L128" s="159"/>
      <c r="M128" s="157"/>
      <c r="N128" s="157"/>
      <c r="O128" s="160"/>
      <c r="P128" s="160"/>
      <c r="Q128" s="161" t="str">
        <f>IFERROR(VLOOKUP(O128,Risk.Matrix,MATCH(P128,Data!$P$59:$U$59,0),FALSE),"")</f>
        <v/>
      </c>
      <c r="R128" s="237"/>
      <c r="S128" s="158"/>
      <c r="T128" s="162"/>
      <c r="U128" s="186"/>
      <c r="V128" s="160"/>
      <c r="W128" s="160"/>
      <c r="X128" s="161" t="str">
        <f>IFERROR(VLOOKUP(V128,Risk.Matrix,MATCH(W128,Data!$P$59:$U$59,0),FALSE),"")</f>
        <v/>
      </c>
      <c r="Y128" s="158"/>
      <c r="Z128" s="160"/>
      <c r="AA128" s="237"/>
      <c r="AB128" s="158"/>
      <c r="AC128" s="160"/>
      <c r="AD128" s="186"/>
      <c r="AE128" s="241"/>
      <c r="AF128" s="268"/>
      <c r="AG128" s="270"/>
      <c r="AH128" s="267"/>
    </row>
    <row r="129" spans="1:34" s="184" customFormat="1" ht="69.900000000000006" customHeight="1" x14ac:dyDescent="0.2">
      <c r="A129" s="267"/>
      <c r="B129" s="188">
        <v>114</v>
      </c>
      <c r="C129" s="237"/>
      <c r="D129" s="237"/>
      <c r="E129" s="237"/>
      <c r="F129" s="237"/>
      <c r="G129" s="419"/>
      <c r="H129" s="419"/>
      <c r="I129" s="157"/>
      <c r="J129" s="157"/>
      <c r="K129" s="158"/>
      <c r="L129" s="159"/>
      <c r="M129" s="157"/>
      <c r="N129" s="157"/>
      <c r="O129" s="160"/>
      <c r="P129" s="160"/>
      <c r="Q129" s="161" t="str">
        <f>IFERROR(VLOOKUP(O129,Risk.Matrix,MATCH(P129,Data!$P$59:$U$59,0),FALSE),"")</f>
        <v/>
      </c>
      <c r="R129" s="237"/>
      <c r="S129" s="158"/>
      <c r="T129" s="162"/>
      <c r="U129" s="186"/>
      <c r="V129" s="160"/>
      <c r="W129" s="160"/>
      <c r="X129" s="161" t="str">
        <f>IFERROR(VLOOKUP(V129,Risk.Matrix,MATCH(W129,Data!$P$59:$U$59,0),FALSE),"")</f>
        <v/>
      </c>
      <c r="Y129" s="158"/>
      <c r="Z129" s="160"/>
      <c r="AA129" s="237"/>
      <c r="AB129" s="158"/>
      <c r="AC129" s="160"/>
      <c r="AD129" s="186"/>
      <c r="AE129" s="241"/>
      <c r="AF129" s="268"/>
      <c r="AG129" s="270"/>
      <c r="AH129" s="267"/>
    </row>
    <row r="130" spans="1:34" s="184" customFormat="1" ht="69.900000000000006" customHeight="1" x14ac:dyDescent="0.2">
      <c r="A130" s="267"/>
      <c r="B130" s="188">
        <v>115</v>
      </c>
      <c r="C130" s="237"/>
      <c r="D130" s="237"/>
      <c r="E130" s="237"/>
      <c r="F130" s="237"/>
      <c r="G130" s="419"/>
      <c r="H130" s="419"/>
      <c r="I130" s="157"/>
      <c r="J130" s="157"/>
      <c r="K130" s="158"/>
      <c r="L130" s="159"/>
      <c r="M130" s="157"/>
      <c r="N130" s="157"/>
      <c r="O130" s="160"/>
      <c r="P130" s="160"/>
      <c r="Q130" s="161" t="str">
        <f>IFERROR(VLOOKUP(O130,Risk.Matrix,MATCH(P130,Data!$P$59:$U$59,0),FALSE),"")</f>
        <v/>
      </c>
      <c r="R130" s="237"/>
      <c r="S130" s="158"/>
      <c r="T130" s="162"/>
      <c r="U130" s="186"/>
      <c r="V130" s="160"/>
      <c r="W130" s="160"/>
      <c r="X130" s="161" t="str">
        <f>IFERROR(VLOOKUP(V130,Risk.Matrix,MATCH(W130,Data!$P$59:$U$59,0),FALSE),"")</f>
        <v/>
      </c>
      <c r="Y130" s="158"/>
      <c r="Z130" s="160"/>
      <c r="AA130" s="237"/>
      <c r="AB130" s="158"/>
      <c r="AC130" s="160"/>
      <c r="AD130" s="186"/>
      <c r="AE130" s="241"/>
      <c r="AF130" s="268"/>
      <c r="AG130" s="270"/>
      <c r="AH130" s="267"/>
    </row>
    <row r="131" spans="1:34" s="184" customFormat="1" ht="69.900000000000006" customHeight="1" x14ac:dyDescent="0.2">
      <c r="A131" s="267"/>
      <c r="B131" s="188">
        <v>116</v>
      </c>
      <c r="C131" s="237"/>
      <c r="D131" s="237"/>
      <c r="E131" s="237"/>
      <c r="F131" s="237"/>
      <c r="G131" s="419"/>
      <c r="H131" s="419"/>
      <c r="I131" s="157"/>
      <c r="J131" s="157"/>
      <c r="K131" s="158"/>
      <c r="L131" s="159"/>
      <c r="M131" s="157"/>
      <c r="N131" s="157"/>
      <c r="O131" s="160"/>
      <c r="P131" s="160"/>
      <c r="Q131" s="161" t="str">
        <f>IFERROR(VLOOKUP(O131,Risk.Matrix,MATCH(P131,Data!$P$59:$U$59,0),FALSE),"")</f>
        <v/>
      </c>
      <c r="R131" s="237"/>
      <c r="S131" s="158"/>
      <c r="T131" s="162"/>
      <c r="U131" s="186"/>
      <c r="V131" s="160"/>
      <c r="W131" s="160"/>
      <c r="X131" s="161" t="str">
        <f>IFERROR(VLOOKUP(V131,Risk.Matrix,MATCH(W131,Data!$P$59:$U$59,0),FALSE),"")</f>
        <v/>
      </c>
      <c r="Y131" s="158"/>
      <c r="Z131" s="160"/>
      <c r="AA131" s="237"/>
      <c r="AB131" s="158"/>
      <c r="AC131" s="160"/>
      <c r="AD131" s="186"/>
      <c r="AE131" s="241"/>
      <c r="AF131" s="268"/>
      <c r="AG131" s="270"/>
      <c r="AH131" s="267"/>
    </row>
    <row r="132" spans="1:34" s="184" customFormat="1" ht="69.900000000000006" customHeight="1" x14ac:dyDescent="0.2">
      <c r="A132" s="267"/>
      <c r="B132" s="188">
        <v>117</v>
      </c>
      <c r="C132" s="237"/>
      <c r="D132" s="237"/>
      <c r="E132" s="237"/>
      <c r="F132" s="237"/>
      <c r="G132" s="419"/>
      <c r="H132" s="419"/>
      <c r="I132" s="157"/>
      <c r="J132" s="157"/>
      <c r="K132" s="158"/>
      <c r="L132" s="159"/>
      <c r="M132" s="157"/>
      <c r="N132" s="157"/>
      <c r="O132" s="160"/>
      <c r="P132" s="160"/>
      <c r="Q132" s="161" t="str">
        <f>IFERROR(VLOOKUP(O132,Risk.Matrix,MATCH(P132,Data!$P$59:$U$59,0),FALSE),"")</f>
        <v/>
      </c>
      <c r="R132" s="237"/>
      <c r="S132" s="158"/>
      <c r="T132" s="162"/>
      <c r="U132" s="186"/>
      <c r="V132" s="160"/>
      <c r="W132" s="160"/>
      <c r="X132" s="161" t="str">
        <f>IFERROR(VLOOKUP(V132,Risk.Matrix,MATCH(W132,Data!$P$59:$U$59,0),FALSE),"")</f>
        <v/>
      </c>
      <c r="Y132" s="158"/>
      <c r="Z132" s="160"/>
      <c r="AA132" s="237"/>
      <c r="AB132" s="158"/>
      <c r="AC132" s="160"/>
      <c r="AD132" s="186"/>
      <c r="AE132" s="241"/>
      <c r="AF132" s="268"/>
      <c r="AG132" s="270"/>
      <c r="AH132" s="267"/>
    </row>
    <row r="133" spans="1:34" s="184" customFormat="1" ht="69.900000000000006" customHeight="1" x14ac:dyDescent="0.2">
      <c r="A133" s="267"/>
      <c r="B133" s="188">
        <v>118</v>
      </c>
      <c r="C133" s="237"/>
      <c r="D133" s="237"/>
      <c r="E133" s="237"/>
      <c r="F133" s="237"/>
      <c r="G133" s="419"/>
      <c r="H133" s="419"/>
      <c r="I133" s="157"/>
      <c r="J133" s="157"/>
      <c r="K133" s="158"/>
      <c r="L133" s="159"/>
      <c r="M133" s="157"/>
      <c r="N133" s="157"/>
      <c r="O133" s="160"/>
      <c r="P133" s="160"/>
      <c r="Q133" s="161" t="str">
        <f>IFERROR(VLOOKUP(O133,Risk.Matrix,MATCH(P133,Data!$P$59:$U$59,0),FALSE),"")</f>
        <v/>
      </c>
      <c r="R133" s="237"/>
      <c r="S133" s="158"/>
      <c r="T133" s="162"/>
      <c r="U133" s="186"/>
      <c r="V133" s="160"/>
      <c r="W133" s="160"/>
      <c r="X133" s="161" t="str">
        <f>IFERROR(VLOOKUP(V133,Risk.Matrix,MATCH(W133,Data!$P$59:$U$59,0),FALSE),"")</f>
        <v/>
      </c>
      <c r="Y133" s="158"/>
      <c r="Z133" s="160"/>
      <c r="AA133" s="237"/>
      <c r="AB133" s="158"/>
      <c r="AC133" s="160"/>
      <c r="AD133" s="186"/>
      <c r="AE133" s="241"/>
      <c r="AF133" s="268"/>
      <c r="AG133" s="270"/>
      <c r="AH133" s="267"/>
    </row>
    <row r="134" spans="1:34" s="184" customFormat="1" ht="69.900000000000006" customHeight="1" x14ac:dyDescent="0.2">
      <c r="A134" s="267"/>
      <c r="B134" s="188">
        <v>119</v>
      </c>
      <c r="C134" s="237"/>
      <c r="D134" s="237"/>
      <c r="E134" s="237"/>
      <c r="F134" s="237"/>
      <c r="G134" s="419"/>
      <c r="H134" s="419"/>
      <c r="I134" s="157"/>
      <c r="J134" s="157"/>
      <c r="K134" s="158"/>
      <c r="L134" s="159"/>
      <c r="M134" s="157"/>
      <c r="N134" s="157"/>
      <c r="O134" s="160"/>
      <c r="P134" s="160"/>
      <c r="Q134" s="161" t="str">
        <f>IFERROR(VLOOKUP(O134,Risk.Matrix,MATCH(P134,Data!$P$59:$U$59,0),FALSE),"")</f>
        <v/>
      </c>
      <c r="R134" s="237"/>
      <c r="S134" s="158"/>
      <c r="T134" s="162"/>
      <c r="U134" s="186"/>
      <c r="V134" s="160"/>
      <c r="W134" s="160"/>
      <c r="X134" s="161" t="str">
        <f>IFERROR(VLOOKUP(V134,Risk.Matrix,MATCH(W134,Data!$P$59:$U$59,0),FALSE),"")</f>
        <v/>
      </c>
      <c r="Y134" s="158"/>
      <c r="Z134" s="160"/>
      <c r="AA134" s="237"/>
      <c r="AB134" s="158"/>
      <c r="AC134" s="160"/>
      <c r="AD134" s="186"/>
      <c r="AE134" s="241"/>
      <c r="AF134" s="268"/>
      <c r="AG134" s="270"/>
      <c r="AH134" s="267"/>
    </row>
    <row r="135" spans="1:34" s="184" customFormat="1" ht="69.900000000000006" customHeight="1" x14ac:dyDescent="0.2">
      <c r="A135" s="267"/>
      <c r="B135" s="188">
        <v>120</v>
      </c>
      <c r="C135" s="237"/>
      <c r="D135" s="237"/>
      <c r="E135" s="237"/>
      <c r="F135" s="237"/>
      <c r="G135" s="419"/>
      <c r="H135" s="419"/>
      <c r="I135" s="157"/>
      <c r="J135" s="157"/>
      <c r="K135" s="158"/>
      <c r="L135" s="159"/>
      <c r="M135" s="157"/>
      <c r="N135" s="157"/>
      <c r="O135" s="160"/>
      <c r="P135" s="160"/>
      <c r="Q135" s="161" t="str">
        <f>IFERROR(VLOOKUP(O135,Risk.Matrix,MATCH(P135,Data!$P$59:$U$59,0),FALSE),"")</f>
        <v/>
      </c>
      <c r="R135" s="237"/>
      <c r="S135" s="158"/>
      <c r="T135" s="162"/>
      <c r="U135" s="186"/>
      <c r="V135" s="160"/>
      <c r="W135" s="160"/>
      <c r="X135" s="161" t="str">
        <f>IFERROR(VLOOKUP(V135,Risk.Matrix,MATCH(W135,Data!$P$59:$U$59,0),FALSE),"")</f>
        <v/>
      </c>
      <c r="Y135" s="158"/>
      <c r="Z135" s="160"/>
      <c r="AA135" s="237"/>
      <c r="AB135" s="158"/>
      <c r="AC135" s="160"/>
      <c r="AD135" s="186"/>
      <c r="AE135" s="241"/>
      <c r="AF135" s="268"/>
      <c r="AG135" s="270"/>
      <c r="AH135" s="267"/>
    </row>
    <row r="136" spans="1:34" s="184" customFormat="1" ht="69.900000000000006" customHeight="1" x14ac:dyDescent="0.2">
      <c r="A136" s="267"/>
      <c r="B136" s="188">
        <v>121</v>
      </c>
      <c r="C136" s="237"/>
      <c r="D136" s="237"/>
      <c r="E136" s="237"/>
      <c r="F136" s="237"/>
      <c r="G136" s="419"/>
      <c r="H136" s="419"/>
      <c r="I136" s="157"/>
      <c r="J136" s="157"/>
      <c r="K136" s="158"/>
      <c r="L136" s="159"/>
      <c r="M136" s="157"/>
      <c r="N136" s="157"/>
      <c r="O136" s="160"/>
      <c r="P136" s="160"/>
      <c r="Q136" s="161" t="str">
        <f>IFERROR(VLOOKUP(O136,Risk.Matrix,MATCH(P136,Data!$P$59:$U$59,0),FALSE),"")</f>
        <v/>
      </c>
      <c r="R136" s="237"/>
      <c r="S136" s="158"/>
      <c r="T136" s="162"/>
      <c r="U136" s="186"/>
      <c r="V136" s="160"/>
      <c r="W136" s="160"/>
      <c r="X136" s="161" t="str">
        <f>IFERROR(VLOOKUP(V136,Risk.Matrix,MATCH(W136,Data!$P$59:$U$59,0),FALSE),"")</f>
        <v/>
      </c>
      <c r="Y136" s="158"/>
      <c r="Z136" s="160"/>
      <c r="AA136" s="237"/>
      <c r="AB136" s="158"/>
      <c r="AC136" s="160"/>
      <c r="AD136" s="186"/>
      <c r="AE136" s="241"/>
      <c r="AF136" s="268"/>
      <c r="AG136" s="270"/>
      <c r="AH136" s="267"/>
    </row>
    <row r="137" spans="1:34" s="184" customFormat="1" ht="69.900000000000006" customHeight="1" x14ac:dyDescent="0.2">
      <c r="A137" s="267"/>
      <c r="B137" s="188">
        <v>122</v>
      </c>
      <c r="C137" s="237"/>
      <c r="D137" s="237"/>
      <c r="E137" s="237"/>
      <c r="F137" s="237"/>
      <c r="G137" s="419"/>
      <c r="H137" s="419"/>
      <c r="I137" s="157"/>
      <c r="J137" s="157"/>
      <c r="K137" s="158"/>
      <c r="L137" s="159"/>
      <c r="M137" s="157"/>
      <c r="N137" s="157"/>
      <c r="O137" s="160"/>
      <c r="P137" s="160"/>
      <c r="Q137" s="161" t="str">
        <f>IFERROR(VLOOKUP(O137,Risk.Matrix,MATCH(P137,Data!$P$59:$U$59,0),FALSE),"")</f>
        <v/>
      </c>
      <c r="R137" s="237"/>
      <c r="S137" s="158"/>
      <c r="T137" s="162"/>
      <c r="U137" s="186"/>
      <c r="V137" s="160"/>
      <c r="W137" s="160"/>
      <c r="X137" s="161" t="str">
        <f>IFERROR(VLOOKUP(V137,Risk.Matrix,MATCH(W137,Data!$P$59:$U$59,0),FALSE),"")</f>
        <v/>
      </c>
      <c r="Y137" s="158"/>
      <c r="Z137" s="160"/>
      <c r="AA137" s="237"/>
      <c r="AB137" s="158"/>
      <c r="AC137" s="160"/>
      <c r="AD137" s="186"/>
      <c r="AE137" s="241"/>
      <c r="AF137" s="268"/>
      <c r="AG137" s="270"/>
      <c r="AH137" s="267"/>
    </row>
    <row r="138" spans="1:34" s="184" customFormat="1" ht="69.900000000000006" customHeight="1" x14ac:dyDescent="0.2">
      <c r="A138" s="267"/>
      <c r="B138" s="188">
        <v>123</v>
      </c>
      <c r="C138" s="237"/>
      <c r="D138" s="237"/>
      <c r="E138" s="237"/>
      <c r="F138" s="237"/>
      <c r="G138" s="419"/>
      <c r="H138" s="419"/>
      <c r="I138" s="157"/>
      <c r="J138" s="157"/>
      <c r="K138" s="158"/>
      <c r="L138" s="159"/>
      <c r="M138" s="157"/>
      <c r="N138" s="157"/>
      <c r="O138" s="160"/>
      <c r="P138" s="160"/>
      <c r="Q138" s="161" t="str">
        <f>IFERROR(VLOOKUP(O138,Risk.Matrix,MATCH(P138,Data!$P$59:$U$59,0),FALSE),"")</f>
        <v/>
      </c>
      <c r="R138" s="237"/>
      <c r="S138" s="158"/>
      <c r="T138" s="162"/>
      <c r="U138" s="186"/>
      <c r="V138" s="160"/>
      <c r="W138" s="160"/>
      <c r="X138" s="161" t="str">
        <f>IFERROR(VLOOKUP(V138,Risk.Matrix,MATCH(W138,Data!$P$59:$U$59,0),FALSE),"")</f>
        <v/>
      </c>
      <c r="Y138" s="158"/>
      <c r="Z138" s="160"/>
      <c r="AA138" s="237"/>
      <c r="AB138" s="158"/>
      <c r="AC138" s="160"/>
      <c r="AD138" s="186"/>
      <c r="AE138" s="241"/>
      <c r="AF138" s="268"/>
      <c r="AG138" s="270"/>
      <c r="AH138" s="267"/>
    </row>
    <row r="139" spans="1:34" s="184" customFormat="1" ht="69.900000000000006" customHeight="1" x14ac:dyDescent="0.2">
      <c r="A139" s="267"/>
      <c r="B139" s="188">
        <v>124</v>
      </c>
      <c r="C139" s="237"/>
      <c r="D139" s="237"/>
      <c r="E139" s="237"/>
      <c r="F139" s="237"/>
      <c r="G139" s="419"/>
      <c r="H139" s="419"/>
      <c r="I139" s="157"/>
      <c r="J139" s="157"/>
      <c r="K139" s="158"/>
      <c r="L139" s="159"/>
      <c r="M139" s="157"/>
      <c r="N139" s="157"/>
      <c r="O139" s="160"/>
      <c r="P139" s="160"/>
      <c r="Q139" s="161" t="str">
        <f>IFERROR(VLOOKUP(O139,Risk.Matrix,MATCH(P139,Data!$P$59:$U$59,0),FALSE),"")</f>
        <v/>
      </c>
      <c r="R139" s="237"/>
      <c r="S139" s="158"/>
      <c r="T139" s="162"/>
      <c r="U139" s="186"/>
      <c r="V139" s="160"/>
      <c r="W139" s="160"/>
      <c r="X139" s="161" t="str">
        <f>IFERROR(VLOOKUP(V139,Risk.Matrix,MATCH(W139,Data!$P$59:$U$59,0),FALSE),"")</f>
        <v/>
      </c>
      <c r="Y139" s="158"/>
      <c r="Z139" s="160"/>
      <c r="AA139" s="237"/>
      <c r="AB139" s="158"/>
      <c r="AC139" s="160"/>
      <c r="AD139" s="186"/>
      <c r="AE139" s="241"/>
      <c r="AF139" s="268"/>
      <c r="AG139" s="270"/>
      <c r="AH139" s="267"/>
    </row>
    <row r="140" spans="1:34" s="184" customFormat="1" ht="69.900000000000006" customHeight="1" x14ac:dyDescent="0.2">
      <c r="A140" s="267"/>
      <c r="B140" s="188">
        <v>125</v>
      </c>
      <c r="C140" s="237"/>
      <c r="D140" s="237"/>
      <c r="E140" s="237"/>
      <c r="F140" s="237"/>
      <c r="G140" s="419"/>
      <c r="H140" s="419"/>
      <c r="I140" s="157"/>
      <c r="J140" s="157"/>
      <c r="K140" s="158"/>
      <c r="L140" s="159"/>
      <c r="M140" s="157"/>
      <c r="N140" s="157"/>
      <c r="O140" s="160"/>
      <c r="P140" s="160"/>
      <c r="Q140" s="161" t="str">
        <f>IFERROR(VLOOKUP(O140,Risk.Matrix,MATCH(P140,Data!$P$59:$U$59,0),FALSE),"")</f>
        <v/>
      </c>
      <c r="R140" s="237"/>
      <c r="S140" s="158"/>
      <c r="T140" s="162"/>
      <c r="U140" s="186"/>
      <c r="V140" s="160"/>
      <c r="W140" s="160"/>
      <c r="X140" s="161" t="str">
        <f>IFERROR(VLOOKUP(V140,Risk.Matrix,MATCH(W140,Data!$P$59:$U$59,0),FALSE),"")</f>
        <v/>
      </c>
      <c r="Y140" s="158"/>
      <c r="Z140" s="160"/>
      <c r="AA140" s="237"/>
      <c r="AB140" s="158"/>
      <c r="AC140" s="160"/>
      <c r="AD140" s="186"/>
      <c r="AE140" s="241"/>
      <c r="AF140" s="268"/>
      <c r="AG140" s="270"/>
      <c r="AH140" s="267"/>
    </row>
    <row r="141" spans="1:34" s="184" customFormat="1" ht="69.900000000000006" customHeight="1" x14ac:dyDescent="0.2">
      <c r="A141" s="267"/>
      <c r="B141" s="188">
        <v>126</v>
      </c>
      <c r="C141" s="237"/>
      <c r="D141" s="237"/>
      <c r="E141" s="237"/>
      <c r="F141" s="237"/>
      <c r="G141" s="419"/>
      <c r="H141" s="419"/>
      <c r="I141" s="157"/>
      <c r="J141" s="157"/>
      <c r="K141" s="158"/>
      <c r="L141" s="159"/>
      <c r="M141" s="157"/>
      <c r="N141" s="157"/>
      <c r="O141" s="160"/>
      <c r="P141" s="160"/>
      <c r="Q141" s="161" t="str">
        <f>IFERROR(VLOOKUP(O141,Risk.Matrix,MATCH(P141,Data!$P$59:$U$59,0),FALSE),"")</f>
        <v/>
      </c>
      <c r="R141" s="237"/>
      <c r="S141" s="158"/>
      <c r="T141" s="162"/>
      <c r="U141" s="186"/>
      <c r="V141" s="160"/>
      <c r="W141" s="160"/>
      <c r="X141" s="161" t="str">
        <f>IFERROR(VLOOKUP(V141,Risk.Matrix,MATCH(W141,Data!$P$59:$U$59,0),FALSE),"")</f>
        <v/>
      </c>
      <c r="Y141" s="158"/>
      <c r="Z141" s="160"/>
      <c r="AA141" s="237"/>
      <c r="AB141" s="158"/>
      <c r="AC141" s="160"/>
      <c r="AD141" s="186"/>
      <c r="AE141" s="241"/>
      <c r="AF141" s="268"/>
      <c r="AG141" s="270"/>
      <c r="AH141" s="267"/>
    </row>
    <row r="142" spans="1:34" s="184" customFormat="1" ht="69.900000000000006" customHeight="1" x14ac:dyDescent="0.2">
      <c r="A142" s="267"/>
      <c r="B142" s="188">
        <v>127</v>
      </c>
      <c r="C142" s="237"/>
      <c r="D142" s="237"/>
      <c r="E142" s="237"/>
      <c r="F142" s="237"/>
      <c r="G142" s="419"/>
      <c r="H142" s="419"/>
      <c r="I142" s="157"/>
      <c r="J142" s="157"/>
      <c r="K142" s="158"/>
      <c r="L142" s="159"/>
      <c r="M142" s="157"/>
      <c r="N142" s="157"/>
      <c r="O142" s="160"/>
      <c r="P142" s="160"/>
      <c r="Q142" s="161" t="str">
        <f>IFERROR(VLOOKUP(O142,Risk.Matrix,MATCH(P142,Data!$P$59:$U$59,0),FALSE),"")</f>
        <v/>
      </c>
      <c r="R142" s="237"/>
      <c r="S142" s="158"/>
      <c r="T142" s="162"/>
      <c r="U142" s="186"/>
      <c r="V142" s="160"/>
      <c r="W142" s="160"/>
      <c r="X142" s="161" t="str">
        <f>IFERROR(VLOOKUP(V142,Risk.Matrix,MATCH(W142,Data!$P$59:$U$59,0),FALSE),"")</f>
        <v/>
      </c>
      <c r="Y142" s="158"/>
      <c r="Z142" s="160"/>
      <c r="AA142" s="237"/>
      <c r="AB142" s="158"/>
      <c r="AC142" s="160"/>
      <c r="AD142" s="186"/>
      <c r="AE142" s="241"/>
      <c r="AF142" s="268"/>
      <c r="AG142" s="270"/>
      <c r="AH142" s="267"/>
    </row>
    <row r="143" spans="1:34" s="184" customFormat="1" ht="69.900000000000006" customHeight="1" x14ac:dyDescent="0.2">
      <c r="A143" s="267"/>
      <c r="B143" s="188">
        <v>128</v>
      </c>
      <c r="C143" s="237"/>
      <c r="D143" s="237"/>
      <c r="E143" s="237"/>
      <c r="F143" s="237"/>
      <c r="G143" s="419"/>
      <c r="H143" s="419"/>
      <c r="I143" s="157"/>
      <c r="J143" s="157"/>
      <c r="K143" s="158"/>
      <c r="L143" s="159"/>
      <c r="M143" s="157"/>
      <c r="N143" s="157"/>
      <c r="O143" s="160"/>
      <c r="P143" s="160"/>
      <c r="Q143" s="161" t="str">
        <f>IFERROR(VLOOKUP(O143,Risk.Matrix,MATCH(P143,Data!$P$59:$U$59,0),FALSE),"")</f>
        <v/>
      </c>
      <c r="R143" s="237"/>
      <c r="S143" s="158"/>
      <c r="T143" s="162"/>
      <c r="U143" s="186"/>
      <c r="V143" s="160"/>
      <c r="W143" s="160"/>
      <c r="X143" s="161" t="str">
        <f>IFERROR(VLOOKUP(V143,Risk.Matrix,MATCH(W143,Data!$P$59:$U$59,0),FALSE),"")</f>
        <v/>
      </c>
      <c r="Y143" s="158"/>
      <c r="Z143" s="160"/>
      <c r="AA143" s="237"/>
      <c r="AB143" s="158"/>
      <c r="AC143" s="160"/>
      <c r="AD143" s="186"/>
      <c r="AE143" s="241"/>
      <c r="AF143" s="268"/>
      <c r="AG143" s="270"/>
      <c r="AH143" s="267"/>
    </row>
    <row r="144" spans="1:34" s="184" customFormat="1" ht="69.900000000000006" customHeight="1" x14ac:dyDescent="0.2">
      <c r="A144" s="267"/>
      <c r="B144" s="188">
        <v>129</v>
      </c>
      <c r="C144" s="237"/>
      <c r="D144" s="237"/>
      <c r="E144" s="237"/>
      <c r="F144" s="237"/>
      <c r="G144" s="419"/>
      <c r="H144" s="419"/>
      <c r="I144" s="157"/>
      <c r="J144" s="157"/>
      <c r="K144" s="158"/>
      <c r="L144" s="159"/>
      <c r="M144" s="157"/>
      <c r="N144" s="157"/>
      <c r="O144" s="160"/>
      <c r="P144" s="160"/>
      <c r="Q144" s="161" t="str">
        <f>IFERROR(VLOOKUP(O144,Risk.Matrix,MATCH(P144,Data!$P$59:$U$59,0),FALSE),"")</f>
        <v/>
      </c>
      <c r="R144" s="237"/>
      <c r="S144" s="158"/>
      <c r="T144" s="162"/>
      <c r="U144" s="186"/>
      <c r="V144" s="160"/>
      <c r="W144" s="160"/>
      <c r="X144" s="161" t="str">
        <f>IFERROR(VLOOKUP(V144,Risk.Matrix,MATCH(W144,Data!$P$59:$U$59,0),FALSE),"")</f>
        <v/>
      </c>
      <c r="Y144" s="158"/>
      <c r="Z144" s="160"/>
      <c r="AA144" s="237"/>
      <c r="AB144" s="158"/>
      <c r="AC144" s="160"/>
      <c r="AD144" s="186"/>
      <c r="AE144" s="241"/>
      <c r="AF144" s="268"/>
      <c r="AG144" s="270"/>
      <c r="AH144" s="267"/>
    </row>
    <row r="145" spans="1:34" s="184" customFormat="1" ht="69.900000000000006" customHeight="1" x14ac:dyDescent="0.2">
      <c r="A145" s="267"/>
      <c r="B145" s="188">
        <v>130</v>
      </c>
      <c r="C145" s="237"/>
      <c r="D145" s="237"/>
      <c r="E145" s="237"/>
      <c r="F145" s="237"/>
      <c r="G145" s="419"/>
      <c r="H145" s="419"/>
      <c r="I145" s="157"/>
      <c r="J145" s="157"/>
      <c r="K145" s="158"/>
      <c r="L145" s="159"/>
      <c r="M145" s="157"/>
      <c r="N145" s="157"/>
      <c r="O145" s="160"/>
      <c r="P145" s="160"/>
      <c r="Q145" s="161" t="str">
        <f>IFERROR(VLOOKUP(O145,Risk.Matrix,MATCH(P145,Data!$P$59:$U$59,0),FALSE),"")</f>
        <v/>
      </c>
      <c r="R145" s="237"/>
      <c r="S145" s="158"/>
      <c r="T145" s="162"/>
      <c r="U145" s="186"/>
      <c r="V145" s="160"/>
      <c r="W145" s="160"/>
      <c r="X145" s="161" t="str">
        <f>IFERROR(VLOOKUP(V145,Risk.Matrix,MATCH(W145,Data!$P$59:$U$59,0),FALSE),"")</f>
        <v/>
      </c>
      <c r="Y145" s="158"/>
      <c r="Z145" s="160"/>
      <c r="AA145" s="237"/>
      <c r="AB145" s="158"/>
      <c r="AC145" s="160"/>
      <c r="AD145" s="186"/>
      <c r="AE145" s="241"/>
      <c r="AF145" s="268"/>
      <c r="AG145" s="270"/>
      <c r="AH145" s="267"/>
    </row>
    <row r="146" spans="1:34" s="184" customFormat="1" ht="69.900000000000006" customHeight="1" x14ac:dyDescent="0.2">
      <c r="A146" s="267"/>
      <c r="B146" s="188">
        <v>131</v>
      </c>
      <c r="C146" s="237"/>
      <c r="D146" s="237"/>
      <c r="E146" s="237"/>
      <c r="F146" s="237"/>
      <c r="G146" s="419"/>
      <c r="H146" s="419"/>
      <c r="I146" s="157"/>
      <c r="J146" s="157"/>
      <c r="K146" s="158"/>
      <c r="L146" s="159"/>
      <c r="M146" s="157"/>
      <c r="N146" s="157"/>
      <c r="O146" s="160"/>
      <c r="P146" s="160"/>
      <c r="Q146" s="161" t="str">
        <f>IFERROR(VLOOKUP(O146,Risk.Matrix,MATCH(P146,Data!$P$59:$U$59,0),FALSE),"")</f>
        <v/>
      </c>
      <c r="R146" s="237"/>
      <c r="S146" s="158"/>
      <c r="T146" s="162"/>
      <c r="U146" s="186"/>
      <c r="V146" s="160"/>
      <c r="W146" s="160"/>
      <c r="X146" s="161" t="str">
        <f>IFERROR(VLOOKUP(V146,Risk.Matrix,MATCH(W146,Data!$P$59:$U$59,0),FALSE),"")</f>
        <v/>
      </c>
      <c r="Y146" s="158"/>
      <c r="Z146" s="160"/>
      <c r="AA146" s="237"/>
      <c r="AB146" s="158"/>
      <c r="AC146" s="160"/>
      <c r="AD146" s="186"/>
      <c r="AE146" s="241"/>
      <c r="AF146" s="268"/>
      <c r="AG146" s="270"/>
      <c r="AH146" s="267"/>
    </row>
    <row r="147" spans="1:34" s="184" customFormat="1" ht="69.900000000000006" customHeight="1" x14ac:dyDescent="0.2">
      <c r="A147" s="267"/>
      <c r="B147" s="188">
        <v>132</v>
      </c>
      <c r="C147" s="237"/>
      <c r="D147" s="237"/>
      <c r="E147" s="237"/>
      <c r="F147" s="237"/>
      <c r="G147" s="419"/>
      <c r="H147" s="419"/>
      <c r="I147" s="157"/>
      <c r="J147" s="157"/>
      <c r="K147" s="158"/>
      <c r="L147" s="159"/>
      <c r="M147" s="157"/>
      <c r="N147" s="157"/>
      <c r="O147" s="160"/>
      <c r="P147" s="160"/>
      <c r="Q147" s="161" t="str">
        <f>IFERROR(VLOOKUP(O147,Risk.Matrix,MATCH(P147,Data!$P$59:$U$59,0),FALSE),"")</f>
        <v/>
      </c>
      <c r="R147" s="237"/>
      <c r="S147" s="158"/>
      <c r="T147" s="162"/>
      <c r="U147" s="186"/>
      <c r="V147" s="160"/>
      <c r="W147" s="160"/>
      <c r="X147" s="161" t="str">
        <f>IFERROR(VLOOKUP(V147,Risk.Matrix,MATCH(W147,Data!$P$59:$U$59,0),FALSE),"")</f>
        <v/>
      </c>
      <c r="Y147" s="158"/>
      <c r="Z147" s="160"/>
      <c r="AA147" s="237"/>
      <c r="AB147" s="158"/>
      <c r="AC147" s="160"/>
      <c r="AD147" s="186"/>
      <c r="AE147" s="241"/>
      <c r="AF147" s="268"/>
      <c r="AG147" s="270"/>
      <c r="AH147" s="267"/>
    </row>
    <row r="148" spans="1:34" s="184" customFormat="1" ht="69.900000000000006" customHeight="1" x14ac:dyDescent="0.2">
      <c r="A148" s="267"/>
      <c r="B148" s="188">
        <v>133</v>
      </c>
      <c r="C148" s="237"/>
      <c r="D148" s="237"/>
      <c r="E148" s="237"/>
      <c r="F148" s="237"/>
      <c r="G148" s="419"/>
      <c r="H148" s="419"/>
      <c r="I148" s="157"/>
      <c r="J148" s="157"/>
      <c r="K148" s="158"/>
      <c r="L148" s="159"/>
      <c r="M148" s="157"/>
      <c r="N148" s="157"/>
      <c r="O148" s="160"/>
      <c r="P148" s="160"/>
      <c r="Q148" s="161" t="str">
        <f>IFERROR(VLOOKUP(O148,Risk.Matrix,MATCH(P148,Data!$P$59:$U$59,0),FALSE),"")</f>
        <v/>
      </c>
      <c r="R148" s="237"/>
      <c r="S148" s="158"/>
      <c r="T148" s="162"/>
      <c r="U148" s="186"/>
      <c r="V148" s="160"/>
      <c r="W148" s="160"/>
      <c r="X148" s="161" t="str">
        <f>IFERROR(VLOOKUP(V148,Risk.Matrix,MATCH(W148,Data!$P$59:$U$59,0),FALSE),"")</f>
        <v/>
      </c>
      <c r="Y148" s="158"/>
      <c r="Z148" s="160"/>
      <c r="AA148" s="237"/>
      <c r="AB148" s="158"/>
      <c r="AC148" s="160"/>
      <c r="AD148" s="186"/>
      <c r="AE148" s="241"/>
      <c r="AF148" s="268"/>
      <c r="AG148" s="270"/>
      <c r="AH148" s="267"/>
    </row>
    <row r="149" spans="1:34" s="184" customFormat="1" ht="69.900000000000006" customHeight="1" x14ac:dyDescent="0.2">
      <c r="A149" s="267"/>
      <c r="B149" s="188">
        <v>134</v>
      </c>
      <c r="C149" s="237"/>
      <c r="D149" s="237"/>
      <c r="E149" s="237"/>
      <c r="F149" s="237"/>
      <c r="G149" s="419"/>
      <c r="H149" s="419"/>
      <c r="I149" s="157"/>
      <c r="J149" s="157"/>
      <c r="K149" s="158"/>
      <c r="L149" s="159"/>
      <c r="M149" s="157"/>
      <c r="N149" s="157"/>
      <c r="O149" s="160"/>
      <c r="P149" s="160"/>
      <c r="Q149" s="161" t="str">
        <f>IFERROR(VLOOKUP(O149,Risk.Matrix,MATCH(P149,Data!$P$59:$U$59,0),FALSE),"")</f>
        <v/>
      </c>
      <c r="R149" s="237"/>
      <c r="S149" s="158"/>
      <c r="T149" s="162"/>
      <c r="U149" s="186"/>
      <c r="V149" s="160"/>
      <c r="W149" s="160"/>
      <c r="X149" s="161" t="str">
        <f>IFERROR(VLOOKUP(V149,Risk.Matrix,MATCH(W149,Data!$P$59:$U$59,0),FALSE),"")</f>
        <v/>
      </c>
      <c r="Y149" s="158"/>
      <c r="Z149" s="160"/>
      <c r="AA149" s="237"/>
      <c r="AB149" s="158"/>
      <c r="AC149" s="160"/>
      <c r="AD149" s="186"/>
      <c r="AE149" s="241"/>
      <c r="AF149" s="268"/>
      <c r="AG149" s="270"/>
      <c r="AH149" s="267"/>
    </row>
    <row r="150" spans="1:34" s="184" customFormat="1" ht="69.900000000000006" customHeight="1" x14ac:dyDescent="0.2">
      <c r="A150" s="267"/>
      <c r="B150" s="188">
        <v>135</v>
      </c>
      <c r="C150" s="237"/>
      <c r="D150" s="237"/>
      <c r="E150" s="237"/>
      <c r="F150" s="237"/>
      <c r="G150" s="419"/>
      <c r="H150" s="419"/>
      <c r="I150" s="157"/>
      <c r="J150" s="157"/>
      <c r="K150" s="158"/>
      <c r="L150" s="159"/>
      <c r="M150" s="157"/>
      <c r="N150" s="157"/>
      <c r="O150" s="160"/>
      <c r="P150" s="160"/>
      <c r="Q150" s="161" t="str">
        <f>IFERROR(VLOOKUP(O150,Risk.Matrix,MATCH(P150,Data!$P$59:$U$59,0),FALSE),"")</f>
        <v/>
      </c>
      <c r="R150" s="237"/>
      <c r="S150" s="158"/>
      <c r="T150" s="162"/>
      <c r="U150" s="186"/>
      <c r="V150" s="160"/>
      <c r="W150" s="160"/>
      <c r="X150" s="161" t="str">
        <f>IFERROR(VLOOKUP(V150,Risk.Matrix,MATCH(W150,Data!$P$59:$U$59,0),FALSE),"")</f>
        <v/>
      </c>
      <c r="Y150" s="158"/>
      <c r="Z150" s="160"/>
      <c r="AA150" s="237"/>
      <c r="AB150" s="158"/>
      <c r="AC150" s="160"/>
      <c r="AD150" s="186"/>
      <c r="AE150" s="241"/>
      <c r="AF150" s="268"/>
      <c r="AG150" s="270"/>
      <c r="AH150" s="267"/>
    </row>
    <row r="151" spans="1:34" s="184" customFormat="1" ht="69.900000000000006" customHeight="1" x14ac:dyDescent="0.2">
      <c r="A151" s="267"/>
      <c r="B151" s="188">
        <v>136</v>
      </c>
      <c r="C151" s="237"/>
      <c r="D151" s="237"/>
      <c r="E151" s="237"/>
      <c r="F151" s="237"/>
      <c r="G151" s="419"/>
      <c r="H151" s="419"/>
      <c r="I151" s="157"/>
      <c r="J151" s="157"/>
      <c r="K151" s="158"/>
      <c r="L151" s="159"/>
      <c r="M151" s="157"/>
      <c r="N151" s="157"/>
      <c r="O151" s="160"/>
      <c r="P151" s="160"/>
      <c r="Q151" s="161" t="str">
        <f>IFERROR(VLOOKUP(O151,Risk.Matrix,MATCH(P151,Data!$P$59:$U$59,0),FALSE),"")</f>
        <v/>
      </c>
      <c r="R151" s="237"/>
      <c r="S151" s="158"/>
      <c r="T151" s="162"/>
      <c r="U151" s="186"/>
      <c r="V151" s="160"/>
      <c r="W151" s="160"/>
      <c r="X151" s="161" t="str">
        <f>IFERROR(VLOOKUP(V151,Risk.Matrix,MATCH(W151,Data!$P$59:$U$59,0),FALSE),"")</f>
        <v/>
      </c>
      <c r="Y151" s="158"/>
      <c r="Z151" s="160"/>
      <c r="AA151" s="237"/>
      <c r="AB151" s="158"/>
      <c r="AC151" s="160"/>
      <c r="AD151" s="186"/>
      <c r="AE151" s="241"/>
      <c r="AF151" s="268"/>
      <c r="AG151" s="270"/>
      <c r="AH151" s="267"/>
    </row>
    <row r="152" spans="1:34" s="184" customFormat="1" ht="69.900000000000006" customHeight="1" x14ac:dyDescent="0.2">
      <c r="A152" s="267"/>
      <c r="B152" s="188">
        <v>137</v>
      </c>
      <c r="C152" s="237"/>
      <c r="D152" s="237"/>
      <c r="E152" s="237"/>
      <c r="F152" s="237"/>
      <c r="G152" s="419"/>
      <c r="H152" s="419"/>
      <c r="I152" s="157"/>
      <c r="J152" s="157"/>
      <c r="K152" s="158"/>
      <c r="L152" s="159"/>
      <c r="M152" s="157"/>
      <c r="N152" s="157"/>
      <c r="O152" s="160"/>
      <c r="P152" s="160"/>
      <c r="Q152" s="161" t="str">
        <f>IFERROR(VLOOKUP(O152,Risk.Matrix,MATCH(P152,Data!$P$59:$U$59,0),FALSE),"")</f>
        <v/>
      </c>
      <c r="R152" s="237"/>
      <c r="S152" s="158"/>
      <c r="T152" s="162"/>
      <c r="U152" s="186"/>
      <c r="V152" s="160"/>
      <c r="W152" s="160"/>
      <c r="X152" s="161" t="str">
        <f>IFERROR(VLOOKUP(V152,Risk.Matrix,MATCH(W152,Data!$P$59:$U$59,0),FALSE),"")</f>
        <v/>
      </c>
      <c r="Y152" s="158"/>
      <c r="Z152" s="160"/>
      <c r="AA152" s="237"/>
      <c r="AB152" s="158"/>
      <c r="AC152" s="160"/>
      <c r="AD152" s="186"/>
      <c r="AE152" s="241"/>
      <c r="AF152" s="268"/>
      <c r="AG152" s="270"/>
      <c r="AH152" s="267"/>
    </row>
    <row r="153" spans="1:34" s="184" customFormat="1" ht="69.900000000000006" customHeight="1" x14ac:dyDescent="0.2">
      <c r="A153" s="267"/>
      <c r="B153" s="188">
        <v>138</v>
      </c>
      <c r="C153" s="237"/>
      <c r="D153" s="237"/>
      <c r="E153" s="237"/>
      <c r="F153" s="237"/>
      <c r="G153" s="419"/>
      <c r="H153" s="419"/>
      <c r="I153" s="157"/>
      <c r="J153" s="157"/>
      <c r="K153" s="158"/>
      <c r="L153" s="159"/>
      <c r="M153" s="157"/>
      <c r="N153" s="157"/>
      <c r="O153" s="160"/>
      <c r="P153" s="160"/>
      <c r="Q153" s="161" t="str">
        <f>IFERROR(VLOOKUP(O153,Risk.Matrix,MATCH(P153,Data!$P$59:$U$59,0),FALSE),"")</f>
        <v/>
      </c>
      <c r="R153" s="237"/>
      <c r="S153" s="158"/>
      <c r="T153" s="162"/>
      <c r="U153" s="186"/>
      <c r="V153" s="160"/>
      <c r="W153" s="160"/>
      <c r="X153" s="161" t="str">
        <f>IFERROR(VLOOKUP(V153,Risk.Matrix,MATCH(W153,Data!$P$59:$U$59,0),FALSE),"")</f>
        <v/>
      </c>
      <c r="Y153" s="158"/>
      <c r="Z153" s="160"/>
      <c r="AA153" s="237"/>
      <c r="AB153" s="158"/>
      <c r="AC153" s="160"/>
      <c r="AD153" s="186"/>
      <c r="AE153" s="241"/>
      <c r="AF153" s="268"/>
      <c r="AG153" s="270"/>
      <c r="AH153" s="267"/>
    </row>
    <row r="154" spans="1:34" s="184" customFormat="1" ht="69.900000000000006" customHeight="1" x14ac:dyDescent="0.2">
      <c r="A154" s="267"/>
      <c r="B154" s="188">
        <v>139</v>
      </c>
      <c r="C154" s="237"/>
      <c r="D154" s="237"/>
      <c r="E154" s="237"/>
      <c r="F154" s="237"/>
      <c r="G154" s="419"/>
      <c r="H154" s="419"/>
      <c r="I154" s="157"/>
      <c r="J154" s="157"/>
      <c r="K154" s="158"/>
      <c r="L154" s="159"/>
      <c r="M154" s="157"/>
      <c r="N154" s="157"/>
      <c r="O154" s="160"/>
      <c r="P154" s="160"/>
      <c r="Q154" s="161" t="str">
        <f>IFERROR(VLOOKUP(O154,Risk.Matrix,MATCH(P154,Data!$P$59:$U$59,0),FALSE),"")</f>
        <v/>
      </c>
      <c r="R154" s="237"/>
      <c r="S154" s="158"/>
      <c r="T154" s="162"/>
      <c r="U154" s="186"/>
      <c r="V154" s="160"/>
      <c r="W154" s="160"/>
      <c r="X154" s="161" t="str">
        <f>IFERROR(VLOOKUP(V154,Risk.Matrix,MATCH(W154,Data!$P$59:$U$59,0),FALSE),"")</f>
        <v/>
      </c>
      <c r="Y154" s="158"/>
      <c r="Z154" s="160"/>
      <c r="AA154" s="237"/>
      <c r="AB154" s="158"/>
      <c r="AC154" s="160"/>
      <c r="AD154" s="186"/>
      <c r="AE154" s="241"/>
      <c r="AF154" s="268"/>
      <c r="AG154" s="270"/>
      <c r="AH154" s="267"/>
    </row>
    <row r="155" spans="1:34" s="184" customFormat="1" ht="69.900000000000006" customHeight="1" x14ac:dyDescent="0.2">
      <c r="A155" s="267"/>
      <c r="B155" s="188">
        <v>140</v>
      </c>
      <c r="C155" s="237"/>
      <c r="D155" s="237"/>
      <c r="E155" s="237"/>
      <c r="F155" s="237"/>
      <c r="G155" s="419"/>
      <c r="H155" s="419"/>
      <c r="I155" s="157"/>
      <c r="J155" s="157"/>
      <c r="K155" s="158"/>
      <c r="L155" s="159"/>
      <c r="M155" s="157"/>
      <c r="N155" s="157"/>
      <c r="O155" s="160"/>
      <c r="P155" s="160"/>
      <c r="Q155" s="161" t="str">
        <f>IFERROR(VLOOKUP(O155,Risk.Matrix,MATCH(P155,Data!$P$59:$U$59,0),FALSE),"")</f>
        <v/>
      </c>
      <c r="R155" s="237"/>
      <c r="S155" s="158"/>
      <c r="T155" s="162"/>
      <c r="U155" s="186"/>
      <c r="V155" s="160"/>
      <c r="W155" s="160"/>
      <c r="X155" s="161" t="str">
        <f>IFERROR(VLOOKUP(V155,Risk.Matrix,MATCH(W155,Data!$P$59:$U$59,0),FALSE),"")</f>
        <v/>
      </c>
      <c r="Y155" s="158"/>
      <c r="Z155" s="160"/>
      <c r="AA155" s="237"/>
      <c r="AB155" s="158"/>
      <c r="AC155" s="160"/>
      <c r="AD155" s="186"/>
      <c r="AE155" s="241"/>
      <c r="AF155" s="268"/>
      <c r="AG155" s="270"/>
      <c r="AH155" s="267"/>
    </row>
    <row r="156" spans="1:34" s="184" customFormat="1" ht="69.900000000000006" customHeight="1" x14ac:dyDescent="0.2">
      <c r="A156" s="267"/>
      <c r="B156" s="188">
        <v>141</v>
      </c>
      <c r="C156" s="237"/>
      <c r="D156" s="237"/>
      <c r="E156" s="237"/>
      <c r="F156" s="237"/>
      <c r="G156" s="419"/>
      <c r="H156" s="419"/>
      <c r="I156" s="157"/>
      <c r="J156" s="157"/>
      <c r="K156" s="158"/>
      <c r="L156" s="159"/>
      <c r="M156" s="157"/>
      <c r="N156" s="157"/>
      <c r="O156" s="160"/>
      <c r="P156" s="160"/>
      <c r="Q156" s="161" t="str">
        <f>IFERROR(VLOOKUP(O156,Risk.Matrix,MATCH(P156,Data!$P$59:$U$59,0),FALSE),"")</f>
        <v/>
      </c>
      <c r="R156" s="237"/>
      <c r="S156" s="158"/>
      <c r="T156" s="162"/>
      <c r="U156" s="186"/>
      <c r="V156" s="160"/>
      <c r="W156" s="160"/>
      <c r="X156" s="161" t="str">
        <f>IFERROR(VLOOKUP(V156,Risk.Matrix,MATCH(W156,Data!$P$59:$U$59,0),FALSE),"")</f>
        <v/>
      </c>
      <c r="Y156" s="158"/>
      <c r="Z156" s="160"/>
      <c r="AA156" s="237"/>
      <c r="AB156" s="158"/>
      <c r="AC156" s="160"/>
      <c r="AD156" s="186"/>
      <c r="AE156" s="241"/>
      <c r="AF156" s="268"/>
      <c r="AG156" s="270"/>
      <c r="AH156" s="267"/>
    </row>
    <row r="157" spans="1:34" s="184" customFormat="1" ht="69.900000000000006" customHeight="1" x14ac:dyDescent="0.2">
      <c r="A157" s="267"/>
      <c r="B157" s="188">
        <v>142</v>
      </c>
      <c r="C157" s="237"/>
      <c r="D157" s="237"/>
      <c r="E157" s="237"/>
      <c r="F157" s="237"/>
      <c r="G157" s="419"/>
      <c r="H157" s="419"/>
      <c r="I157" s="157"/>
      <c r="J157" s="157"/>
      <c r="K157" s="158"/>
      <c r="L157" s="159"/>
      <c r="M157" s="157"/>
      <c r="N157" s="157"/>
      <c r="O157" s="160"/>
      <c r="P157" s="160"/>
      <c r="Q157" s="161" t="str">
        <f>IFERROR(VLOOKUP(O157,Risk.Matrix,MATCH(P157,Data!$P$59:$U$59,0),FALSE),"")</f>
        <v/>
      </c>
      <c r="R157" s="237"/>
      <c r="S157" s="158"/>
      <c r="T157" s="162"/>
      <c r="U157" s="186"/>
      <c r="V157" s="160"/>
      <c r="W157" s="160"/>
      <c r="X157" s="161" t="str">
        <f>IFERROR(VLOOKUP(V157,Risk.Matrix,MATCH(W157,Data!$P$59:$U$59,0),FALSE),"")</f>
        <v/>
      </c>
      <c r="Y157" s="158"/>
      <c r="Z157" s="160"/>
      <c r="AA157" s="237"/>
      <c r="AB157" s="158"/>
      <c r="AC157" s="160"/>
      <c r="AD157" s="186"/>
      <c r="AE157" s="241"/>
      <c r="AF157" s="268"/>
      <c r="AG157" s="270"/>
      <c r="AH157" s="267"/>
    </row>
    <row r="158" spans="1:34" s="184" customFormat="1" ht="69.900000000000006" customHeight="1" x14ac:dyDescent="0.2">
      <c r="A158" s="267"/>
      <c r="B158" s="188">
        <v>143</v>
      </c>
      <c r="C158" s="237"/>
      <c r="D158" s="237"/>
      <c r="E158" s="237"/>
      <c r="F158" s="237"/>
      <c r="G158" s="419"/>
      <c r="H158" s="419"/>
      <c r="I158" s="157"/>
      <c r="J158" s="157"/>
      <c r="K158" s="158"/>
      <c r="L158" s="159"/>
      <c r="M158" s="157"/>
      <c r="N158" s="157"/>
      <c r="O158" s="160"/>
      <c r="P158" s="160"/>
      <c r="Q158" s="161" t="str">
        <f>IFERROR(VLOOKUP(O158,Risk.Matrix,MATCH(P158,Data!$P$59:$U$59,0),FALSE),"")</f>
        <v/>
      </c>
      <c r="R158" s="237"/>
      <c r="S158" s="158"/>
      <c r="T158" s="162"/>
      <c r="U158" s="186"/>
      <c r="V158" s="160"/>
      <c r="W158" s="160"/>
      <c r="X158" s="161" t="str">
        <f>IFERROR(VLOOKUP(V158,Risk.Matrix,MATCH(W158,Data!$P$59:$U$59,0),FALSE),"")</f>
        <v/>
      </c>
      <c r="Y158" s="158"/>
      <c r="Z158" s="160"/>
      <c r="AA158" s="237"/>
      <c r="AB158" s="158"/>
      <c r="AC158" s="160"/>
      <c r="AD158" s="186"/>
      <c r="AE158" s="241"/>
      <c r="AF158" s="268"/>
      <c r="AG158" s="270"/>
      <c r="AH158" s="267"/>
    </row>
    <row r="159" spans="1:34" s="184" customFormat="1" ht="69.900000000000006" customHeight="1" x14ac:dyDescent="0.2">
      <c r="A159" s="267"/>
      <c r="B159" s="188">
        <v>144</v>
      </c>
      <c r="C159" s="237"/>
      <c r="D159" s="237"/>
      <c r="E159" s="237"/>
      <c r="F159" s="237"/>
      <c r="G159" s="419"/>
      <c r="H159" s="419"/>
      <c r="I159" s="157"/>
      <c r="J159" s="157"/>
      <c r="K159" s="158"/>
      <c r="L159" s="159"/>
      <c r="M159" s="157"/>
      <c r="N159" s="157"/>
      <c r="O159" s="160"/>
      <c r="P159" s="160"/>
      <c r="Q159" s="161" t="str">
        <f>IFERROR(VLOOKUP(O159,Risk.Matrix,MATCH(P159,Data!$P$59:$U$59,0),FALSE),"")</f>
        <v/>
      </c>
      <c r="R159" s="237"/>
      <c r="S159" s="158"/>
      <c r="T159" s="162"/>
      <c r="U159" s="186"/>
      <c r="V159" s="160"/>
      <c r="W159" s="160"/>
      <c r="X159" s="161" t="str">
        <f>IFERROR(VLOOKUP(V159,Risk.Matrix,MATCH(W159,Data!$P$59:$U$59,0),FALSE),"")</f>
        <v/>
      </c>
      <c r="Y159" s="158"/>
      <c r="Z159" s="160"/>
      <c r="AA159" s="237"/>
      <c r="AB159" s="158"/>
      <c r="AC159" s="160"/>
      <c r="AD159" s="186"/>
      <c r="AE159" s="241"/>
      <c r="AF159" s="268"/>
      <c r="AG159" s="270"/>
      <c r="AH159" s="267"/>
    </row>
    <row r="160" spans="1:34" s="184" customFormat="1" ht="69.900000000000006" customHeight="1" x14ac:dyDescent="0.2">
      <c r="A160" s="267"/>
      <c r="B160" s="188">
        <v>145</v>
      </c>
      <c r="C160" s="237"/>
      <c r="D160" s="237"/>
      <c r="E160" s="237"/>
      <c r="F160" s="237"/>
      <c r="G160" s="419"/>
      <c r="H160" s="419"/>
      <c r="I160" s="157"/>
      <c r="J160" s="157"/>
      <c r="K160" s="158"/>
      <c r="L160" s="159"/>
      <c r="M160" s="157"/>
      <c r="N160" s="157"/>
      <c r="O160" s="160"/>
      <c r="P160" s="160"/>
      <c r="Q160" s="161" t="str">
        <f>IFERROR(VLOOKUP(O160,Risk.Matrix,MATCH(P160,Data!$P$59:$U$59,0),FALSE),"")</f>
        <v/>
      </c>
      <c r="R160" s="237"/>
      <c r="S160" s="158"/>
      <c r="T160" s="162"/>
      <c r="U160" s="186"/>
      <c r="V160" s="160"/>
      <c r="W160" s="160"/>
      <c r="X160" s="161" t="str">
        <f>IFERROR(VLOOKUP(V160,Risk.Matrix,MATCH(W160,Data!$P$59:$U$59,0),FALSE),"")</f>
        <v/>
      </c>
      <c r="Y160" s="158"/>
      <c r="Z160" s="160"/>
      <c r="AA160" s="237"/>
      <c r="AB160" s="158"/>
      <c r="AC160" s="160"/>
      <c r="AD160" s="186"/>
      <c r="AE160" s="241"/>
      <c r="AF160" s="268"/>
      <c r="AG160" s="270"/>
      <c r="AH160" s="267"/>
    </row>
    <row r="161" spans="1:34" s="184" customFormat="1" ht="69.900000000000006" customHeight="1" x14ac:dyDescent="0.2">
      <c r="A161" s="267"/>
      <c r="B161" s="188">
        <v>146</v>
      </c>
      <c r="C161" s="237"/>
      <c r="D161" s="237"/>
      <c r="E161" s="237"/>
      <c r="F161" s="237"/>
      <c r="G161" s="419"/>
      <c r="H161" s="419"/>
      <c r="I161" s="157"/>
      <c r="J161" s="157"/>
      <c r="K161" s="158"/>
      <c r="L161" s="159"/>
      <c r="M161" s="157"/>
      <c r="N161" s="157"/>
      <c r="O161" s="160"/>
      <c r="P161" s="160"/>
      <c r="Q161" s="161" t="str">
        <f>IFERROR(VLOOKUP(O161,Risk.Matrix,MATCH(P161,Data!$P$59:$U$59,0),FALSE),"")</f>
        <v/>
      </c>
      <c r="R161" s="237"/>
      <c r="S161" s="158"/>
      <c r="T161" s="162"/>
      <c r="U161" s="186"/>
      <c r="V161" s="160"/>
      <c r="W161" s="160"/>
      <c r="X161" s="161" t="str">
        <f>IFERROR(VLOOKUP(V161,Risk.Matrix,MATCH(W161,Data!$P$59:$U$59,0),FALSE),"")</f>
        <v/>
      </c>
      <c r="Y161" s="158"/>
      <c r="Z161" s="160"/>
      <c r="AA161" s="237"/>
      <c r="AB161" s="158"/>
      <c r="AC161" s="160"/>
      <c r="AD161" s="186"/>
      <c r="AE161" s="241"/>
      <c r="AF161" s="268"/>
      <c r="AG161" s="270"/>
      <c r="AH161" s="267"/>
    </row>
    <row r="162" spans="1:34" s="184" customFormat="1" ht="69.900000000000006" customHeight="1" x14ac:dyDescent="0.2">
      <c r="A162" s="267"/>
      <c r="B162" s="188">
        <v>147</v>
      </c>
      <c r="C162" s="237"/>
      <c r="D162" s="237"/>
      <c r="E162" s="237"/>
      <c r="F162" s="237"/>
      <c r="G162" s="419"/>
      <c r="H162" s="419"/>
      <c r="I162" s="157"/>
      <c r="J162" s="157"/>
      <c r="K162" s="158"/>
      <c r="L162" s="159"/>
      <c r="M162" s="157"/>
      <c r="N162" s="157"/>
      <c r="O162" s="160"/>
      <c r="P162" s="160"/>
      <c r="Q162" s="161" t="str">
        <f>IFERROR(VLOOKUP(O162,Risk.Matrix,MATCH(P162,Data!$P$59:$U$59,0),FALSE),"")</f>
        <v/>
      </c>
      <c r="R162" s="237"/>
      <c r="S162" s="158"/>
      <c r="T162" s="162"/>
      <c r="U162" s="186"/>
      <c r="V162" s="160"/>
      <c r="W162" s="160"/>
      <c r="X162" s="161" t="str">
        <f>IFERROR(VLOOKUP(V162,Risk.Matrix,MATCH(W162,Data!$P$59:$U$59,0),FALSE),"")</f>
        <v/>
      </c>
      <c r="Y162" s="158"/>
      <c r="Z162" s="160"/>
      <c r="AA162" s="237"/>
      <c r="AB162" s="158"/>
      <c r="AC162" s="160"/>
      <c r="AD162" s="186"/>
      <c r="AE162" s="241"/>
      <c r="AF162" s="268"/>
      <c r="AG162" s="270"/>
      <c r="AH162" s="267"/>
    </row>
    <row r="163" spans="1:34" s="184" customFormat="1" ht="69.900000000000006" customHeight="1" x14ac:dyDescent="0.2">
      <c r="A163" s="267"/>
      <c r="B163" s="188">
        <v>148</v>
      </c>
      <c r="C163" s="237"/>
      <c r="D163" s="237"/>
      <c r="E163" s="237"/>
      <c r="F163" s="237"/>
      <c r="G163" s="419"/>
      <c r="H163" s="419"/>
      <c r="I163" s="157"/>
      <c r="J163" s="157"/>
      <c r="K163" s="158"/>
      <c r="L163" s="159"/>
      <c r="M163" s="157"/>
      <c r="N163" s="157"/>
      <c r="O163" s="160"/>
      <c r="P163" s="160"/>
      <c r="Q163" s="161" t="str">
        <f>IFERROR(VLOOKUP(O163,Risk.Matrix,MATCH(P163,Data!$P$59:$U$59,0),FALSE),"")</f>
        <v/>
      </c>
      <c r="R163" s="237"/>
      <c r="S163" s="158"/>
      <c r="T163" s="162"/>
      <c r="U163" s="186"/>
      <c r="V163" s="160"/>
      <c r="W163" s="160"/>
      <c r="X163" s="161" t="str">
        <f>IFERROR(VLOOKUP(V163,Risk.Matrix,MATCH(W163,Data!$P$59:$U$59,0),FALSE),"")</f>
        <v/>
      </c>
      <c r="Y163" s="158"/>
      <c r="Z163" s="160"/>
      <c r="AA163" s="237"/>
      <c r="AB163" s="158"/>
      <c r="AC163" s="160"/>
      <c r="AD163" s="186"/>
      <c r="AE163" s="241"/>
      <c r="AF163" s="268"/>
      <c r="AG163" s="270"/>
      <c r="AH163" s="267"/>
    </row>
    <row r="164" spans="1:34" s="184" customFormat="1" ht="69.900000000000006" customHeight="1" x14ac:dyDescent="0.2">
      <c r="A164" s="267"/>
      <c r="B164" s="188">
        <v>149</v>
      </c>
      <c r="C164" s="237"/>
      <c r="D164" s="237"/>
      <c r="E164" s="237"/>
      <c r="F164" s="237"/>
      <c r="G164" s="419"/>
      <c r="H164" s="419"/>
      <c r="I164" s="157"/>
      <c r="J164" s="157"/>
      <c r="K164" s="158"/>
      <c r="L164" s="159"/>
      <c r="M164" s="157"/>
      <c r="N164" s="157"/>
      <c r="O164" s="160"/>
      <c r="P164" s="160"/>
      <c r="Q164" s="161" t="str">
        <f>IFERROR(VLOOKUP(O164,Risk.Matrix,MATCH(P164,Data!$P$59:$U$59,0),FALSE),"")</f>
        <v/>
      </c>
      <c r="R164" s="237"/>
      <c r="S164" s="158"/>
      <c r="T164" s="162"/>
      <c r="U164" s="186"/>
      <c r="V164" s="160"/>
      <c r="W164" s="160"/>
      <c r="X164" s="161" t="str">
        <f>IFERROR(VLOOKUP(V164,Risk.Matrix,MATCH(W164,Data!$P$59:$U$59,0),FALSE),"")</f>
        <v/>
      </c>
      <c r="Y164" s="158"/>
      <c r="Z164" s="160"/>
      <c r="AA164" s="237"/>
      <c r="AB164" s="158"/>
      <c r="AC164" s="160"/>
      <c r="AD164" s="186"/>
      <c r="AE164" s="241"/>
      <c r="AF164" s="268"/>
      <c r="AG164" s="270"/>
      <c r="AH164" s="267"/>
    </row>
    <row r="165" spans="1:34" s="184" customFormat="1" ht="69.900000000000006" customHeight="1" x14ac:dyDescent="0.2">
      <c r="A165" s="267"/>
      <c r="B165" s="188">
        <v>150</v>
      </c>
      <c r="C165" s="237"/>
      <c r="D165" s="237"/>
      <c r="E165" s="237"/>
      <c r="F165" s="237"/>
      <c r="G165" s="419"/>
      <c r="H165" s="419"/>
      <c r="I165" s="157"/>
      <c r="J165" s="157"/>
      <c r="K165" s="158"/>
      <c r="L165" s="159"/>
      <c r="M165" s="157"/>
      <c r="N165" s="157"/>
      <c r="O165" s="160"/>
      <c r="P165" s="160"/>
      <c r="Q165" s="161" t="str">
        <f>IFERROR(VLOOKUP(O165,Risk.Matrix,MATCH(P165,Data!$P$59:$U$59,0),FALSE),"")</f>
        <v/>
      </c>
      <c r="R165" s="237"/>
      <c r="S165" s="158"/>
      <c r="T165" s="162"/>
      <c r="U165" s="186"/>
      <c r="V165" s="160"/>
      <c r="W165" s="160"/>
      <c r="X165" s="161" t="str">
        <f>IFERROR(VLOOKUP(V165,Risk.Matrix,MATCH(W165,Data!$P$59:$U$59,0),FALSE),"")</f>
        <v/>
      </c>
      <c r="Y165" s="158"/>
      <c r="Z165" s="160"/>
      <c r="AA165" s="237"/>
      <c r="AB165" s="158"/>
      <c r="AC165" s="160"/>
      <c r="AD165" s="186"/>
      <c r="AE165" s="241"/>
      <c r="AF165" s="268"/>
      <c r="AG165" s="270"/>
      <c r="AH165" s="267"/>
    </row>
    <row r="166" spans="1:34" s="184" customFormat="1" ht="69.900000000000006" customHeight="1" x14ac:dyDescent="0.2">
      <c r="A166" s="267"/>
      <c r="B166" s="188">
        <v>151</v>
      </c>
      <c r="C166" s="237"/>
      <c r="D166" s="237"/>
      <c r="E166" s="237"/>
      <c r="F166" s="237"/>
      <c r="G166" s="419"/>
      <c r="H166" s="419"/>
      <c r="I166" s="157"/>
      <c r="J166" s="157"/>
      <c r="K166" s="158"/>
      <c r="L166" s="159"/>
      <c r="M166" s="157"/>
      <c r="N166" s="157"/>
      <c r="O166" s="160"/>
      <c r="P166" s="160"/>
      <c r="Q166" s="161" t="str">
        <f>IFERROR(VLOOKUP(O166,Risk.Matrix,MATCH(P166,Data!$P$59:$U$59,0),FALSE),"")</f>
        <v/>
      </c>
      <c r="R166" s="237"/>
      <c r="S166" s="158"/>
      <c r="T166" s="162"/>
      <c r="U166" s="186"/>
      <c r="V166" s="160"/>
      <c r="W166" s="160"/>
      <c r="X166" s="161" t="str">
        <f>IFERROR(VLOOKUP(V166,Risk.Matrix,MATCH(W166,Data!$P$59:$U$59,0),FALSE),"")</f>
        <v/>
      </c>
      <c r="Y166" s="158"/>
      <c r="Z166" s="160"/>
      <c r="AA166" s="237"/>
      <c r="AB166" s="158"/>
      <c r="AC166" s="160"/>
      <c r="AD166" s="186"/>
      <c r="AE166" s="241"/>
      <c r="AF166" s="268"/>
      <c r="AG166" s="270"/>
      <c r="AH166" s="267"/>
    </row>
    <row r="167" spans="1:34" s="184" customFormat="1" ht="69.900000000000006" customHeight="1" x14ac:dyDescent="0.2">
      <c r="A167" s="267"/>
      <c r="B167" s="188">
        <v>152</v>
      </c>
      <c r="C167" s="237"/>
      <c r="D167" s="237"/>
      <c r="E167" s="237"/>
      <c r="F167" s="237"/>
      <c r="G167" s="419"/>
      <c r="H167" s="419"/>
      <c r="I167" s="157"/>
      <c r="J167" s="157"/>
      <c r="K167" s="158"/>
      <c r="L167" s="159"/>
      <c r="M167" s="157"/>
      <c r="N167" s="157"/>
      <c r="O167" s="160"/>
      <c r="P167" s="160"/>
      <c r="Q167" s="161" t="str">
        <f>IFERROR(VLOOKUP(O167,Risk.Matrix,MATCH(P167,Data!$P$59:$U$59,0),FALSE),"")</f>
        <v/>
      </c>
      <c r="R167" s="237"/>
      <c r="S167" s="158"/>
      <c r="T167" s="162"/>
      <c r="U167" s="186"/>
      <c r="V167" s="160"/>
      <c r="W167" s="160"/>
      <c r="X167" s="161" t="str">
        <f>IFERROR(VLOOKUP(V167,Risk.Matrix,MATCH(W167,Data!$P$59:$U$59,0),FALSE),"")</f>
        <v/>
      </c>
      <c r="Y167" s="158"/>
      <c r="Z167" s="160"/>
      <c r="AA167" s="237"/>
      <c r="AB167" s="158"/>
      <c r="AC167" s="160"/>
      <c r="AD167" s="186"/>
      <c r="AE167" s="241"/>
      <c r="AF167" s="268"/>
      <c r="AG167" s="270"/>
      <c r="AH167" s="267"/>
    </row>
    <row r="168" spans="1:34" s="184" customFormat="1" ht="69.900000000000006" customHeight="1" x14ac:dyDescent="0.2">
      <c r="A168" s="267"/>
      <c r="B168" s="188">
        <v>153</v>
      </c>
      <c r="C168" s="237"/>
      <c r="D168" s="237"/>
      <c r="E168" s="237"/>
      <c r="F168" s="237"/>
      <c r="G168" s="419"/>
      <c r="H168" s="419"/>
      <c r="I168" s="157"/>
      <c r="J168" s="157"/>
      <c r="K168" s="158"/>
      <c r="L168" s="159"/>
      <c r="M168" s="157"/>
      <c r="N168" s="157"/>
      <c r="O168" s="160"/>
      <c r="P168" s="160"/>
      <c r="Q168" s="161" t="str">
        <f>IFERROR(VLOOKUP(O168,Risk.Matrix,MATCH(P168,Data!$P$59:$U$59,0),FALSE),"")</f>
        <v/>
      </c>
      <c r="R168" s="237"/>
      <c r="S168" s="158"/>
      <c r="T168" s="162"/>
      <c r="U168" s="186"/>
      <c r="V168" s="160"/>
      <c r="W168" s="160"/>
      <c r="X168" s="161" t="str">
        <f>IFERROR(VLOOKUP(V168,Risk.Matrix,MATCH(W168,Data!$P$59:$U$59,0),FALSE),"")</f>
        <v/>
      </c>
      <c r="Y168" s="158"/>
      <c r="Z168" s="160"/>
      <c r="AA168" s="237"/>
      <c r="AB168" s="158"/>
      <c r="AC168" s="160"/>
      <c r="AD168" s="186"/>
      <c r="AE168" s="241"/>
      <c r="AF168" s="268"/>
      <c r="AG168" s="270"/>
      <c r="AH168" s="267"/>
    </row>
    <row r="169" spans="1:34" s="184" customFormat="1" ht="69.900000000000006" customHeight="1" x14ac:dyDescent="0.2">
      <c r="A169" s="267"/>
      <c r="B169" s="188">
        <v>154</v>
      </c>
      <c r="C169" s="237"/>
      <c r="D169" s="237"/>
      <c r="E169" s="237"/>
      <c r="F169" s="237"/>
      <c r="G169" s="419"/>
      <c r="H169" s="419"/>
      <c r="I169" s="157"/>
      <c r="J169" s="157"/>
      <c r="K169" s="158"/>
      <c r="L169" s="159"/>
      <c r="M169" s="157"/>
      <c r="N169" s="157"/>
      <c r="O169" s="160"/>
      <c r="P169" s="160"/>
      <c r="Q169" s="161" t="str">
        <f>IFERROR(VLOOKUP(O169,Risk.Matrix,MATCH(P169,Data!$P$59:$U$59,0),FALSE),"")</f>
        <v/>
      </c>
      <c r="R169" s="237"/>
      <c r="S169" s="158"/>
      <c r="T169" s="162"/>
      <c r="U169" s="186"/>
      <c r="V169" s="160"/>
      <c r="W169" s="160"/>
      <c r="X169" s="161" t="str">
        <f>IFERROR(VLOOKUP(V169,Risk.Matrix,MATCH(W169,Data!$P$59:$U$59,0),FALSE),"")</f>
        <v/>
      </c>
      <c r="Y169" s="158"/>
      <c r="Z169" s="160"/>
      <c r="AA169" s="237"/>
      <c r="AB169" s="158"/>
      <c r="AC169" s="160"/>
      <c r="AD169" s="186"/>
      <c r="AE169" s="241"/>
      <c r="AF169" s="268"/>
      <c r="AG169" s="270"/>
      <c r="AH169" s="267"/>
    </row>
    <row r="170" spans="1:34" s="184" customFormat="1" ht="69.900000000000006" customHeight="1" x14ac:dyDescent="0.2">
      <c r="A170" s="267"/>
      <c r="B170" s="188">
        <v>155</v>
      </c>
      <c r="C170" s="237"/>
      <c r="D170" s="237"/>
      <c r="E170" s="237"/>
      <c r="F170" s="237"/>
      <c r="G170" s="419"/>
      <c r="H170" s="419"/>
      <c r="I170" s="157"/>
      <c r="J170" s="157"/>
      <c r="K170" s="158"/>
      <c r="L170" s="159"/>
      <c r="M170" s="157"/>
      <c r="N170" s="157"/>
      <c r="O170" s="160"/>
      <c r="P170" s="160"/>
      <c r="Q170" s="161" t="str">
        <f>IFERROR(VLOOKUP(O170,Risk.Matrix,MATCH(P170,Data!$P$59:$U$59,0),FALSE),"")</f>
        <v/>
      </c>
      <c r="R170" s="237"/>
      <c r="S170" s="158"/>
      <c r="T170" s="162"/>
      <c r="U170" s="186"/>
      <c r="V170" s="160"/>
      <c r="W170" s="160"/>
      <c r="X170" s="161" t="str">
        <f>IFERROR(VLOOKUP(V170,Risk.Matrix,MATCH(W170,Data!$P$59:$U$59,0),FALSE),"")</f>
        <v/>
      </c>
      <c r="Y170" s="158"/>
      <c r="Z170" s="160"/>
      <c r="AA170" s="237"/>
      <c r="AB170" s="158"/>
      <c r="AC170" s="160"/>
      <c r="AD170" s="186"/>
      <c r="AE170" s="241"/>
      <c r="AF170" s="268"/>
      <c r="AG170" s="270"/>
      <c r="AH170" s="267"/>
    </row>
    <row r="171" spans="1:34" s="184" customFormat="1" ht="69.900000000000006" customHeight="1" x14ac:dyDescent="0.2">
      <c r="A171" s="267"/>
      <c r="B171" s="188">
        <v>156</v>
      </c>
      <c r="C171" s="237"/>
      <c r="D171" s="237"/>
      <c r="E171" s="237"/>
      <c r="F171" s="237"/>
      <c r="G171" s="419"/>
      <c r="H171" s="419"/>
      <c r="I171" s="157"/>
      <c r="J171" s="157"/>
      <c r="K171" s="158"/>
      <c r="L171" s="159"/>
      <c r="M171" s="157"/>
      <c r="N171" s="157"/>
      <c r="O171" s="160"/>
      <c r="P171" s="160"/>
      <c r="Q171" s="161" t="str">
        <f>IFERROR(VLOOKUP(O171,Risk.Matrix,MATCH(P171,Data!$P$59:$U$59,0),FALSE),"")</f>
        <v/>
      </c>
      <c r="R171" s="237"/>
      <c r="S171" s="158"/>
      <c r="T171" s="162"/>
      <c r="U171" s="186"/>
      <c r="V171" s="160"/>
      <c r="W171" s="160"/>
      <c r="X171" s="161" t="str">
        <f>IFERROR(VLOOKUP(V171,Risk.Matrix,MATCH(W171,Data!$P$59:$U$59,0),FALSE),"")</f>
        <v/>
      </c>
      <c r="Y171" s="158"/>
      <c r="Z171" s="160"/>
      <c r="AA171" s="237"/>
      <c r="AB171" s="158"/>
      <c r="AC171" s="160"/>
      <c r="AD171" s="186"/>
      <c r="AE171" s="241"/>
      <c r="AF171" s="268"/>
      <c r="AG171" s="270"/>
      <c r="AH171" s="267"/>
    </row>
    <row r="172" spans="1:34" s="184" customFormat="1" ht="69.900000000000006" customHeight="1" x14ac:dyDescent="0.2">
      <c r="A172" s="267"/>
      <c r="B172" s="188">
        <v>157</v>
      </c>
      <c r="C172" s="237"/>
      <c r="D172" s="237"/>
      <c r="E172" s="237"/>
      <c r="F172" s="237"/>
      <c r="G172" s="419"/>
      <c r="H172" s="419"/>
      <c r="I172" s="157"/>
      <c r="J172" s="157"/>
      <c r="K172" s="158"/>
      <c r="L172" s="159"/>
      <c r="M172" s="157"/>
      <c r="N172" s="157"/>
      <c r="O172" s="160"/>
      <c r="P172" s="160"/>
      <c r="Q172" s="161" t="str">
        <f>IFERROR(VLOOKUP(O172,Risk.Matrix,MATCH(P172,Data!$P$59:$U$59,0),FALSE),"")</f>
        <v/>
      </c>
      <c r="R172" s="237"/>
      <c r="S172" s="158"/>
      <c r="T172" s="162"/>
      <c r="U172" s="186"/>
      <c r="V172" s="160"/>
      <c r="W172" s="160"/>
      <c r="X172" s="161" t="str">
        <f>IFERROR(VLOOKUP(V172,Risk.Matrix,MATCH(W172,Data!$P$59:$U$59,0),FALSE),"")</f>
        <v/>
      </c>
      <c r="Y172" s="158"/>
      <c r="Z172" s="160"/>
      <c r="AA172" s="237"/>
      <c r="AB172" s="158"/>
      <c r="AC172" s="160"/>
      <c r="AD172" s="186"/>
      <c r="AE172" s="241"/>
      <c r="AF172" s="268"/>
      <c r="AG172" s="270"/>
      <c r="AH172" s="267"/>
    </row>
    <row r="173" spans="1:34" s="184" customFormat="1" ht="69.900000000000006" customHeight="1" x14ac:dyDescent="0.2">
      <c r="A173" s="267"/>
      <c r="B173" s="188">
        <v>158</v>
      </c>
      <c r="C173" s="237"/>
      <c r="D173" s="237"/>
      <c r="E173" s="237"/>
      <c r="F173" s="237"/>
      <c r="G173" s="419"/>
      <c r="H173" s="419"/>
      <c r="I173" s="157"/>
      <c r="J173" s="157"/>
      <c r="K173" s="158"/>
      <c r="L173" s="159"/>
      <c r="M173" s="157"/>
      <c r="N173" s="157"/>
      <c r="O173" s="160"/>
      <c r="P173" s="160"/>
      <c r="Q173" s="161" t="str">
        <f>IFERROR(VLOOKUP(O173,Risk.Matrix,MATCH(P173,Data!$P$59:$U$59,0),FALSE),"")</f>
        <v/>
      </c>
      <c r="R173" s="237"/>
      <c r="S173" s="158"/>
      <c r="T173" s="162"/>
      <c r="U173" s="186"/>
      <c r="V173" s="160"/>
      <c r="W173" s="160"/>
      <c r="X173" s="161" t="str">
        <f>IFERROR(VLOOKUP(V173,Risk.Matrix,MATCH(W173,Data!$P$59:$U$59,0),FALSE),"")</f>
        <v/>
      </c>
      <c r="Y173" s="158"/>
      <c r="Z173" s="160"/>
      <c r="AA173" s="237"/>
      <c r="AB173" s="158"/>
      <c r="AC173" s="160"/>
      <c r="AD173" s="186"/>
      <c r="AE173" s="241"/>
      <c r="AF173" s="268"/>
      <c r="AG173" s="270"/>
      <c r="AH173" s="267"/>
    </row>
    <row r="174" spans="1:34" s="184" customFormat="1" ht="69.900000000000006" customHeight="1" x14ac:dyDescent="0.2">
      <c r="A174" s="267"/>
      <c r="B174" s="188">
        <v>159</v>
      </c>
      <c r="C174" s="237"/>
      <c r="D174" s="237"/>
      <c r="E174" s="237"/>
      <c r="F174" s="237"/>
      <c r="G174" s="419"/>
      <c r="H174" s="419"/>
      <c r="I174" s="157"/>
      <c r="J174" s="157"/>
      <c r="K174" s="158"/>
      <c r="L174" s="159"/>
      <c r="M174" s="157"/>
      <c r="N174" s="157"/>
      <c r="O174" s="160"/>
      <c r="P174" s="160"/>
      <c r="Q174" s="161" t="str">
        <f>IFERROR(VLOOKUP(O174,Risk.Matrix,MATCH(P174,Data!$P$59:$U$59,0),FALSE),"")</f>
        <v/>
      </c>
      <c r="R174" s="237"/>
      <c r="S174" s="158"/>
      <c r="T174" s="162"/>
      <c r="U174" s="186"/>
      <c r="V174" s="160"/>
      <c r="W174" s="160"/>
      <c r="X174" s="161" t="str">
        <f>IFERROR(VLOOKUP(V174,Risk.Matrix,MATCH(W174,Data!$P$59:$U$59,0),FALSE),"")</f>
        <v/>
      </c>
      <c r="Y174" s="158"/>
      <c r="Z174" s="160"/>
      <c r="AA174" s="237"/>
      <c r="AB174" s="158"/>
      <c r="AC174" s="160"/>
      <c r="AD174" s="186"/>
      <c r="AE174" s="241"/>
      <c r="AF174" s="268"/>
      <c r="AG174" s="270"/>
      <c r="AH174" s="267"/>
    </row>
    <row r="175" spans="1:34" s="184" customFormat="1" ht="69.900000000000006" customHeight="1" x14ac:dyDescent="0.2">
      <c r="A175" s="267"/>
      <c r="B175" s="188">
        <v>160</v>
      </c>
      <c r="C175" s="237"/>
      <c r="D175" s="237"/>
      <c r="E175" s="237"/>
      <c r="F175" s="237"/>
      <c r="G175" s="419"/>
      <c r="H175" s="419"/>
      <c r="I175" s="157"/>
      <c r="J175" s="157"/>
      <c r="K175" s="158"/>
      <c r="L175" s="159"/>
      <c r="M175" s="157"/>
      <c r="N175" s="157"/>
      <c r="O175" s="160"/>
      <c r="P175" s="160"/>
      <c r="Q175" s="161" t="str">
        <f>IFERROR(VLOOKUP(O175,Risk.Matrix,MATCH(P175,Data!$P$59:$U$59,0),FALSE),"")</f>
        <v/>
      </c>
      <c r="R175" s="237"/>
      <c r="S175" s="158"/>
      <c r="T175" s="162"/>
      <c r="U175" s="186"/>
      <c r="V175" s="160"/>
      <c r="W175" s="160"/>
      <c r="X175" s="161" t="str">
        <f>IFERROR(VLOOKUP(V175,Risk.Matrix,MATCH(W175,Data!$P$59:$U$59,0),FALSE),"")</f>
        <v/>
      </c>
      <c r="Y175" s="158"/>
      <c r="Z175" s="160"/>
      <c r="AA175" s="237"/>
      <c r="AB175" s="158"/>
      <c r="AC175" s="160"/>
      <c r="AD175" s="186"/>
      <c r="AE175" s="241"/>
      <c r="AF175" s="268"/>
      <c r="AG175" s="270"/>
      <c r="AH175" s="267"/>
    </row>
    <row r="176" spans="1:34" s="184" customFormat="1" ht="69.900000000000006" customHeight="1" x14ac:dyDescent="0.2">
      <c r="A176" s="267"/>
      <c r="B176" s="188">
        <v>161</v>
      </c>
      <c r="C176" s="237"/>
      <c r="D176" s="237"/>
      <c r="E176" s="237"/>
      <c r="F176" s="237"/>
      <c r="G176" s="419"/>
      <c r="H176" s="419"/>
      <c r="I176" s="157"/>
      <c r="J176" s="157"/>
      <c r="K176" s="158"/>
      <c r="L176" s="159"/>
      <c r="M176" s="157"/>
      <c r="N176" s="157"/>
      <c r="O176" s="160"/>
      <c r="P176" s="160"/>
      <c r="Q176" s="161" t="str">
        <f>IFERROR(VLOOKUP(O176,Risk.Matrix,MATCH(P176,Data!$P$59:$U$59,0),FALSE),"")</f>
        <v/>
      </c>
      <c r="R176" s="237"/>
      <c r="S176" s="158"/>
      <c r="T176" s="162"/>
      <c r="U176" s="186"/>
      <c r="V176" s="160"/>
      <c r="W176" s="160"/>
      <c r="X176" s="161" t="str">
        <f>IFERROR(VLOOKUP(V176,Risk.Matrix,MATCH(W176,Data!$P$59:$U$59,0),FALSE),"")</f>
        <v/>
      </c>
      <c r="Y176" s="158"/>
      <c r="Z176" s="160"/>
      <c r="AA176" s="237"/>
      <c r="AB176" s="158"/>
      <c r="AC176" s="160"/>
      <c r="AD176" s="186"/>
      <c r="AE176" s="241"/>
      <c r="AF176" s="268"/>
      <c r="AG176" s="270"/>
      <c r="AH176" s="267"/>
    </row>
    <row r="177" spans="1:34" s="184" customFormat="1" ht="69.900000000000006" customHeight="1" x14ac:dyDescent="0.2">
      <c r="A177" s="267"/>
      <c r="B177" s="188">
        <v>162</v>
      </c>
      <c r="C177" s="237"/>
      <c r="D177" s="237"/>
      <c r="E177" s="237"/>
      <c r="F177" s="237"/>
      <c r="G177" s="419"/>
      <c r="H177" s="419"/>
      <c r="I177" s="157"/>
      <c r="J177" s="157"/>
      <c r="K177" s="158"/>
      <c r="L177" s="159"/>
      <c r="M177" s="157"/>
      <c r="N177" s="157"/>
      <c r="O177" s="160"/>
      <c r="P177" s="160"/>
      <c r="Q177" s="161" t="str">
        <f>IFERROR(VLOOKUP(O177,Risk.Matrix,MATCH(P177,Data!$P$59:$U$59,0),FALSE),"")</f>
        <v/>
      </c>
      <c r="R177" s="237"/>
      <c r="S177" s="158"/>
      <c r="T177" s="162"/>
      <c r="U177" s="186"/>
      <c r="V177" s="160"/>
      <c r="W177" s="160"/>
      <c r="X177" s="161" t="str">
        <f>IFERROR(VLOOKUP(V177,Risk.Matrix,MATCH(W177,Data!$P$59:$U$59,0),FALSE),"")</f>
        <v/>
      </c>
      <c r="Y177" s="158"/>
      <c r="Z177" s="160"/>
      <c r="AA177" s="237"/>
      <c r="AB177" s="158"/>
      <c r="AC177" s="160"/>
      <c r="AD177" s="186"/>
      <c r="AE177" s="241"/>
      <c r="AF177" s="268"/>
      <c r="AG177" s="270"/>
      <c r="AH177" s="267"/>
    </row>
    <row r="178" spans="1:34" s="184" customFormat="1" ht="69.900000000000006" customHeight="1" x14ac:dyDescent="0.2">
      <c r="A178" s="267"/>
      <c r="B178" s="188">
        <v>163</v>
      </c>
      <c r="C178" s="237"/>
      <c r="D178" s="237"/>
      <c r="E178" s="237"/>
      <c r="F178" s="237"/>
      <c r="G178" s="419"/>
      <c r="H178" s="419"/>
      <c r="I178" s="157"/>
      <c r="J178" s="157"/>
      <c r="K178" s="158"/>
      <c r="L178" s="159"/>
      <c r="M178" s="157"/>
      <c r="N178" s="157"/>
      <c r="O178" s="160"/>
      <c r="P178" s="160"/>
      <c r="Q178" s="161" t="str">
        <f>IFERROR(VLOOKUP(O178,Risk.Matrix,MATCH(P178,Data!$P$59:$U$59,0),FALSE),"")</f>
        <v/>
      </c>
      <c r="R178" s="237"/>
      <c r="S178" s="158"/>
      <c r="T178" s="162"/>
      <c r="U178" s="186"/>
      <c r="V178" s="160"/>
      <c r="W178" s="160"/>
      <c r="X178" s="161" t="str">
        <f>IFERROR(VLOOKUP(V178,Risk.Matrix,MATCH(W178,Data!$P$59:$U$59,0),FALSE),"")</f>
        <v/>
      </c>
      <c r="Y178" s="158"/>
      <c r="Z178" s="160"/>
      <c r="AA178" s="237"/>
      <c r="AB178" s="158"/>
      <c r="AC178" s="160"/>
      <c r="AD178" s="186"/>
      <c r="AE178" s="241"/>
      <c r="AF178" s="268"/>
      <c r="AG178" s="270"/>
      <c r="AH178" s="267"/>
    </row>
    <row r="179" spans="1:34" s="184" customFormat="1" ht="69.900000000000006" customHeight="1" x14ac:dyDescent="0.2">
      <c r="A179" s="267"/>
      <c r="B179" s="188">
        <v>164</v>
      </c>
      <c r="C179" s="237"/>
      <c r="D179" s="237"/>
      <c r="E179" s="237"/>
      <c r="F179" s="237"/>
      <c r="G179" s="419"/>
      <c r="H179" s="419"/>
      <c r="I179" s="157"/>
      <c r="J179" s="157"/>
      <c r="K179" s="158"/>
      <c r="L179" s="159"/>
      <c r="M179" s="157"/>
      <c r="N179" s="157"/>
      <c r="O179" s="160"/>
      <c r="P179" s="160"/>
      <c r="Q179" s="161" t="str">
        <f>IFERROR(VLOOKUP(O179,Risk.Matrix,MATCH(P179,Data!$P$59:$U$59,0),FALSE),"")</f>
        <v/>
      </c>
      <c r="R179" s="237"/>
      <c r="S179" s="158"/>
      <c r="T179" s="162"/>
      <c r="U179" s="186"/>
      <c r="V179" s="160"/>
      <c r="W179" s="160"/>
      <c r="X179" s="161" t="str">
        <f>IFERROR(VLOOKUP(V179,Risk.Matrix,MATCH(W179,Data!$P$59:$U$59,0),FALSE),"")</f>
        <v/>
      </c>
      <c r="Y179" s="158"/>
      <c r="Z179" s="160"/>
      <c r="AA179" s="237"/>
      <c r="AB179" s="158"/>
      <c r="AC179" s="160"/>
      <c r="AD179" s="186"/>
      <c r="AE179" s="241"/>
      <c r="AF179" s="268"/>
      <c r="AG179" s="270"/>
      <c r="AH179" s="267"/>
    </row>
    <row r="180" spans="1:34" s="184" customFormat="1" ht="69.900000000000006" customHeight="1" x14ac:dyDescent="0.2">
      <c r="A180" s="267"/>
      <c r="B180" s="188">
        <v>165</v>
      </c>
      <c r="C180" s="237"/>
      <c r="D180" s="237"/>
      <c r="E180" s="237"/>
      <c r="F180" s="237"/>
      <c r="G180" s="419"/>
      <c r="H180" s="419"/>
      <c r="I180" s="157"/>
      <c r="J180" s="157"/>
      <c r="K180" s="158"/>
      <c r="L180" s="159"/>
      <c r="M180" s="157"/>
      <c r="N180" s="157"/>
      <c r="O180" s="160"/>
      <c r="P180" s="160"/>
      <c r="Q180" s="161" t="str">
        <f>IFERROR(VLOOKUP(O180,Risk.Matrix,MATCH(P180,Data!$P$59:$U$59,0),FALSE),"")</f>
        <v/>
      </c>
      <c r="R180" s="237"/>
      <c r="S180" s="158"/>
      <c r="T180" s="162"/>
      <c r="U180" s="186"/>
      <c r="V180" s="160"/>
      <c r="W180" s="160"/>
      <c r="X180" s="161" t="str">
        <f>IFERROR(VLOOKUP(V180,Risk.Matrix,MATCH(W180,Data!$P$59:$U$59,0),FALSE),"")</f>
        <v/>
      </c>
      <c r="Y180" s="158"/>
      <c r="Z180" s="160"/>
      <c r="AA180" s="237"/>
      <c r="AB180" s="158"/>
      <c r="AC180" s="160"/>
      <c r="AD180" s="186"/>
      <c r="AE180" s="241"/>
      <c r="AF180" s="268"/>
      <c r="AG180" s="270"/>
      <c r="AH180" s="267"/>
    </row>
    <row r="181" spans="1:34" s="184" customFormat="1" ht="69.900000000000006" customHeight="1" x14ac:dyDescent="0.2">
      <c r="A181" s="267"/>
      <c r="B181" s="188">
        <v>166</v>
      </c>
      <c r="C181" s="237"/>
      <c r="D181" s="237"/>
      <c r="E181" s="237"/>
      <c r="F181" s="237"/>
      <c r="G181" s="419"/>
      <c r="H181" s="419"/>
      <c r="I181" s="157"/>
      <c r="J181" s="157"/>
      <c r="K181" s="158"/>
      <c r="L181" s="159"/>
      <c r="M181" s="157"/>
      <c r="N181" s="157"/>
      <c r="O181" s="160"/>
      <c r="P181" s="160"/>
      <c r="Q181" s="161" t="str">
        <f>IFERROR(VLOOKUP(O181,Risk.Matrix,MATCH(P181,Data!$P$59:$U$59,0),FALSE),"")</f>
        <v/>
      </c>
      <c r="R181" s="237"/>
      <c r="S181" s="158"/>
      <c r="T181" s="162"/>
      <c r="U181" s="186"/>
      <c r="V181" s="160"/>
      <c r="W181" s="160"/>
      <c r="X181" s="161" t="str">
        <f>IFERROR(VLOOKUP(V181,Risk.Matrix,MATCH(W181,Data!$P$59:$U$59,0),FALSE),"")</f>
        <v/>
      </c>
      <c r="Y181" s="158"/>
      <c r="Z181" s="160"/>
      <c r="AA181" s="237"/>
      <c r="AB181" s="158"/>
      <c r="AC181" s="160"/>
      <c r="AD181" s="186"/>
      <c r="AE181" s="241"/>
      <c r="AF181" s="268"/>
      <c r="AG181" s="270"/>
      <c r="AH181" s="267"/>
    </row>
    <row r="182" spans="1:34" s="184" customFormat="1" ht="69.900000000000006" customHeight="1" x14ac:dyDescent="0.2">
      <c r="A182" s="267"/>
      <c r="B182" s="188">
        <v>167</v>
      </c>
      <c r="C182" s="237"/>
      <c r="D182" s="237"/>
      <c r="E182" s="237"/>
      <c r="F182" s="237"/>
      <c r="G182" s="419"/>
      <c r="H182" s="419"/>
      <c r="I182" s="157"/>
      <c r="J182" s="157"/>
      <c r="K182" s="158"/>
      <c r="L182" s="159"/>
      <c r="M182" s="157"/>
      <c r="N182" s="157"/>
      <c r="O182" s="160"/>
      <c r="P182" s="160"/>
      <c r="Q182" s="161" t="str">
        <f>IFERROR(VLOOKUP(O182,Risk.Matrix,MATCH(P182,Data!$P$59:$U$59,0),FALSE),"")</f>
        <v/>
      </c>
      <c r="R182" s="237"/>
      <c r="S182" s="158"/>
      <c r="T182" s="162"/>
      <c r="U182" s="186"/>
      <c r="V182" s="160"/>
      <c r="W182" s="160"/>
      <c r="X182" s="161" t="str">
        <f>IFERROR(VLOOKUP(V182,Risk.Matrix,MATCH(W182,Data!$P$59:$U$59,0),FALSE),"")</f>
        <v/>
      </c>
      <c r="Y182" s="158"/>
      <c r="Z182" s="160"/>
      <c r="AA182" s="237"/>
      <c r="AB182" s="158"/>
      <c r="AC182" s="160"/>
      <c r="AD182" s="186"/>
      <c r="AE182" s="241"/>
      <c r="AF182" s="268"/>
      <c r="AG182" s="270"/>
      <c r="AH182" s="267"/>
    </row>
    <row r="183" spans="1:34" s="184" customFormat="1" ht="69.900000000000006" customHeight="1" x14ac:dyDescent="0.2">
      <c r="A183" s="267"/>
      <c r="B183" s="188">
        <v>168</v>
      </c>
      <c r="C183" s="237"/>
      <c r="D183" s="237"/>
      <c r="E183" s="237"/>
      <c r="F183" s="237"/>
      <c r="G183" s="419"/>
      <c r="H183" s="419"/>
      <c r="I183" s="157"/>
      <c r="J183" s="157"/>
      <c r="K183" s="158"/>
      <c r="L183" s="159"/>
      <c r="M183" s="157"/>
      <c r="N183" s="157"/>
      <c r="O183" s="160"/>
      <c r="P183" s="160"/>
      <c r="Q183" s="161" t="str">
        <f>IFERROR(VLOOKUP(O183,Risk.Matrix,MATCH(P183,Data!$P$59:$U$59,0),FALSE),"")</f>
        <v/>
      </c>
      <c r="R183" s="237"/>
      <c r="S183" s="158"/>
      <c r="T183" s="162"/>
      <c r="U183" s="186"/>
      <c r="V183" s="160"/>
      <c r="W183" s="160"/>
      <c r="X183" s="161" t="str">
        <f>IFERROR(VLOOKUP(V183,Risk.Matrix,MATCH(W183,Data!$P$59:$U$59,0),FALSE),"")</f>
        <v/>
      </c>
      <c r="Y183" s="158"/>
      <c r="Z183" s="160"/>
      <c r="AA183" s="237"/>
      <c r="AB183" s="158"/>
      <c r="AC183" s="160"/>
      <c r="AD183" s="186"/>
      <c r="AE183" s="241"/>
      <c r="AF183" s="268"/>
      <c r="AG183" s="270"/>
      <c r="AH183" s="267"/>
    </row>
    <row r="184" spans="1:34" s="184" customFormat="1" ht="69.900000000000006" customHeight="1" x14ac:dyDescent="0.2">
      <c r="A184" s="267"/>
      <c r="B184" s="188">
        <v>169</v>
      </c>
      <c r="C184" s="237"/>
      <c r="D184" s="237"/>
      <c r="E184" s="237"/>
      <c r="F184" s="237"/>
      <c r="G184" s="419"/>
      <c r="H184" s="419"/>
      <c r="I184" s="157"/>
      <c r="J184" s="157"/>
      <c r="K184" s="158"/>
      <c r="L184" s="159"/>
      <c r="M184" s="157"/>
      <c r="N184" s="157"/>
      <c r="O184" s="160"/>
      <c r="P184" s="160"/>
      <c r="Q184" s="161" t="str">
        <f>IFERROR(VLOOKUP(O184,Risk.Matrix,MATCH(P184,Data!$P$59:$U$59,0),FALSE),"")</f>
        <v/>
      </c>
      <c r="R184" s="237"/>
      <c r="S184" s="158"/>
      <c r="T184" s="162"/>
      <c r="U184" s="186"/>
      <c r="V184" s="160"/>
      <c r="W184" s="160"/>
      <c r="X184" s="161" t="str">
        <f>IFERROR(VLOOKUP(V184,Risk.Matrix,MATCH(W184,Data!$P$59:$U$59,0),FALSE),"")</f>
        <v/>
      </c>
      <c r="Y184" s="158"/>
      <c r="Z184" s="160"/>
      <c r="AA184" s="237"/>
      <c r="AB184" s="158"/>
      <c r="AC184" s="160"/>
      <c r="AD184" s="186"/>
      <c r="AE184" s="241"/>
      <c r="AF184" s="268"/>
      <c r="AG184" s="270"/>
      <c r="AH184" s="267"/>
    </row>
    <row r="185" spans="1:34" s="184" customFormat="1" ht="69.900000000000006" customHeight="1" x14ac:dyDescent="0.2">
      <c r="A185" s="267"/>
      <c r="B185" s="188">
        <v>170</v>
      </c>
      <c r="C185" s="237"/>
      <c r="D185" s="237"/>
      <c r="E185" s="237"/>
      <c r="F185" s="237"/>
      <c r="G185" s="419"/>
      <c r="H185" s="419"/>
      <c r="I185" s="157"/>
      <c r="J185" s="157"/>
      <c r="K185" s="158"/>
      <c r="L185" s="159"/>
      <c r="M185" s="157"/>
      <c r="N185" s="157"/>
      <c r="O185" s="160"/>
      <c r="P185" s="160"/>
      <c r="Q185" s="161" t="str">
        <f>IFERROR(VLOOKUP(O185,Risk.Matrix,MATCH(P185,Data!$P$59:$U$59,0),FALSE),"")</f>
        <v/>
      </c>
      <c r="R185" s="237"/>
      <c r="S185" s="158"/>
      <c r="T185" s="162"/>
      <c r="U185" s="186"/>
      <c r="V185" s="160"/>
      <c r="W185" s="160"/>
      <c r="X185" s="161" t="str">
        <f>IFERROR(VLOOKUP(V185,Risk.Matrix,MATCH(W185,Data!$P$59:$U$59,0),FALSE),"")</f>
        <v/>
      </c>
      <c r="Y185" s="158"/>
      <c r="Z185" s="160"/>
      <c r="AA185" s="237"/>
      <c r="AB185" s="158"/>
      <c r="AC185" s="160"/>
      <c r="AD185" s="186"/>
      <c r="AE185" s="241"/>
      <c r="AF185" s="268"/>
      <c r="AG185" s="270"/>
      <c r="AH185" s="267"/>
    </row>
    <row r="186" spans="1:34" s="184" customFormat="1" ht="69.900000000000006" customHeight="1" x14ac:dyDescent="0.2">
      <c r="A186" s="267"/>
      <c r="B186" s="188">
        <v>171</v>
      </c>
      <c r="C186" s="237"/>
      <c r="D186" s="237"/>
      <c r="E186" s="237"/>
      <c r="F186" s="237"/>
      <c r="G186" s="419"/>
      <c r="H186" s="419"/>
      <c r="I186" s="157"/>
      <c r="J186" s="157"/>
      <c r="K186" s="158"/>
      <c r="L186" s="159"/>
      <c r="M186" s="157"/>
      <c r="N186" s="157"/>
      <c r="O186" s="160"/>
      <c r="P186" s="160"/>
      <c r="Q186" s="161" t="str">
        <f>IFERROR(VLOOKUP(O186,Risk.Matrix,MATCH(P186,Data!$P$59:$U$59,0),FALSE),"")</f>
        <v/>
      </c>
      <c r="R186" s="237"/>
      <c r="S186" s="158"/>
      <c r="T186" s="162"/>
      <c r="U186" s="186"/>
      <c r="V186" s="160"/>
      <c r="W186" s="160"/>
      <c r="X186" s="161" t="str">
        <f>IFERROR(VLOOKUP(V186,Risk.Matrix,MATCH(W186,Data!$P$59:$U$59,0),FALSE),"")</f>
        <v/>
      </c>
      <c r="Y186" s="158"/>
      <c r="Z186" s="160"/>
      <c r="AA186" s="237"/>
      <c r="AB186" s="158"/>
      <c r="AC186" s="160"/>
      <c r="AD186" s="186"/>
      <c r="AE186" s="241"/>
      <c r="AF186" s="268"/>
      <c r="AG186" s="270"/>
      <c r="AH186" s="267"/>
    </row>
    <row r="187" spans="1:34" s="184" customFormat="1" ht="69.900000000000006" customHeight="1" x14ac:dyDescent="0.2">
      <c r="A187" s="267"/>
      <c r="B187" s="188">
        <v>172</v>
      </c>
      <c r="C187" s="237"/>
      <c r="D187" s="237"/>
      <c r="E187" s="237"/>
      <c r="F187" s="237"/>
      <c r="G187" s="419"/>
      <c r="H187" s="419"/>
      <c r="I187" s="157"/>
      <c r="J187" s="157"/>
      <c r="K187" s="158"/>
      <c r="L187" s="159"/>
      <c r="M187" s="157"/>
      <c r="N187" s="157"/>
      <c r="O187" s="160"/>
      <c r="P187" s="160"/>
      <c r="Q187" s="161" t="str">
        <f>IFERROR(VLOOKUP(O187,Risk.Matrix,MATCH(P187,Data!$P$59:$U$59,0),FALSE),"")</f>
        <v/>
      </c>
      <c r="R187" s="237"/>
      <c r="S187" s="158"/>
      <c r="T187" s="162"/>
      <c r="U187" s="186"/>
      <c r="V187" s="160"/>
      <c r="W187" s="160"/>
      <c r="X187" s="161" t="str">
        <f>IFERROR(VLOOKUP(V187,Risk.Matrix,MATCH(W187,Data!$P$59:$U$59,0),FALSE),"")</f>
        <v/>
      </c>
      <c r="Y187" s="158"/>
      <c r="Z187" s="160"/>
      <c r="AA187" s="237"/>
      <c r="AB187" s="158"/>
      <c r="AC187" s="160"/>
      <c r="AD187" s="186"/>
      <c r="AE187" s="241"/>
      <c r="AF187" s="268"/>
      <c r="AG187" s="270"/>
      <c r="AH187" s="267"/>
    </row>
    <row r="188" spans="1:34" s="184" customFormat="1" ht="69.900000000000006" customHeight="1" x14ac:dyDescent="0.2">
      <c r="A188" s="267"/>
      <c r="B188" s="188">
        <v>173</v>
      </c>
      <c r="C188" s="237"/>
      <c r="D188" s="237"/>
      <c r="E188" s="237"/>
      <c r="F188" s="237"/>
      <c r="G188" s="419"/>
      <c r="H188" s="419"/>
      <c r="I188" s="157"/>
      <c r="J188" s="157"/>
      <c r="K188" s="158"/>
      <c r="L188" s="159"/>
      <c r="M188" s="157"/>
      <c r="N188" s="157"/>
      <c r="O188" s="160"/>
      <c r="P188" s="160"/>
      <c r="Q188" s="161" t="str">
        <f>IFERROR(VLOOKUP(O188,Risk.Matrix,MATCH(P188,Data!$P$59:$U$59,0),FALSE),"")</f>
        <v/>
      </c>
      <c r="R188" s="237"/>
      <c r="S188" s="158"/>
      <c r="T188" s="162"/>
      <c r="U188" s="186"/>
      <c r="V188" s="160"/>
      <c r="W188" s="160"/>
      <c r="X188" s="161" t="str">
        <f>IFERROR(VLOOKUP(V188,Risk.Matrix,MATCH(W188,Data!$P$59:$U$59,0),FALSE),"")</f>
        <v/>
      </c>
      <c r="Y188" s="158"/>
      <c r="Z188" s="160"/>
      <c r="AA188" s="237"/>
      <c r="AB188" s="158"/>
      <c r="AC188" s="160"/>
      <c r="AD188" s="186"/>
      <c r="AE188" s="241"/>
      <c r="AF188" s="268"/>
      <c r="AG188" s="270"/>
      <c r="AH188" s="267"/>
    </row>
    <row r="189" spans="1:34" s="184" customFormat="1" ht="69.900000000000006" customHeight="1" x14ac:dyDescent="0.2">
      <c r="A189" s="267"/>
      <c r="B189" s="188">
        <v>174</v>
      </c>
      <c r="C189" s="237"/>
      <c r="D189" s="237"/>
      <c r="E189" s="237"/>
      <c r="F189" s="237"/>
      <c r="G189" s="419"/>
      <c r="H189" s="419"/>
      <c r="I189" s="157"/>
      <c r="J189" s="157"/>
      <c r="K189" s="158"/>
      <c r="L189" s="159"/>
      <c r="M189" s="157"/>
      <c r="N189" s="157"/>
      <c r="O189" s="160"/>
      <c r="P189" s="160"/>
      <c r="Q189" s="161" t="str">
        <f>IFERROR(VLOOKUP(O189,Risk.Matrix,MATCH(P189,Data!$P$59:$U$59,0),FALSE),"")</f>
        <v/>
      </c>
      <c r="R189" s="237"/>
      <c r="S189" s="158"/>
      <c r="T189" s="162"/>
      <c r="U189" s="186"/>
      <c r="V189" s="160"/>
      <c r="W189" s="160"/>
      <c r="X189" s="161" t="str">
        <f>IFERROR(VLOOKUP(V189,Risk.Matrix,MATCH(W189,Data!$P$59:$U$59,0),FALSE),"")</f>
        <v/>
      </c>
      <c r="Y189" s="158"/>
      <c r="Z189" s="160"/>
      <c r="AA189" s="237"/>
      <c r="AB189" s="158"/>
      <c r="AC189" s="160"/>
      <c r="AD189" s="186"/>
      <c r="AE189" s="241"/>
      <c r="AF189" s="268"/>
      <c r="AG189" s="270"/>
      <c r="AH189" s="267"/>
    </row>
    <row r="190" spans="1:34" s="184" customFormat="1" ht="69.900000000000006" customHeight="1" x14ac:dyDescent="0.2">
      <c r="A190" s="267"/>
      <c r="B190" s="188">
        <v>175</v>
      </c>
      <c r="C190" s="237"/>
      <c r="D190" s="237"/>
      <c r="E190" s="237"/>
      <c r="F190" s="237"/>
      <c r="G190" s="419"/>
      <c r="H190" s="419"/>
      <c r="I190" s="157"/>
      <c r="J190" s="157"/>
      <c r="K190" s="158"/>
      <c r="L190" s="159"/>
      <c r="M190" s="157"/>
      <c r="N190" s="157"/>
      <c r="O190" s="160"/>
      <c r="P190" s="160"/>
      <c r="Q190" s="161" t="str">
        <f>IFERROR(VLOOKUP(O190,Risk.Matrix,MATCH(P190,Data!$P$59:$U$59,0),FALSE),"")</f>
        <v/>
      </c>
      <c r="R190" s="237"/>
      <c r="S190" s="158"/>
      <c r="T190" s="162"/>
      <c r="U190" s="186"/>
      <c r="V190" s="160"/>
      <c r="W190" s="160"/>
      <c r="X190" s="161" t="str">
        <f>IFERROR(VLOOKUP(V190,Risk.Matrix,MATCH(W190,Data!$P$59:$U$59,0),FALSE),"")</f>
        <v/>
      </c>
      <c r="Y190" s="158"/>
      <c r="Z190" s="160"/>
      <c r="AA190" s="237"/>
      <c r="AB190" s="158"/>
      <c r="AC190" s="160"/>
      <c r="AD190" s="186"/>
      <c r="AE190" s="241"/>
      <c r="AF190" s="268"/>
      <c r="AG190" s="270"/>
      <c r="AH190" s="267"/>
    </row>
    <row r="191" spans="1:34" s="184" customFormat="1" ht="69.900000000000006" customHeight="1" x14ac:dyDescent="0.2">
      <c r="A191" s="267"/>
      <c r="B191" s="188">
        <v>176</v>
      </c>
      <c r="C191" s="237"/>
      <c r="D191" s="237"/>
      <c r="E191" s="237"/>
      <c r="F191" s="237"/>
      <c r="G191" s="419"/>
      <c r="H191" s="419"/>
      <c r="I191" s="157"/>
      <c r="J191" s="157"/>
      <c r="K191" s="158"/>
      <c r="L191" s="159"/>
      <c r="M191" s="157"/>
      <c r="N191" s="157"/>
      <c r="O191" s="160"/>
      <c r="P191" s="160"/>
      <c r="Q191" s="161" t="str">
        <f>IFERROR(VLOOKUP(O191,Risk.Matrix,MATCH(P191,Data!$P$59:$U$59,0),FALSE),"")</f>
        <v/>
      </c>
      <c r="R191" s="237"/>
      <c r="S191" s="158"/>
      <c r="T191" s="162"/>
      <c r="U191" s="186"/>
      <c r="V191" s="160"/>
      <c r="W191" s="160"/>
      <c r="X191" s="161" t="str">
        <f>IFERROR(VLOOKUP(V191,Risk.Matrix,MATCH(W191,Data!$P$59:$U$59,0),FALSE),"")</f>
        <v/>
      </c>
      <c r="Y191" s="158"/>
      <c r="Z191" s="160"/>
      <c r="AA191" s="237"/>
      <c r="AB191" s="158"/>
      <c r="AC191" s="160"/>
      <c r="AD191" s="186"/>
      <c r="AE191" s="241"/>
      <c r="AF191" s="268"/>
      <c r="AG191" s="270"/>
      <c r="AH191" s="267"/>
    </row>
    <row r="192" spans="1:34" s="184" customFormat="1" ht="69.900000000000006" customHeight="1" x14ac:dyDescent="0.2">
      <c r="A192" s="267"/>
      <c r="B192" s="188">
        <v>177</v>
      </c>
      <c r="C192" s="237"/>
      <c r="D192" s="237"/>
      <c r="E192" s="237"/>
      <c r="F192" s="237"/>
      <c r="G192" s="419"/>
      <c r="H192" s="419"/>
      <c r="I192" s="157"/>
      <c r="J192" s="157"/>
      <c r="K192" s="158"/>
      <c r="L192" s="159"/>
      <c r="M192" s="157"/>
      <c r="N192" s="157"/>
      <c r="O192" s="160"/>
      <c r="P192" s="160"/>
      <c r="Q192" s="161" t="str">
        <f>IFERROR(VLOOKUP(O192,Risk.Matrix,MATCH(P192,Data!$P$59:$U$59,0),FALSE),"")</f>
        <v/>
      </c>
      <c r="R192" s="237"/>
      <c r="S192" s="158"/>
      <c r="T192" s="162"/>
      <c r="U192" s="186"/>
      <c r="V192" s="160"/>
      <c r="W192" s="160"/>
      <c r="X192" s="161" t="str">
        <f>IFERROR(VLOOKUP(V192,Risk.Matrix,MATCH(W192,Data!$P$59:$U$59,0),FALSE),"")</f>
        <v/>
      </c>
      <c r="Y192" s="158"/>
      <c r="Z192" s="160"/>
      <c r="AA192" s="237"/>
      <c r="AB192" s="158"/>
      <c r="AC192" s="160"/>
      <c r="AD192" s="186"/>
      <c r="AE192" s="241"/>
      <c r="AF192" s="268"/>
      <c r="AG192" s="270"/>
      <c r="AH192" s="267"/>
    </row>
    <row r="193" spans="1:34" s="184" customFormat="1" ht="69.900000000000006" customHeight="1" x14ac:dyDescent="0.2">
      <c r="A193" s="267"/>
      <c r="B193" s="188">
        <v>178</v>
      </c>
      <c r="C193" s="237"/>
      <c r="D193" s="237"/>
      <c r="E193" s="237"/>
      <c r="F193" s="237"/>
      <c r="G193" s="419"/>
      <c r="H193" s="419"/>
      <c r="I193" s="157"/>
      <c r="J193" s="157"/>
      <c r="K193" s="158"/>
      <c r="L193" s="159"/>
      <c r="M193" s="157"/>
      <c r="N193" s="157"/>
      <c r="O193" s="160"/>
      <c r="P193" s="160"/>
      <c r="Q193" s="161" t="str">
        <f>IFERROR(VLOOKUP(O193,Risk.Matrix,MATCH(P193,Data!$P$59:$U$59,0),FALSE),"")</f>
        <v/>
      </c>
      <c r="R193" s="237"/>
      <c r="S193" s="158"/>
      <c r="T193" s="162"/>
      <c r="U193" s="186"/>
      <c r="V193" s="160"/>
      <c r="W193" s="160"/>
      <c r="X193" s="161" t="str">
        <f>IFERROR(VLOOKUP(V193,Risk.Matrix,MATCH(W193,Data!$P$59:$U$59,0),FALSE),"")</f>
        <v/>
      </c>
      <c r="Y193" s="158"/>
      <c r="Z193" s="160"/>
      <c r="AA193" s="237"/>
      <c r="AB193" s="158"/>
      <c r="AC193" s="160"/>
      <c r="AD193" s="186"/>
      <c r="AE193" s="241"/>
      <c r="AF193" s="268"/>
      <c r="AG193" s="270"/>
      <c r="AH193" s="267"/>
    </row>
    <row r="194" spans="1:34" s="184" customFormat="1" ht="69.900000000000006" customHeight="1" x14ac:dyDescent="0.2">
      <c r="A194" s="267"/>
      <c r="B194" s="188">
        <v>179</v>
      </c>
      <c r="C194" s="237"/>
      <c r="D194" s="237"/>
      <c r="E194" s="237"/>
      <c r="F194" s="237"/>
      <c r="G194" s="419"/>
      <c r="H194" s="419"/>
      <c r="I194" s="157"/>
      <c r="J194" s="157"/>
      <c r="K194" s="158"/>
      <c r="L194" s="159"/>
      <c r="M194" s="157"/>
      <c r="N194" s="157"/>
      <c r="O194" s="160"/>
      <c r="P194" s="160"/>
      <c r="Q194" s="161" t="str">
        <f>IFERROR(VLOOKUP(O194,Risk.Matrix,MATCH(P194,Data!$P$59:$U$59,0),FALSE),"")</f>
        <v/>
      </c>
      <c r="R194" s="237"/>
      <c r="S194" s="158"/>
      <c r="T194" s="162"/>
      <c r="U194" s="186"/>
      <c r="V194" s="160"/>
      <c r="W194" s="160"/>
      <c r="X194" s="161" t="str">
        <f>IFERROR(VLOOKUP(V194,Risk.Matrix,MATCH(W194,Data!$P$59:$U$59,0),FALSE),"")</f>
        <v/>
      </c>
      <c r="Y194" s="158"/>
      <c r="Z194" s="160"/>
      <c r="AA194" s="237"/>
      <c r="AB194" s="158"/>
      <c r="AC194" s="160"/>
      <c r="AD194" s="186"/>
      <c r="AE194" s="241"/>
      <c r="AF194" s="268"/>
      <c r="AG194" s="270"/>
      <c r="AH194" s="267"/>
    </row>
    <row r="195" spans="1:34" s="184" customFormat="1" ht="69.900000000000006" customHeight="1" x14ac:dyDescent="0.2">
      <c r="A195" s="267"/>
      <c r="B195" s="188">
        <v>180</v>
      </c>
      <c r="C195" s="237"/>
      <c r="D195" s="237"/>
      <c r="E195" s="237"/>
      <c r="F195" s="237"/>
      <c r="G195" s="419"/>
      <c r="H195" s="419"/>
      <c r="I195" s="157"/>
      <c r="J195" s="157"/>
      <c r="K195" s="158"/>
      <c r="L195" s="159"/>
      <c r="M195" s="157"/>
      <c r="N195" s="157"/>
      <c r="O195" s="160"/>
      <c r="P195" s="160"/>
      <c r="Q195" s="161" t="str">
        <f>IFERROR(VLOOKUP(O195,Risk.Matrix,MATCH(P195,Data!$P$59:$U$59,0),FALSE),"")</f>
        <v/>
      </c>
      <c r="R195" s="237"/>
      <c r="S195" s="158"/>
      <c r="T195" s="162"/>
      <c r="U195" s="186"/>
      <c r="V195" s="160"/>
      <c r="W195" s="160"/>
      <c r="X195" s="161" t="str">
        <f>IFERROR(VLOOKUP(V195,Risk.Matrix,MATCH(W195,Data!$P$59:$U$59,0),FALSE),"")</f>
        <v/>
      </c>
      <c r="Y195" s="158"/>
      <c r="Z195" s="160"/>
      <c r="AA195" s="237"/>
      <c r="AB195" s="158"/>
      <c r="AC195" s="160"/>
      <c r="AD195" s="186"/>
      <c r="AE195" s="241"/>
      <c r="AF195" s="268"/>
      <c r="AG195" s="270"/>
      <c r="AH195" s="267"/>
    </row>
    <row r="196" spans="1:34" s="184" customFormat="1" ht="69.900000000000006" customHeight="1" x14ac:dyDescent="0.2">
      <c r="A196" s="267"/>
      <c r="B196" s="188">
        <v>181</v>
      </c>
      <c r="C196" s="237"/>
      <c r="D196" s="237"/>
      <c r="E196" s="237"/>
      <c r="F196" s="237"/>
      <c r="G196" s="419"/>
      <c r="H196" s="419"/>
      <c r="I196" s="157"/>
      <c r="J196" s="157"/>
      <c r="K196" s="158"/>
      <c r="L196" s="159"/>
      <c r="M196" s="157"/>
      <c r="N196" s="157"/>
      <c r="O196" s="160"/>
      <c r="P196" s="160"/>
      <c r="Q196" s="161" t="str">
        <f>IFERROR(VLOOKUP(O196,Risk.Matrix,MATCH(P196,Data!$P$59:$U$59,0),FALSE),"")</f>
        <v/>
      </c>
      <c r="R196" s="237"/>
      <c r="S196" s="158"/>
      <c r="T196" s="162"/>
      <c r="U196" s="186"/>
      <c r="V196" s="160"/>
      <c r="W196" s="160"/>
      <c r="X196" s="161" t="str">
        <f>IFERROR(VLOOKUP(V196,Risk.Matrix,MATCH(W196,Data!$P$59:$U$59,0),FALSE),"")</f>
        <v/>
      </c>
      <c r="Y196" s="158"/>
      <c r="Z196" s="160"/>
      <c r="AA196" s="237"/>
      <c r="AB196" s="158"/>
      <c r="AC196" s="160"/>
      <c r="AD196" s="186"/>
      <c r="AE196" s="241"/>
      <c r="AF196" s="268"/>
      <c r="AG196" s="270"/>
      <c r="AH196" s="267"/>
    </row>
    <row r="197" spans="1:34" s="184" customFormat="1" ht="69.900000000000006" customHeight="1" x14ac:dyDescent="0.2">
      <c r="A197" s="267"/>
      <c r="B197" s="188">
        <v>182</v>
      </c>
      <c r="C197" s="237"/>
      <c r="D197" s="237"/>
      <c r="E197" s="237"/>
      <c r="F197" s="237"/>
      <c r="G197" s="419"/>
      <c r="H197" s="419"/>
      <c r="I197" s="157"/>
      <c r="J197" s="157"/>
      <c r="K197" s="158"/>
      <c r="L197" s="159"/>
      <c r="M197" s="157"/>
      <c r="N197" s="157"/>
      <c r="O197" s="160"/>
      <c r="P197" s="160"/>
      <c r="Q197" s="161" t="str">
        <f>IFERROR(VLOOKUP(O197,Risk.Matrix,MATCH(P197,Data!$P$59:$U$59,0),FALSE),"")</f>
        <v/>
      </c>
      <c r="R197" s="237"/>
      <c r="S197" s="158"/>
      <c r="T197" s="162"/>
      <c r="U197" s="186"/>
      <c r="V197" s="160"/>
      <c r="W197" s="160"/>
      <c r="X197" s="161" t="str">
        <f>IFERROR(VLOOKUP(V197,Risk.Matrix,MATCH(W197,Data!$P$59:$U$59,0),FALSE),"")</f>
        <v/>
      </c>
      <c r="Y197" s="158"/>
      <c r="Z197" s="160"/>
      <c r="AA197" s="237"/>
      <c r="AB197" s="158"/>
      <c r="AC197" s="160"/>
      <c r="AD197" s="186"/>
      <c r="AE197" s="241"/>
      <c r="AF197" s="268"/>
      <c r="AG197" s="270"/>
      <c r="AH197" s="267"/>
    </row>
    <row r="198" spans="1:34" s="184" customFormat="1" ht="69.900000000000006" customHeight="1" x14ac:dyDescent="0.2">
      <c r="A198" s="267"/>
      <c r="B198" s="188">
        <v>183</v>
      </c>
      <c r="C198" s="237"/>
      <c r="D198" s="237"/>
      <c r="E198" s="237"/>
      <c r="F198" s="237"/>
      <c r="G198" s="419"/>
      <c r="H198" s="419"/>
      <c r="I198" s="157"/>
      <c r="J198" s="157"/>
      <c r="K198" s="158"/>
      <c r="L198" s="159"/>
      <c r="M198" s="157"/>
      <c r="N198" s="157"/>
      <c r="O198" s="160"/>
      <c r="P198" s="160"/>
      <c r="Q198" s="161" t="str">
        <f>IFERROR(VLOOKUP(O198,Risk.Matrix,MATCH(P198,Data!$P$59:$U$59,0),FALSE),"")</f>
        <v/>
      </c>
      <c r="R198" s="237"/>
      <c r="S198" s="158"/>
      <c r="T198" s="162"/>
      <c r="U198" s="186"/>
      <c r="V198" s="160"/>
      <c r="W198" s="160"/>
      <c r="X198" s="161" t="str">
        <f>IFERROR(VLOOKUP(V198,Risk.Matrix,MATCH(W198,Data!$P$59:$U$59,0),FALSE),"")</f>
        <v/>
      </c>
      <c r="Y198" s="158"/>
      <c r="Z198" s="160"/>
      <c r="AA198" s="237"/>
      <c r="AB198" s="158"/>
      <c r="AC198" s="160"/>
      <c r="AD198" s="186"/>
      <c r="AE198" s="241"/>
      <c r="AF198" s="268"/>
      <c r="AG198" s="270"/>
      <c r="AH198" s="267"/>
    </row>
    <row r="199" spans="1:34" s="184" customFormat="1" ht="69.900000000000006" customHeight="1" x14ac:dyDescent="0.2">
      <c r="A199" s="267"/>
      <c r="B199" s="188">
        <v>184</v>
      </c>
      <c r="C199" s="237"/>
      <c r="D199" s="237"/>
      <c r="E199" s="237"/>
      <c r="F199" s="237"/>
      <c r="G199" s="419"/>
      <c r="H199" s="419"/>
      <c r="I199" s="157"/>
      <c r="J199" s="157"/>
      <c r="K199" s="158"/>
      <c r="L199" s="159"/>
      <c r="M199" s="157"/>
      <c r="N199" s="157"/>
      <c r="O199" s="160"/>
      <c r="P199" s="160"/>
      <c r="Q199" s="161" t="str">
        <f>IFERROR(VLOOKUP(O199,Risk.Matrix,MATCH(P199,Data!$P$59:$U$59,0),FALSE),"")</f>
        <v/>
      </c>
      <c r="R199" s="237"/>
      <c r="S199" s="158"/>
      <c r="T199" s="162"/>
      <c r="U199" s="186"/>
      <c r="V199" s="160"/>
      <c r="W199" s="160"/>
      <c r="X199" s="161" t="str">
        <f>IFERROR(VLOOKUP(V199,Risk.Matrix,MATCH(W199,Data!$P$59:$U$59,0),FALSE),"")</f>
        <v/>
      </c>
      <c r="Y199" s="158"/>
      <c r="Z199" s="160"/>
      <c r="AA199" s="237"/>
      <c r="AB199" s="158"/>
      <c r="AC199" s="160"/>
      <c r="AD199" s="186"/>
      <c r="AE199" s="241"/>
      <c r="AF199" s="268"/>
      <c r="AG199" s="270"/>
      <c r="AH199" s="267"/>
    </row>
    <row r="200" spans="1:34" s="184" customFormat="1" ht="69.900000000000006" customHeight="1" x14ac:dyDescent="0.2">
      <c r="A200" s="267"/>
      <c r="B200" s="188">
        <v>185</v>
      </c>
      <c r="C200" s="237"/>
      <c r="D200" s="237"/>
      <c r="E200" s="237"/>
      <c r="F200" s="237"/>
      <c r="G200" s="419"/>
      <c r="H200" s="419"/>
      <c r="I200" s="157"/>
      <c r="J200" s="157"/>
      <c r="K200" s="158"/>
      <c r="L200" s="159"/>
      <c r="M200" s="157"/>
      <c r="N200" s="157"/>
      <c r="O200" s="160"/>
      <c r="P200" s="160"/>
      <c r="Q200" s="161" t="str">
        <f>IFERROR(VLOOKUP(O200,Risk.Matrix,MATCH(P200,Data!$P$59:$U$59,0),FALSE),"")</f>
        <v/>
      </c>
      <c r="R200" s="237"/>
      <c r="S200" s="158"/>
      <c r="T200" s="162"/>
      <c r="U200" s="186"/>
      <c r="V200" s="160"/>
      <c r="W200" s="160"/>
      <c r="X200" s="161" t="str">
        <f>IFERROR(VLOOKUP(V200,Risk.Matrix,MATCH(W200,Data!$P$59:$U$59,0),FALSE),"")</f>
        <v/>
      </c>
      <c r="Y200" s="158"/>
      <c r="Z200" s="160"/>
      <c r="AA200" s="237"/>
      <c r="AB200" s="158"/>
      <c r="AC200" s="160"/>
      <c r="AD200" s="186"/>
      <c r="AE200" s="241"/>
      <c r="AF200" s="268"/>
      <c r="AG200" s="270"/>
      <c r="AH200" s="267"/>
    </row>
    <row r="201" spans="1:34" s="184" customFormat="1" ht="69.75" customHeight="1" x14ac:dyDescent="0.2">
      <c r="A201" s="267"/>
      <c r="B201" s="188">
        <v>186</v>
      </c>
      <c r="C201" s="237"/>
      <c r="D201" s="237"/>
      <c r="E201" s="237"/>
      <c r="F201" s="237"/>
      <c r="G201" s="419"/>
      <c r="H201" s="419"/>
      <c r="I201" s="157"/>
      <c r="J201" s="157"/>
      <c r="K201" s="158"/>
      <c r="L201" s="159"/>
      <c r="M201" s="157"/>
      <c r="N201" s="157"/>
      <c r="O201" s="160"/>
      <c r="P201" s="160"/>
      <c r="Q201" s="161" t="str">
        <f>IFERROR(VLOOKUP(O201,Risk.Matrix,MATCH(P201,Data!$P$59:$U$59,0),FALSE),"")</f>
        <v/>
      </c>
      <c r="R201" s="237"/>
      <c r="S201" s="158"/>
      <c r="T201" s="162"/>
      <c r="U201" s="186"/>
      <c r="V201" s="160"/>
      <c r="W201" s="160"/>
      <c r="X201" s="161" t="str">
        <f>IFERROR(VLOOKUP(V201,Risk.Matrix,MATCH(W201,Data!$P$59:$U$59,0),FALSE),"")</f>
        <v/>
      </c>
      <c r="Y201" s="158"/>
      <c r="Z201" s="160"/>
      <c r="AA201" s="237"/>
      <c r="AB201" s="158"/>
      <c r="AC201" s="160"/>
      <c r="AD201" s="186"/>
      <c r="AE201" s="241"/>
      <c r="AF201" s="268"/>
      <c r="AG201" s="270"/>
      <c r="AH201" s="267"/>
    </row>
    <row r="202" spans="1:34" s="184" customFormat="1" ht="69.900000000000006" customHeight="1" x14ac:dyDescent="0.2">
      <c r="A202" s="267"/>
      <c r="B202" s="188">
        <v>187</v>
      </c>
      <c r="C202" s="237"/>
      <c r="D202" s="237"/>
      <c r="E202" s="237"/>
      <c r="F202" s="237"/>
      <c r="G202" s="419"/>
      <c r="H202" s="419"/>
      <c r="I202" s="157"/>
      <c r="J202" s="157"/>
      <c r="K202" s="158"/>
      <c r="L202" s="159"/>
      <c r="M202" s="157"/>
      <c r="N202" s="157"/>
      <c r="O202" s="160"/>
      <c r="P202" s="160"/>
      <c r="Q202" s="161" t="str">
        <f>IFERROR(VLOOKUP(O202,Risk.Matrix,MATCH(P202,Data!$P$59:$U$59,0),FALSE),"")</f>
        <v/>
      </c>
      <c r="R202" s="237"/>
      <c r="S202" s="158"/>
      <c r="T202" s="162"/>
      <c r="U202" s="186"/>
      <c r="V202" s="160"/>
      <c r="W202" s="160"/>
      <c r="X202" s="161" t="str">
        <f>IFERROR(VLOOKUP(V202,Risk.Matrix,MATCH(W202,Data!$P$59:$U$59,0),FALSE),"")</f>
        <v/>
      </c>
      <c r="Y202" s="158"/>
      <c r="Z202" s="160"/>
      <c r="AA202" s="237"/>
      <c r="AB202" s="158"/>
      <c r="AC202" s="160"/>
      <c r="AD202" s="186"/>
      <c r="AE202" s="241"/>
      <c r="AF202" s="268"/>
      <c r="AG202" s="270"/>
      <c r="AH202" s="267"/>
    </row>
    <row r="203" spans="1:34" s="184" customFormat="1" ht="69.75" customHeight="1" x14ac:dyDescent="0.2">
      <c r="A203" s="267"/>
      <c r="B203" s="188">
        <v>188</v>
      </c>
      <c r="C203" s="237"/>
      <c r="D203" s="237"/>
      <c r="E203" s="237"/>
      <c r="F203" s="237"/>
      <c r="G203" s="419"/>
      <c r="H203" s="419"/>
      <c r="I203" s="157"/>
      <c r="J203" s="157"/>
      <c r="K203" s="158"/>
      <c r="L203" s="159"/>
      <c r="M203" s="157"/>
      <c r="N203" s="157"/>
      <c r="O203" s="160"/>
      <c r="P203" s="160"/>
      <c r="Q203" s="161" t="str">
        <f>IFERROR(VLOOKUP(O203,Risk.Matrix,MATCH(P203,Data!$P$59:$U$59,0),FALSE),"")</f>
        <v/>
      </c>
      <c r="R203" s="237"/>
      <c r="S203" s="158"/>
      <c r="T203" s="162"/>
      <c r="U203" s="186"/>
      <c r="V203" s="160"/>
      <c r="W203" s="160"/>
      <c r="X203" s="161" t="str">
        <f>IFERROR(VLOOKUP(V203,Risk.Matrix,MATCH(W203,Data!$P$59:$U$59,0),FALSE),"")</f>
        <v/>
      </c>
      <c r="Y203" s="158"/>
      <c r="Z203" s="160"/>
      <c r="AA203" s="237"/>
      <c r="AB203" s="158"/>
      <c r="AC203" s="160"/>
      <c r="AD203" s="186"/>
      <c r="AE203" s="241"/>
      <c r="AF203" s="268"/>
      <c r="AG203" s="270"/>
      <c r="AH203" s="267"/>
    </row>
    <row r="204" spans="1:34" s="184" customFormat="1" ht="69.900000000000006" customHeight="1" x14ac:dyDescent="0.2">
      <c r="A204" s="267"/>
      <c r="B204" s="188">
        <v>189</v>
      </c>
      <c r="C204" s="237"/>
      <c r="D204" s="237"/>
      <c r="E204" s="237"/>
      <c r="F204" s="237"/>
      <c r="G204" s="419"/>
      <c r="H204" s="419"/>
      <c r="I204" s="157"/>
      <c r="J204" s="157"/>
      <c r="K204" s="158"/>
      <c r="L204" s="159"/>
      <c r="M204" s="157"/>
      <c r="N204" s="157"/>
      <c r="O204" s="160"/>
      <c r="P204" s="160"/>
      <c r="Q204" s="161" t="str">
        <f>IFERROR(VLOOKUP(O204,Risk.Matrix,MATCH(P204,Data!$P$59:$U$59,0),FALSE),"")</f>
        <v/>
      </c>
      <c r="R204" s="237"/>
      <c r="S204" s="158"/>
      <c r="T204" s="162"/>
      <c r="U204" s="186"/>
      <c r="V204" s="160"/>
      <c r="W204" s="160"/>
      <c r="X204" s="161" t="str">
        <f>IFERROR(VLOOKUP(V204,Risk.Matrix,MATCH(W204,Data!$P$59:$U$59,0),FALSE),"")</f>
        <v/>
      </c>
      <c r="Y204" s="158"/>
      <c r="Z204" s="160"/>
      <c r="AA204" s="237"/>
      <c r="AB204" s="158"/>
      <c r="AC204" s="160"/>
      <c r="AD204" s="186"/>
      <c r="AE204" s="241"/>
      <c r="AF204" s="268"/>
      <c r="AG204" s="270"/>
      <c r="AH204" s="267"/>
    </row>
    <row r="205" spans="1:34" s="184" customFormat="1" ht="69.75" customHeight="1" x14ac:dyDescent="0.2">
      <c r="A205" s="267"/>
      <c r="B205" s="188">
        <v>190</v>
      </c>
      <c r="C205" s="237"/>
      <c r="D205" s="237"/>
      <c r="E205" s="237"/>
      <c r="F205" s="237"/>
      <c r="G205" s="419"/>
      <c r="H205" s="419"/>
      <c r="I205" s="157"/>
      <c r="J205" s="157"/>
      <c r="K205" s="158"/>
      <c r="L205" s="159"/>
      <c r="M205" s="157"/>
      <c r="N205" s="157"/>
      <c r="O205" s="160"/>
      <c r="P205" s="160"/>
      <c r="Q205" s="161" t="str">
        <f>IFERROR(VLOOKUP(O205,Risk.Matrix,MATCH(P205,Data!$P$59:$U$59,0),FALSE),"")</f>
        <v/>
      </c>
      <c r="R205" s="237"/>
      <c r="S205" s="158"/>
      <c r="T205" s="162"/>
      <c r="U205" s="186"/>
      <c r="V205" s="160"/>
      <c r="W205" s="160"/>
      <c r="X205" s="161" t="str">
        <f>IFERROR(VLOOKUP(V205,Risk.Matrix,MATCH(W205,Data!$P$59:$U$59,0),FALSE),"")</f>
        <v/>
      </c>
      <c r="Y205" s="158"/>
      <c r="Z205" s="160"/>
      <c r="AA205" s="237"/>
      <c r="AB205" s="158"/>
      <c r="AC205" s="160"/>
      <c r="AD205" s="186"/>
      <c r="AE205" s="241"/>
      <c r="AF205" s="268"/>
      <c r="AG205" s="270"/>
      <c r="AH205" s="267"/>
    </row>
    <row r="206" spans="1:34" s="184" customFormat="1" ht="69.900000000000006" customHeight="1" x14ac:dyDescent="0.2">
      <c r="A206" s="267"/>
      <c r="B206" s="188">
        <v>191</v>
      </c>
      <c r="C206" s="237"/>
      <c r="D206" s="237"/>
      <c r="E206" s="237"/>
      <c r="F206" s="237"/>
      <c r="G206" s="419"/>
      <c r="H206" s="419"/>
      <c r="I206" s="157"/>
      <c r="J206" s="157"/>
      <c r="K206" s="158"/>
      <c r="L206" s="159"/>
      <c r="M206" s="157"/>
      <c r="N206" s="157"/>
      <c r="O206" s="160"/>
      <c r="P206" s="160"/>
      <c r="Q206" s="161" t="str">
        <f>IFERROR(VLOOKUP(O206,Risk.Matrix,MATCH(P206,Data!$P$59:$U$59,0),FALSE),"")</f>
        <v/>
      </c>
      <c r="R206" s="237"/>
      <c r="S206" s="158"/>
      <c r="T206" s="162"/>
      <c r="U206" s="186"/>
      <c r="V206" s="160"/>
      <c r="W206" s="160"/>
      <c r="X206" s="161" t="str">
        <f>IFERROR(VLOOKUP(V206,Risk.Matrix,MATCH(W206,Data!$P$59:$U$59,0),FALSE),"")</f>
        <v/>
      </c>
      <c r="Y206" s="158"/>
      <c r="Z206" s="160"/>
      <c r="AA206" s="237"/>
      <c r="AB206" s="158"/>
      <c r="AC206" s="160"/>
      <c r="AD206" s="186"/>
      <c r="AE206" s="241"/>
      <c r="AF206" s="268"/>
      <c r="AG206" s="270"/>
      <c r="AH206" s="267"/>
    </row>
    <row r="207" spans="1:34" s="184" customFormat="1" ht="69.75" customHeight="1" x14ac:dyDescent="0.2">
      <c r="A207" s="267"/>
      <c r="B207" s="188">
        <v>192</v>
      </c>
      <c r="C207" s="237"/>
      <c r="D207" s="237"/>
      <c r="E207" s="237"/>
      <c r="F207" s="237"/>
      <c r="G207" s="419"/>
      <c r="H207" s="419"/>
      <c r="I207" s="157"/>
      <c r="J207" s="157"/>
      <c r="K207" s="158"/>
      <c r="L207" s="159"/>
      <c r="M207" s="157"/>
      <c r="N207" s="157"/>
      <c r="O207" s="160"/>
      <c r="P207" s="160"/>
      <c r="Q207" s="161" t="str">
        <f>IFERROR(VLOOKUP(O207,Risk.Matrix,MATCH(P207,Data!$P$59:$U$59,0),FALSE),"")</f>
        <v/>
      </c>
      <c r="R207" s="237"/>
      <c r="S207" s="158"/>
      <c r="T207" s="162"/>
      <c r="U207" s="186"/>
      <c r="V207" s="160"/>
      <c r="W207" s="160"/>
      <c r="X207" s="161" t="str">
        <f>IFERROR(VLOOKUP(V207,Risk.Matrix,MATCH(W207,Data!$P$59:$U$59,0),FALSE),"")</f>
        <v/>
      </c>
      <c r="Y207" s="158"/>
      <c r="Z207" s="160"/>
      <c r="AA207" s="237"/>
      <c r="AB207" s="158"/>
      <c r="AC207" s="160"/>
      <c r="AD207" s="186"/>
      <c r="AE207" s="241"/>
      <c r="AF207" s="268"/>
      <c r="AG207" s="270"/>
      <c r="AH207" s="267"/>
    </row>
    <row r="208" spans="1:34" s="184" customFormat="1" ht="69.900000000000006" customHeight="1" x14ac:dyDescent="0.2">
      <c r="A208" s="267"/>
      <c r="B208" s="188">
        <v>193</v>
      </c>
      <c r="C208" s="237"/>
      <c r="D208" s="237"/>
      <c r="E208" s="237"/>
      <c r="F208" s="237"/>
      <c r="G208" s="419"/>
      <c r="H208" s="419"/>
      <c r="I208" s="157"/>
      <c r="J208" s="157"/>
      <c r="K208" s="158"/>
      <c r="L208" s="159"/>
      <c r="M208" s="157"/>
      <c r="N208" s="157"/>
      <c r="O208" s="160"/>
      <c r="P208" s="160"/>
      <c r="Q208" s="161" t="str">
        <f>IFERROR(VLOOKUP(O208,Risk.Matrix,MATCH(P208,Data!$P$59:$U$59,0),FALSE),"")</f>
        <v/>
      </c>
      <c r="R208" s="237"/>
      <c r="S208" s="158"/>
      <c r="T208" s="162"/>
      <c r="U208" s="186"/>
      <c r="V208" s="160"/>
      <c r="W208" s="160"/>
      <c r="X208" s="161" t="str">
        <f>IFERROR(VLOOKUP(V208,Risk.Matrix,MATCH(W208,Data!$P$59:$U$59,0),FALSE),"")</f>
        <v/>
      </c>
      <c r="Y208" s="158"/>
      <c r="Z208" s="160"/>
      <c r="AA208" s="237"/>
      <c r="AB208" s="158"/>
      <c r="AC208" s="160"/>
      <c r="AD208" s="186"/>
      <c r="AE208" s="241"/>
      <c r="AF208" s="268"/>
      <c r="AG208" s="270"/>
      <c r="AH208" s="267"/>
    </row>
    <row r="209" spans="1:34" s="184" customFormat="1" ht="69.75" customHeight="1" x14ac:dyDescent="0.2">
      <c r="A209" s="267"/>
      <c r="B209" s="188">
        <v>194</v>
      </c>
      <c r="C209" s="237"/>
      <c r="D209" s="237"/>
      <c r="E209" s="237"/>
      <c r="F209" s="237"/>
      <c r="G209" s="419"/>
      <c r="H209" s="419"/>
      <c r="I209" s="157"/>
      <c r="J209" s="157"/>
      <c r="K209" s="158">
        <v>0</v>
      </c>
      <c r="L209" s="159"/>
      <c r="M209" s="157"/>
      <c r="N209" s="157"/>
      <c r="O209" s="160"/>
      <c r="P209" s="160"/>
      <c r="Q209" s="161" t="str">
        <f>IFERROR(VLOOKUP(O209,Risk.Matrix,MATCH(P209,Data!$P$59:$U$59,0),FALSE),"")</f>
        <v/>
      </c>
      <c r="R209" s="237"/>
      <c r="S209" s="158"/>
      <c r="T209" s="162"/>
      <c r="U209" s="186"/>
      <c r="V209" s="160"/>
      <c r="W209" s="160"/>
      <c r="X209" s="161" t="str">
        <f>IFERROR(VLOOKUP(V209,Risk.Matrix,MATCH(W209,Data!$P$59:$U$59,0),FALSE),"")</f>
        <v/>
      </c>
      <c r="Y209" s="158"/>
      <c r="Z209" s="160"/>
      <c r="AA209" s="237"/>
      <c r="AB209" s="158"/>
      <c r="AC209" s="160"/>
      <c r="AD209" s="186"/>
      <c r="AE209" s="241"/>
      <c r="AF209" s="268"/>
      <c r="AG209" s="270"/>
      <c r="AH209" s="267"/>
    </row>
    <row r="210" spans="1:34" s="184" customFormat="1" ht="69.900000000000006" customHeight="1" x14ac:dyDescent="0.2">
      <c r="A210" s="267"/>
      <c r="B210" s="188">
        <v>195</v>
      </c>
      <c r="C210" s="237"/>
      <c r="D210" s="237"/>
      <c r="E210" s="237"/>
      <c r="F210" s="237"/>
      <c r="G210" s="419"/>
      <c r="H210" s="419"/>
      <c r="I210" s="157"/>
      <c r="J210" s="157"/>
      <c r="K210" s="158">
        <v>0</v>
      </c>
      <c r="L210" s="159"/>
      <c r="M210" s="157"/>
      <c r="N210" s="157"/>
      <c r="O210" s="160"/>
      <c r="P210" s="160"/>
      <c r="Q210" s="161" t="str">
        <f>IFERROR(VLOOKUP(O210,Risk.Matrix,MATCH(P210,Data!$P$59:$U$59,0),FALSE),"")</f>
        <v/>
      </c>
      <c r="R210" s="237"/>
      <c r="S210" s="158"/>
      <c r="T210" s="162"/>
      <c r="U210" s="186"/>
      <c r="V210" s="160"/>
      <c r="W210" s="160"/>
      <c r="X210" s="161" t="str">
        <f>IFERROR(VLOOKUP(V210,Risk.Matrix,MATCH(W210,Data!$P$59:$U$59,0),FALSE),"")</f>
        <v/>
      </c>
      <c r="Y210" s="158"/>
      <c r="Z210" s="160"/>
      <c r="AA210" s="237"/>
      <c r="AB210" s="158"/>
      <c r="AC210" s="160"/>
      <c r="AD210" s="186"/>
      <c r="AE210" s="241"/>
      <c r="AF210" s="268"/>
      <c r="AG210" s="270"/>
      <c r="AH210" s="267"/>
    </row>
    <row r="211" spans="1:34" s="184" customFormat="1" ht="69.75" customHeight="1" x14ac:dyDescent="0.2">
      <c r="A211" s="267"/>
      <c r="B211" s="188">
        <v>196</v>
      </c>
      <c r="C211" s="237"/>
      <c r="D211" s="237"/>
      <c r="E211" s="237"/>
      <c r="F211" s="237"/>
      <c r="G211" s="419"/>
      <c r="H211" s="419"/>
      <c r="I211" s="157"/>
      <c r="J211" s="157"/>
      <c r="K211" s="158">
        <v>0</v>
      </c>
      <c r="L211" s="159"/>
      <c r="M211" s="157"/>
      <c r="N211" s="157"/>
      <c r="O211" s="160"/>
      <c r="P211" s="160"/>
      <c r="Q211" s="161" t="str">
        <f>IFERROR(VLOOKUP(O211,Risk.Matrix,MATCH(P211,Data!$P$59:$U$59,0),FALSE),"")</f>
        <v/>
      </c>
      <c r="R211" s="237"/>
      <c r="S211" s="158"/>
      <c r="T211" s="162"/>
      <c r="U211" s="186"/>
      <c r="V211" s="160"/>
      <c r="W211" s="160"/>
      <c r="X211" s="161" t="str">
        <f>IFERROR(VLOOKUP(V211,Risk.Matrix,MATCH(W211,Data!$P$59:$U$59,0),FALSE),"")</f>
        <v/>
      </c>
      <c r="Y211" s="158"/>
      <c r="Z211" s="160"/>
      <c r="AA211" s="237"/>
      <c r="AB211" s="158"/>
      <c r="AC211" s="160"/>
      <c r="AD211" s="186"/>
      <c r="AE211" s="241"/>
      <c r="AF211" s="268"/>
      <c r="AG211" s="270"/>
      <c r="AH211" s="267"/>
    </row>
    <row r="212" spans="1:34" s="184" customFormat="1" ht="69.900000000000006" customHeight="1" x14ac:dyDescent="0.2">
      <c r="A212" s="267"/>
      <c r="B212" s="188">
        <v>197</v>
      </c>
      <c r="C212" s="237"/>
      <c r="D212" s="237"/>
      <c r="E212" s="237"/>
      <c r="F212" s="237"/>
      <c r="G212" s="419"/>
      <c r="H212" s="419"/>
      <c r="I212" s="157"/>
      <c r="J212" s="157"/>
      <c r="K212" s="158">
        <v>0</v>
      </c>
      <c r="L212" s="159"/>
      <c r="M212" s="157"/>
      <c r="N212" s="157"/>
      <c r="O212" s="160"/>
      <c r="P212" s="160"/>
      <c r="Q212" s="161" t="str">
        <f>IFERROR(VLOOKUP(O212,Risk.Matrix,MATCH(P212,Data!$P$59:$U$59,0),FALSE),"")</f>
        <v/>
      </c>
      <c r="R212" s="237"/>
      <c r="S212" s="158"/>
      <c r="T212" s="162"/>
      <c r="U212" s="186"/>
      <c r="V212" s="160"/>
      <c r="W212" s="160"/>
      <c r="X212" s="161" t="str">
        <f>IFERROR(VLOOKUP(V212,Risk.Matrix,MATCH(W212,Data!$P$59:$U$59,0),FALSE),"")</f>
        <v/>
      </c>
      <c r="Y212" s="158"/>
      <c r="Z212" s="160"/>
      <c r="AA212" s="237"/>
      <c r="AB212" s="158"/>
      <c r="AC212" s="160"/>
      <c r="AD212" s="186"/>
      <c r="AE212" s="241"/>
      <c r="AF212" s="268"/>
      <c r="AG212" s="270"/>
      <c r="AH212" s="267"/>
    </row>
    <row r="213" spans="1:34" s="184" customFormat="1" ht="69.75" customHeight="1" x14ac:dyDescent="0.2">
      <c r="A213" s="267"/>
      <c r="B213" s="188">
        <v>198</v>
      </c>
      <c r="C213" s="237"/>
      <c r="D213" s="237"/>
      <c r="E213" s="237"/>
      <c r="F213" s="237"/>
      <c r="G213" s="419"/>
      <c r="H213" s="419"/>
      <c r="I213" s="157"/>
      <c r="J213" s="157"/>
      <c r="K213" s="158">
        <v>0</v>
      </c>
      <c r="L213" s="159"/>
      <c r="M213" s="157"/>
      <c r="N213" s="157"/>
      <c r="O213" s="160"/>
      <c r="P213" s="160"/>
      <c r="Q213" s="161" t="str">
        <f>IFERROR(VLOOKUP(O213,Risk.Matrix,MATCH(P213,Data!$P$59:$U$59,0),FALSE),"")</f>
        <v/>
      </c>
      <c r="R213" s="237"/>
      <c r="S213" s="158"/>
      <c r="T213" s="162"/>
      <c r="U213" s="186"/>
      <c r="V213" s="160"/>
      <c r="W213" s="160"/>
      <c r="X213" s="161" t="str">
        <f>IFERROR(VLOOKUP(V213,Risk.Matrix,MATCH(W213,Data!$P$59:$U$59,0),FALSE),"")</f>
        <v/>
      </c>
      <c r="Y213" s="158"/>
      <c r="Z213" s="160"/>
      <c r="AA213" s="237"/>
      <c r="AB213" s="158"/>
      <c r="AC213" s="160"/>
      <c r="AD213" s="186"/>
      <c r="AE213" s="241"/>
      <c r="AF213" s="268"/>
      <c r="AG213" s="270"/>
      <c r="AH213" s="267"/>
    </row>
    <row r="214" spans="1:34" s="184" customFormat="1" ht="69.900000000000006" customHeight="1" x14ac:dyDescent="0.2">
      <c r="A214" s="267"/>
      <c r="B214" s="188">
        <v>199</v>
      </c>
      <c r="C214" s="237"/>
      <c r="D214" s="237"/>
      <c r="E214" s="237"/>
      <c r="F214" s="237"/>
      <c r="G214" s="419"/>
      <c r="H214" s="419"/>
      <c r="I214" s="157"/>
      <c r="J214" s="157"/>
      <c r="K214" s="158">
        <v>0</v>
      </c>
      <c r="L214" s="159"/>
      <c r="M214" s="157"/>
      <c r="N214" s="157"/>
      <c r="O214" s="160"/>
      <c r="P214" s="160"/>
      <c r="Q214" s="161" t="str">
        <f>IFERROR(VLOOKUP(O214,Risk.Matrix,MATCH(P214,Data!$P$59:$U$59,0),FALSE),"")</f>
        <v/>
      </c>
      <c r="R214" s="237"/>
      <c r="S214" s="158"/>
      <c r="T214" s="162"/>
      <c r="U214" s="186"/>
      <c r="V214" s="160"/>
      <c r="W214" s="160"/>
      <c r="X214" s="161" t="str">
        <f>IFERROR(VLOOKUP(V214,Risk.Matrix,MATCH(W214,Data!$P$59:$U$59,0),FALSE),"")</f>
        <v/>
      </c>
      <c r="Y214" s="158"/>
      <c r="Z214" s="160"/>
      <c r="AA214" s="237"/>
      <c r="AB214" s="158"/>
      <c r="AC214" s="160"/>
      <c r="AD214" s="186"/>
      <c r="AE214" s="241"/>
      <c r="AF214" s="268"/>
      <c r="AG214" s="270"/>
      <c r="AH214" s="267"/>
    </row>
    <row r="215" spans="1:34" s="184" customFormat="1" ht="69.75" customHeight="1" x14ac:dyDescent="0.2">
      <c r="A215" s="267"/>
      <c r="B215" s="243">
        <v>200</v>
      </c>
      <c r="C215" s="244"/>
      <c r="D215" s="244"/>
      <c r="E215" s="244"/>
      <c r="F215" s="244"/>
      <c r="G215" s="420"/>
      <c r="H215" s="420"/>
      <c r="I215" s="245"/>
      <c r="J215" s="245"/>
      <c r="K215" s="246">
        <v>0</v>
      </c>
      <c r="L215" s="247"/>
      <c r="M215" s="245"/>
      <c r="N215" s="245"/>
      <c r="O215" s="248"/>
      <c r="P215" s="248"/>
      <c r="Q215" s="249" t="str">
        <f>IFERROR(VLOOKUP(O215,Risk.Matrix,MATCH(P215,Data!$P$59:$U$59,0),FALSE),"")</f>
        <v/>
      </c>
      <c r="R215" s="244"/>
      <c r="S215" s="246"/>
      <c r="T215" s="250"/>
      <c r="U215" s="251"/>
      <c r="V215" s="248"/>
      <c r="W215" s="248"/>
      <c r="X215" s="161" t="str">
        <f>IFERROR(VLOOKUP(V215,Risk.Matrix,MATCH(W215,Data!$P$59:$U$59,0),FALSE),"")</f>
        <v/>
      </c>
      <c r="Y215" s="246"/>
      <c r="Z215" s="248"/>
      <c r="AA215" s="244"/>
      <c r="AB215" s="246"/>
      <c r="AC215" s="248"/>
      <c r="AD215" s="251"/>
      <c r="AE215" s="242"/>
      <c r="AF215" s="271"/>
      <c r="AG215" s="272"/>
      <c r="AH215" s="267"/>
    </row>
  </sheetData>
  <sheetProtection algorithmName="SHA-512" hashValue="zHPX5fvEc4ys9bk2yjRE/gCXqxqynP9zCVxo7lJ4PsMQOMXL18foeZwe+xvZkGx3xTkVgHAEmUb9wYBcxHBZaA==" saltValue="XhqXxNEP0tW0PArHk51HtA==" spinCount="100000" sheet="1" formatRows="0" selectLockedCells="1" sort="0" autoFilter="0" pivotTables="0"/>
  <autoFilter ref="B14:AC115" xr:uid="{9BEDC240-AB1E-4879-AB94-62A03E347CCE}">
    <filterColumn colId="5" showButton="0"/>
  </autoFilter>
  <mergeCells count="259">
    <mergeCell ref="G70:H70"/>
    <mergeCell ref="B2:H2"/>
    <mergeCell ref="B7:D7"/>
    <mergeCell ref="E5:J5"/>
    <mergeCell ref="E9:F9"/>
    <mergeCell ref="G33:H33"/>
    <mergeCell ref="G34:H34"/>
    <mergeCell ref="B5:D5"/>
    <mergeCell ref="B6:D6"/>
    <mergeCell ref="E6:J6"/>
    <mergeCell ref="G8:H8"/>
    <mergeCell ref="G9:H9"/>
    <mergeCell ref="G10:H10"/>
    <mergeCell ref="I8:J8"/>
    <mergeCell ref="I9:J9"/>
    <mergeCell ref="B8:D8"/>
    <mergeCell ref="E10:F10"/>
    <mergeCell ref="G30:H30"/>
    <mergeCell ref="G15:H15"/>
    <mergeCell ref="G16:H16"/>
    <mergeCell ref="G17:H17"/>
    <mergeCell ref="G11:H11"/>
    <mergeCell ref="G18:H18"/>
    <mergeCell ref="G14:H14"/>
    <mergeCell ref="G19:H19"/>
    <mergeCell ref="AA13:AD13"/>
    <mergeCell ref="X6:Z7"/>
    <mergeCell ref="X8:Z9"/>
    <mergeCell ref="X10:Z11"/>
    <mergeCell ref="N5:T6"/>
    <mergeCell ref="I13:N13"/>
    <mergeCell ref="V13:X13"/>
    <mergeCell ref="O13:Q13"/>
    <mergeCell ref="I11:J11"/>
    <mergeCell ref="R13:U13"/>
    <mergeCell ref="K11:M11"/>
    <mergeCell ref="U5:W5"/>
    <mergeCell ref="Y13:Z13"/>
    <mergeCell ref="X5:Z5"/>
    <mergeCell ref="N10:T10"/>
    <mergeCell ref="N11:T11"/>
    <mergeCell ref="U10:W11"/>
    <mergeCell ref="U8:W9"/>
    <mergeCell ref="U6:W7"/>
    <mergeCell ref="S9:T9"/>
    <mergeCell ref="N9:Q9"/>
    <mergeCell ref="N7:T8"/>
    <mergeCell ref="K7:M8"/>
    <mergeCell ref="K5:M6"/>
    <mergeCell ref="K9:M9"/>
    <mergeCell ref="K10:M10"/>
    <mergeCell ref="B13:H13"/>
    <mergeCell ref="B11:D11"/>
    <mergeCell ref="B9:C9"/>
    <mergeCell ref="B10:C10"/>
    <mergeCell ref="I10:J10"/>
    <mergeCell ref="E7:J7"/>
    <mergeCell ref="E8:F8"/>
    <mergeCell ref="E11:F11"/>
    <mergeCell ref="G56:H56"/>
    <mergeCell ref="G57:H57"/>
    <mergeCell ref="G58:H58"/>
    <mergeCell ref="G59:H59"/>
    <mergeCell ref="G60:H60"/>
    <mergeCell ref="G20:H20"/>
    <mergeCell ref="G21:H21"/>
    <mergeCell ref="G25:H25"/>
    <mergeCell ref="G26:H26"/>
    <mergeCell ref="G28:H28"/>
    <mergeCell ref="G35:H35"/>
    <mergeCell ref="G40:H40"/>
    <mergeCell ref="G36:H36"/>
    <mergeCell ref="G37:H37"/>
    <mergeCell ref="G38:H38"/>
    <mergeCell ref="G39:H39"/>
    <mergeCell ref="G31:H31"/>
    <mergeCell ref="G32:H32"/>
    <mergeCell ref="G22:H22"/>
    <mergeCell ref="G23:H23"/>
    <mergeCell ref="G24:H24"/>
    <mergeCell ref="G27:H27"/>
    <mergeCell ref="S2:Z3"/>
    <mergeCell ref="G66:H66"/>
    <mergeCell ref="G67:H67"/>
    <mergeCell ref="G68:H68"/>
    <mergeCell ref="G69:H69"/>
    <mergeCell ref="G41:H41"/>
    <mergeCell ref="G29:H29"/>
    <mergeCell ref="G43:H43"/>
    <mergeCell ref="G51:H51"/>
    <mergeCell ref="G52:H52"/>
    <mergeCell ref="G53:H53"/>
    <mergeCell ref="G54:H54"/>
    <mergeCell ref="G55:H55"/>
    <mergeCell ref="G46:H46"/>
    <mergeCell ref="G47:H47"/>
    <mergeCell ref="G48:H48"/>
    <mergeCell ref="G49:H49"/>
    <mergeCell ref="G50:H50"/>
    <mergeCell ref="G44:H44"/>
    <mergeCell ref="G45:H45"/>
    <mergeCell ref="G61:H61"/>
    <mergeCell ref="G63:H63"/>
    <mergeCell ref="G64:H64"/>
    <mergeCell ref="G65:H65"/>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114:H114"/>
    <mergeCell ref="G115:H115"/>
    <mergeCell ref="G98:H98"/>
    <mergeCell ref="G99:H99"/>
    <mergeCell ref="G100:H100"/>
    <mergeCell ref="G101:H101"/>
    <mergeCell ref="G102:H102"/>
    <mergeCell ref="G103:H103"/>
    <mergeCell ref="G104:H104"/>
    <mergeCell ref="G105:H105"/>
    <mergeCell ref="G106:H106"/>
    <mergeCell ref="AG2:AG3"/>
    <mergeCell ref="G116:H116"/>
    <mergeCell ref="G117:H117"/>
    <mergeCell ref="G118:H118"/>
    <mergeCell ref="G119:H119"/>
    <mergeCell ref="G120:H120"/>
    <mergeCell ref="G121:H121"/>
    <mergeCell ref="G122:H122"/>
    <mergeCell ref="G123:H123"/>
    <mergeCell ref="AE13:AG13"/>
    <mergeCell ref="AG6:AG7"/>
    <mergeCell ref="AG8:AG9"/>
    <mergeCell ref="AG10:AG11"/>
    <mergeCell ref="AA6:AF7"/>
    <mergeCell ref="AA8:AF9"/>
    <mergeCell ref="AA10:AF11"/>
    <mergeCell ref="AA5:AF5"/>
    <mergeCell ref="G107:H107"/>
    <mergeCell ref="G108:H108"/>
    <mergeCell ref="G109:H109"/>
    <mergeCell ref="G110:H110"/>
    <mergeCell ref="G111:H111"/>
    <mergeCell ref="G112:H112"/>
    <mergeCell ref="G113:H11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14:H214"/>
    <mergeCell ref="G215:H215"/>
    <mergeCell ref="G205:H205"/>
    <mergeCell ref="G206:H206"/>
    <mergeCell ref="G207:H207"/>
    <mergeCell ref="G208:H208"/>
    <mergeCell ref="G209:H209"/>
    <mergeCell ref="G210:H210"/>
    <mergeCell ref="G211:H211"/>
    <mergeCell ref="G212:H212"/>
    <mergeCell ref="G213:H213"/>
  </mergeCells>
  <phoneticPr fontId="14" type="noConversion"/>
  <conditionalFormatting sqref="O16:Q16">
    <cfRule type="cellIs" dxfId="731" priority="792" operator="equal">
      <formula>"Very Low"</formula>
    </cfRule>
    <cfRule type="cellIs" dxfId="730" priority="793" operator="equal">
      <formula>"Low"</formula>
    </cfRule>
    <cfRule type="cellIs" dxfId="729" priority="794" operator="equal">
      <formula>"Medium"</formula>
    </cfRule>
    <cfRule type="cellIs" dxfId="728" priority="795" operator="equal">
      <formula>"High"</formula>
    </cfRule>
    <cfRule type="cellIs" dxfId="727" priority="796" operator="equal">
      <formula>"Very High"</formula>
    </cfRule>
  </conditionalFormatting>
  <conditionalFormatting sqref="V16 Z16 X16:X215">
    <cfRule type="cellIs" dxfId="726" priority="787" operator="equal">
      <formula>"Very Low"</formula>
    </cfRule>
    <cfRule type="cellIs" dxfId="725" priority="788" operator="equal">
      <formula>"Low"</formula>
    </cfRule>
    <cfRule type="cellIs" dxfId="724" priority="789" operator="equal">
      <formula>"Medium"</formula>
    </cfRule>
    <cfRule type="cellIs" dxfId="723" priority="790" operator="equal">
      <formula>"High"</formula>
    </cfRule>
    <cfRule type="cellIs" dxfId="722" priority="791" operator="equal">
      <formula>"Very High"</formula>
    </cfRule>
  </conditionalFormatting>
  <conditionalFormatting sqref="O18:Q18">
    <cfRule type="cellIs" dxfId="721" priority="762" operator="equal">
      <formula>"Very Low"</formula>
    </cfRule>
    <cfRule type="cellIs" dxfId="720" priority="763" operator="equal">
      <formula>"Low"</formula>
    </cfRule>
    <cfRule type="cellIs" dxfId="719" priority="764" operator="equal">
      <formula>"Medium"</formula>
    </cfRule>
    <cfRule type="cellIs" dxfId="718" priority="765" operator="equal">
      <formula>"High"</formula>
    </cfRule>
    <cfRule type="cellIs" dxfId="717" priority="766" operator="equal">
      <formula>"Very High"</formula>
    </cfRule>
  </conditionalFormatting>
  <conditionalFormatting sqref="Z18">
    <cfRule type="cellIs" dxfId="716" priority="757" operator="equal">
      <formula>"Very Low"</formula>
    </cfRule>
    <cfRule type="cellIs" dxfId="715" priority="758" operator="equal">
      <formula>"Low"</formula>
    </cfRule>
    <cfRule type="cellIs" dxfId="714" priority="759" operator="equal">
      <formula>"Medium"</formula>
    </cfRule>
    <cfRule type="cellIs" dxfId="713" priority="760" operator="equal">
      <formula>"High"</formula>
    </cfRule>
    <cfRule type="cellIs" dxfId="712" priority="761" operator="equal">
      <formula>"Very High"</formula>
    </cfRule>
  </conditionalFormatting>
  <conditionalFormatting sqref="O17:Q17">
    <cfRule type="cellIs" dxfId="711" priority="752" operator="equal">
      <formula>"Very Low"</formula>
    </cfRule>
    <cfRule type="cellIs" dxfId="710" priority="753" operator="equal">
      <formula>"Low"</formula>
    </cfRule>
    <cfRule type="cellIs" dxfId="709" priority="754" operator="equal">
      <formula>"Medium"</formula>
    </cfRule>
    <cfRule type="cellIs" dxfId="708" priority="755" operator="equal">
      <formula>"High"</formula>
    </cfRule>
    <cfRule type="cellIs" dxfId="707" priority="756" operator="equal">
      <formula>"Very High"</formula>
    </cfRule>
  </conditionalFormatting>
  <conditionalFormatting sqref="Z17">
    <cfRule type="cellIs" dxfId="706" priority="747" operator="equal">
      <formula>"Very Low"</formula>
    </cfRule>
    <cfRule type="cellIs" dxfId="705" priority="748" operator="equal">
      <formula>"Low"</formula>
    </cfRule>
    <cfRule type="cellIs" dxfId="704" priority="749" operator="equal">
      <formula>"Medium"</formula>
    </cfRule>
    <cfRule type="cellIs" dxfId="703" priority="750" operator="equal">
      <formula>"High"</formula>
    </cfRule>
    <cfRule type="cellIs" dxfId="702" priority="751" operator="equal">
      <formula>"Very High"</formula>
    </cfRule>
  </conditionalFormatting>
  <conditionalFormatting sqref="O19:Q19 O20:P32">
    <cfRule type="cellIs" dxfId="701" priority="742" operator="equal">
      <formula>"Very Low"</formula>
    </cfRule>
    <cfRule type="cellIs" dxfId="700" priority="743" operator="equal">
      <formula>"Low"</formula>
    </cfRule>
    <cfRule type="cellIs" dxfId="699" priority="744" operator="equal">
      <formula>"Medium"</formula>
    </cfRule>
    <cfRule type="cellIs" dxfId="698" priority="745" operator="equal">
      <formula>"High"</formula>
    </cfRule>
    <cfRule type="cellIs" dxfId="697" priority="746" operator="equal">
      <formula>"Very High"</formula>
    </cfRule>
  </conditionalFormatting>
  <conditionalFormatting sqref="Z19">
    <cfRule type="cellIs" dxfId="696" priority="737" operator="equal">
      <formula>"Very Low"</formula>
    </cfRule>
    <cfRule type="cellIs" dxfId="695" priority="738" operator="equal">
      <formula>"Low"</formula>
    </cfRule>
    <cfRule type="cellIs" dxfId="694" priority="739" operator="equal">
      <formula>"Medium"</formula>
    </cfRule>
    <cfRule type="cellIs" dxfId="693" priority="740" operator="equal">
      <formula>"High"</formula>
    </cfRule>
    <cfRule type="cellIs" dxfId="692" priority="741" operator="equal">
      <formula>"Very High"</formula>
    </cfRule>
  </conditionalFormatting>
  <conditionalFormatting sqref="Q21">
    <cfRule type="cellIs" dxfId="691" priority="732" operator="equal">
      <formula>"Very Low"</formula>
    </cfRule>
    <cfRule type="cellIs" dxfId="690" priority="733" operator="equal">
      <formula>"Low"</formula>
    </cfRule>
    <cfRule type="cellIs" dxfId="689" priority="734" operator="equal">
      <formula>"Medium"</formula>
    </cfRule>
    <cfRule type="cellIs" dxfId="688" priority="735" operator="equal">
      <formula>"High"</formula>
    </cfRule>
    <cfRule type="cellIs" dxfId="687" priority="736" operator="equal">
      <formula>"Very High"</formula>
    </cfRule>
  </conditionalFormatting>
  <conditionalFormatting sqref="Z21">
    <cfRule type="cellIs" dxfId="686" priority="727" operator="equal">
      <formula>"Very Low"</formula>
    </cfRule>
    <cfRule type="cellIs" dxfId="685" priority="728" operator="equal">
      <formula>"Low"</formula>
    </cfRule>
    <cfRule type="cellIs" dxfId="684" priority="729" operator="equal">
      <formula>"Medium"</formula>
    </cfRule>
    <cfRule type="cellIs" dxfId="683" priority="730" operator="equal">
      <formula>"High"</formula>
    </cfRule>
    <cfRule type="cellIs" dxfId="682" priority="731" operator="equal">
      <formula>"Very High"</formula>
    </cfRule>
  </conditionalFormatting>
  <conditionalFormatting sqref="Q20">
    <cfRule type="cellIs" dxfId="681" priority="722" operator="equal">
      <formula>"Very Low"</formula>
    </cfRule>
    <cfRule type="cellIs" dxfId="680" priority="723" operator="equal">
      <formula>"Low"</formula>
    </cfRule>
    <cfRule type="cellIs" dxfId="679" priority="724" operator="equal">
      <formula>"Medium"</formula>
    </cfRule>
    <cfRule type="cellIs" dxfId="678" priority="725" operator="equal">
      <formula>"High"</formula>
    </cfRule>
    <cfRule type="cellIs" dxfId="677" priority="726" operator="equal">
      <formula>"Very High"</formula>
    </cfRule>
  </conditionalFormatting>
  <conditionalFormatting sqref="Z20">
    <cfRule type="cellIs" dxfId="676" priority="717" operator="equal">
      <formula>"Very Low"</formula>
    </cfRule>
    <cfRule type="cellIs" dxfId="675" priority="718" operator="equal">
      <formula>"Low"</formula>
    </cfRule>
    <cfRule type="cellIs" dxfId="674" priority="719" operator="equal">
      <formula>"Medium"</formula>
    </cfRule>
    <cfRule type="cellIs" dxfId="673" priority="720" operator="equal">
      <formula>"High"</formula>
    </cfRule>
    <cfRule type="cellIs" dxfId="672" priority="721" operator="equal">
      <formula>"Very High"</formula>
    </cfRule>
  </conditionalFormatting>
  <conditionalFormatting sqref="AB16">
    <cfRule type="cellIs" dxfId="671" priority="716" operator="lessThan">
      <formula>Y16</formula>
    </cfRule>
  </conditionalFormatting>
  <conditionalFormatting sqref="AC16">
    <cfRule type="cellIs" dxfId="670" priority="715" operator="lessThan">
      <formula>Z16</formula>
    </cfRule>
  </conditionalFormatting>
  <conditionalFormatting sqref="Q22">
    <cfRule type="cellIs" dxfId="669" priority="710" operator="equal">
      <formula>"Very Low"</formula>
    </cfRule>
    <cfRule type="cellIs" dxfId="668" priority="711" operator="equal">
      <formula>"Low"</formula>
    </cfRule>
    <cfRule type="cellIs" dxfId="667" priority="712" operator="equal">
      <formula>"Medium"</formula>
    </cfRule>
    <cfRule type="cellIs" dxfId="666" priority="713" operator="equal">
      <formula>"High"</formula>
    </cfRule>
    <cfRule type="cellIs" dxfId="665" priority="714" operator="equal">
      <formula>"Very High"</formula>
    </cfRule>
  </conditionalFormatting>
  <conditionalFormatting sqref="Z22">
    <cfRule type="cellIs" dxfId="664" priority="705" operator="equal">
      <formula>"Very Low"</formula>
    </cfRule>
    <cfRule type="cellIs" dxfId="663" priority="706" operator="equal">
      <formula>"Low"</formula>
    </cfRule>
    <cfRule type="cellIs" dxfId="662" priority="707" operator="equal">
      <formula>"Medium"</formula>
    </cfRule>
    <cfRule type="cellIs" dxfId="661" priority="708" operator="equal">
      <formula>"High"</formula>
    </cfRule>
    <cfRule type="cellIs" dxfId="660" priority="709" operator="equal">
      <formula>"Very High"</formula>
    </cfRule>
  </conditionalFormatting>
  <conditionalFormatting sqref="Q24">
    <cfRule type="cellIs" dxfId="659" priority="700" operator="equal">
      <formula>"Very Low"</formula>
    </cfRule>
    <cfRule type="cellIs" dxfId="658" priority="701" operator="equal">
      <formula>"Low"</formula>
    </cfRule>
    <cfRule type="cellIs" dxfId="657" priority="702" operator="equal">
      <formula>"Medium"</formula>
    </cfRule>
    <cfRule type="cellIs" dxfId="656" priority="703" operator="equal">
      <formula>"High"</formula>
    </cfRule>
    <cfRule type="cellIs" dxfId="655" priority="704" operator="equal">
      <formula>"Very High"</formula>
    </cfRule>
  </conditionalFormatting>
  <conditionalFormatting sqref="Z24">
    <cfRule type="cellIs" dxfId="654" priority="695" operator="equal">
      <formula>"Very Low"</formula>
    </cfRule>
    <cfRule type="cellIs" dxfId="653" priority="696" operator="equal">
      <formula>"Low"</formula>
    </cfRule>
    <cfRule type="cellIs" dxfId="652" priority="697" operator="equal">
      <formula>"Medium"</formula>
    </cfRule>
    <cfRule type="cellIs" dxfId="651" priority="698" operator="equal">
      <formula>"High"</formula>
    </cfRule>
    <cfRule type="cellIs" dxfId="650" priority="699" operator="equal">
      <formula>"Very High"</formula>
    </cfRule>
  </conditionalFormatting>
  <conditionalFormatting sqref="Q23">
    <cfRule type="cellIs" dxfId="649" priority="690" operator="equal">
      <formula>"Very Low"</formula>
    </cfRule>
    <cfRule type="cellIs" dxfId="648" priority="691" operator="equal">
      <formula>"Low"</formula>
    </cfRule>
    <cfRule type="cellIs" dxfId="647" priority="692" operator="equal">
      <formula>"Medium"</formula>
    </cfRule>
    <cfRule type="cellIs" dxfId="646" priority="693" operator="equal">
      <formula>"High"</formula>
    </cfRule>
    <cfRule type="cellIs" dxfId="645" priority="694" operator="equal">
      <formula>"Very High"</formula>
    </cfRule>
  </conditionalFormatting>
  <conditionalFormatting sqref="Z23">
    <cfRule type="cellIs" dxfId="644" priority="685" operator="equal">
      <formula>"Very Low"</formula>
    </cfRule>
    <cfRule type="cellIs" dxfId="643" priority="686" operator="equal">
      <formula>"Low"</formula>
    </cfRule>
    <cfRule type="cellIs" dxfId="642" priority="687" operator="equal">
      <formula>"Medium"</formula>
    </cfRule>
    <cfRule type="cellIs" dxfId="641" priority="688" operator="equal">
      <formula>"High"</formula>
    </cfRule>
    <cfRule type="cellIs" dxfId="640" priority="689" operator="equal">
      <formula>"Very High"</formula>
    </cfRule>
  </conditionalFormatting>
  <conditionalFormatting sqref="Q25">
    <cfRule type="cellIs" dxfId="639" priority="680" operator="equal">
      <formula>"Very Low"</formula>
    </cfRule>
    <cfRule type="cellIs" dxfId="638" priority="681" operator="equal">
      <formula>"Low"</formula>
    </cfRule>
    <cfRule type="cellIs" dxfId="637" priority="682" operator="equal">
      <formula>"Medium"</formula>
    </cfRule>
    <cfRule type="cellIs" dxfId="636" priority="683" operator="equal">
      <formula>"High"</formula>
    </cfRule>
    <cfRule type="cellIs" dxfId="635" priority="684" operator="equal">
      <formula>"Very High"</formula>
    </cfRule>
  </conditionalFormatting>
  <conditionalFormatting sqref="Z25">
    <cfRule type="cellIs" dxfId="634" priority="675" operator="equal">
      <formula>"Very Low"</formula>
    </cfRule>
    <cfRule type="cellIs" dxfId="633" priority="676" operator="equal">
      <formula>"Low"</formula>
    </cfRule>
    <cfRule type="cellIs" dxfId="632" priority="677" operator="equal">
      <formula>"Medium"</formula>
    </cfRule>
    <cfRule type="cellIs" dxfId="631" priority="678" operator="equal">
      <formula>"High"</formula>
    </cfRule>
    <cfRule type="cellIs" dxfId="630" priority="679" operator="equal">
      <formula>"Very High"</formula>
    </cfRule>
  </conditionalFormatting>
  <conditionalFormatting sqref="Q27">
    <cfRule type="cellIs" dxfId="629" priority="670" operator="equal">
      <formula>"Very Low"</formula>
    </cfRule>
    <cfRule type="cellIs" dxfId="628" priority="671" operator="equal">
      <formula>"Low"</formula>
    </cfRule>
    <cfRule type="cellIs" dxfId="627" priority="672" operator="equal">
      <formula>"Medium"</formula>
    </cfRule>
    <cfRule type="cellIs" dxfId="626" priority="673" operator="equal">
      <formula>"High"</formula>
    </cfRule>
    <cfRule type="cellIs" dxfId="625" priority="674" operator="equal">
      <formula>"Very High"</formula>
    </cfRule>
  </conditionalFormatting>
  <conditionalFormatting sqref="Z27">
    <cfRule type="cellIs" dxfId="624" priority="665" operator="equal">
      <formula>"Very Low"</formula>
    </cfRule>
    <cfRule type="cellIs" dxfId="623" priority="666" operator="equal">
      <formula>"Low"</formula>
    </cfRule>
    <cfRule type="cellIs" dxfId="622" priority="667" operator="equal">
      <formula>"Medium"</formula>
    </cfRule>
    <cfRule type="cellIs" dxfId="621" priority="668" operator="equal">
      <formula>"High"</formula>
    </cfRule>
    <cfRule type="cellIs" dxfId="620" priority="669" operator="equal">
      <formula>"Very High"</formula>
    </cfRule>
  </conditionalFormatting>
  <conditionalFormatting sqref="Q26">
    <cfRule type="cellIs" dxfId="619" priority="660" operator="equal">
      <formula>"Very Low"</formula>
    </cfRule>
    <cfRule type="cellIs" dxfId="618" priority="661" operator="equal">
      <formula>"Low"</formula>
    </cfRule>
    <cfRule type="cellIs" dxfId="617" priority="662" operator="equal">
      <formula>"Medium"</formula>
    </cfRule>
    <cfRule type="cellIs" dxfId="616" priority="663" operator="equal">
      <formula>"High"</formula>
    </cfRule>
    <cfRule type="cellIs" dxfId="615" priority="664" operator="equal">
      <formula>"Very High"</formula>
    </cfRule>
  </conditionalFormatting>
  <conditionalFormatting sqref="Z26">
    <cfRule type="cellIs" dxfId="614" priority="655" operator="equal">
      <formula>"Very Low"</formula>
    </cfRule>
    <cfRule type="cellIs" dxfId="613" priority="656" operator="equal">
      <formula>"Low"</formula>
    </cfRule>
    <cfRule type="cellIs" dxfId="612" priority="657" operator="equal">
      <formula>"Medium"</formula>
    </cfRule>
    <cfRule type="cellIs" dxfId="611" priority="658" operator="equal">
      <formula>"High"</formula>
    </cfRule>
    <cfRule type="cellIs" dxfId="610" priority="659" operator="equal">
      <formula>"Very High"</formula>
    </cfRule>
  </conditionalFormatting>
  <conditionalFormatting sqref="AB17:AB21">
    <cfRule type="cellIs" dxfId="609" priority="652" operator="lessThan">
      <formula>Y17</formula>
    </cfRule>
  </conditionalFormatting>
  <conditionalFormatting sqref="AB22">
    <cfRule type="cellIs" dxfId="608" priority="647" operator="lessThan">
      <formula>Y22</formula>
    </cfRule>
  </conditionalFormatting>
  <conditionalFormatting sqref="AB23">
    <cfRule type="cellIs" dxfId="607" priority="643" operator="lessThan">
      <formula>Y23</formula>
    </cfRule>
  </conditionalFormatting>
  <conditionalFormatting sqref="AB24">
    <cfRule type="cellIs" dxfId="606" priority="642" operator="lessThan">
      <formula>Y24</formula>
    </cfRule>
  </conditionalFormatting>
  <conditionalFormatting sqref="AB25">
    <cfRule type="cellIs" dxfId="605" priority="641" operator="lessThan">
      <formula>Y25</formula>
    </cfRule>
  </conditionalFormatting>
  <conditionalFormatting sqref="AB26">
    <cfRule type="cellIs" dxfId="604" priority="640" operator="lessThan">
      <formula>Y26</formula>
    </cfRule>
  </conditionalFormatting>
  <conditionalFormatting sqref="AB27">
    <cfRule type="cellIs" dxfId="603" priority="639" operator="lessThan">
      <formula>Y27</formula>
    </cfRule>
  </conditionalFormatting>
  <conditionalFormatting sqref="AC17">
    <cfRule type="cellIs" dxfId="602" priority="638" operator="lessThan">
      <formula>Z17</formula>
    </cfRule>
  </conditionalFormatting>
  <conditionalFormatting sqref="AC18">
    <cfRule type="cellIs" dxfId="601" priority="637" operator="lessThan">
      <formula>Z18</formula>
    </cfRule>
  </conditionalFormatting>
  <conditionalFormatting sqref="AC19">
    <cfRule type="cellIs" dxfId="600" priority="636" operator="lessThan">
      <formula>Z19</formula>
    </cfRule>
  </conditionalFormatting>
  <conditionalFormatting sqref="AC20">
    <cfRule type="cellIs" dxfId="599" priority="635" operator="lessThan">
      <formula>Z20</formula>
    </cfRule>
  </conditionalFormatting>
  <conditionalFormatting sqref="AC21">
    <cfRule type="cellIs" dxfId="598" priority="634" operator="lessThan">
      <formula>Z21</formula>
    </cfRule>
  </conditionalFormatting>
  <conditionalFormatting sqref="AC22">
    <cfRule type="cellIs" dxfId="597" priority="633" operator="lessThan">
      <formula>Z22</formula>
    </cfRule>
  </conditionalFormatting>
  <conditionalFormatting sqref="AC23">
    <cfRule type="cellIs" dxfId="596" priority="632" operator="lessThan">
      <formula>Z23</formula>
    </cfRule>
  </conditionalFormatting>
  <conditionalFormatting sqref="AC24">
    <cfRule type="cellIs" dxfId="595" priority="631" operator="lessThan">
      <formula>Z24</formula>
    </cfRule>
  </conditionalFormatting>
  <conditionalFormatting sqref="AC25">
    <cfRule type="cellIs" dxfId="594" priority="630" operator="lessThan">
      <formula>Z25</formula>
    </cfRule>
  </conditionalFormatting>
  <conditionalFormatting sqref="AC26">
    <cfRule type="cellIs" dxfId="593" priority="629" operator="lessThan">
      <formula>Z26</formula>
    </cfRule>
  </conditionalFormatting>
  <conditionalFormatting sqref="AC27">
    <cfRule type="cellIs" dxfId="592" priority="628" operator="lessThan">
      <formula>Z27</formula>
    </cfRule>
  </conditionalFormatting>
  <conditionalFormatting sqref="Q28">
    <cfRule type="cellIs" dxfId="591" priority="623" operator="equal">
      <formula>"Very Low"</formula>
    </cfRule>
    <cfRule type="cellIs" dxfId="590" priority="624" operator="equal">
      <formula>"Low"</formula>
    </cfRule>
    <cfRule type="cellIs" dxfId="589" priority="625" operator="equal">
      <formula>"Medium"</formula>
    </cfRule>
    <cfRule type="cellIs" dxfId="588" priority="626" operator="equal">
      <formula>"High"</formula>
    </cfRule>
    <cfRule type="cellIs" dxfId="587" priority="627" operator="equal">
      <formula>"Very High"</formula>
    </cfRule>
  </conditionalFormatting>
  <conditionalFormatting sqref="Z28">
    <cfRule type="cellIs" dxfId="586" priority="618" operator="equal">
      <formula>"Very Low"</formula>
    </cfRule>
    <cfRule type="cellIs" dxfId="585" priority="619" operator="equal">
      <formula>"Low"</formula>
    </cfRule>
    <cfRule type="cellIs" dxfId="584" priority="620" operator="equal">
      <formula>"Medium"</formula>
    </cfRule>
    <cfRule type="cellIs" dxfId="583" priority="621" operator="equal">
      <formula>"High"</formula>
    </cfRule>
    <cfRule type="cellIs" dxfId="582" priority="622" operator="equal">
      <formula>"Very High"</formula>
    </cfRule>
  </conditionalFormatting>
  <conditionalFormatting sqref="Q30">
    <cfRule type="cellIs" dxfId="581" priority="613" operator="equal">
      <formula>"Very Low"</formula>
    </cfRule>
    <cfRule type="cellIs" dxfId="580" priority="614" operator="equal">
      <formula>"Low"</formula>
    </cfRule>
    <cfRule type="cellIs" dxfId="579" priority="615" operator="equal">
      <formula>"Medium"</formula>
    </cfRule>
    <cfRule type="cellIs" dxfId="578" priority="616" operator="equal">
      <formula>"High"</formula>
    </cfRule>
    <cfRule type="cellIs" dxfId="577" priority="617" operator="equal">
      <formula>"Very High"</formula>
    </cfRule>
  </conditionalFormatting>
  <conditionalFormatting sqref="Z30">
    <cfRule type="cellIs" dxfId="576" priority="608" operator="equal">
      <formula>"Very Low"</formula>
    </cfRule>
    <cfRule type="cellIs" dxfId="575" priority="609" operator="equal">
      <formula>"Low"</formula>
    </cfRule>
    <cfRule type="cellIs" dxfId="574" priority="610" operator="equal">
      <formula>"Medium"</formula>
    </cfRule>
    <cfRule type="cellIs" dxfId="573" priority="611" operator="equal">
      <formula>"High"</formula>
    </cfRule>
    <cfRule type="cellIs" dxfId="572" priority="612" operator="equal">
      <formula>"Very High"</formula>
    </cfRule>
  </conditionalFormatting>
  <conditionalFormatting sqref="Q29">
    <cfRule type="cellIs" dxfId="571" priority="603" operator="equal">
      <formula>"Very Low"</formula>
    </cfRule>
    <cfRule type="cellIs" dxfId="570" priority="604" operator="equal">
      <formula>"Low"</formula>
    </cfRule>
    <cfRule type="cellIs" dxfId="569" priority="605" operator="equal">
      <formula>"Medium"</formula>
    </cfRule>
    <cfRule type="cellIs" dxfId="568" priority="606" operator="equal">
      <formula>"High"</formula>
    </cfRule>
    <cfRule type="cellIs" dxfId="567" priority="607" operator="equal">
      <formula>"Very High"</formula>
    </cfRule>
  </conditionalFormatting>
  <conditionalFormatting sqref="Z29">
    <cfRule type="cellIs" dxfId="566" priority="598" operator="equal">
      <formula>"Very Low"</formula>
    </cfRule>
    <cfRule type="cellIs" dxfId="565" priority="599" operator="equal">
      <formula>"Low"</formula>
    </cfRule>
    <cfRule type="cellIs" dxfId="564" priority="600" operator="equal">
      <formula>"Medium"</formula>
    </cfRule>
    <cfRule type="cellIs" dxfId="563" priority="601" operator="equal">
      <formula>"High"</formula>
    </cfRule>
    <cfRule type="cellIs" dxfId="562" priority="602" operator="equal">
      <formula>"Very High"</formula>
    </cfRule>
  </conditionalFormatting>
  <conditionalFormatting sqref="Q31">
    <cfRule type="cellIs" dxfId="561" priority="593" operator="equal">
      <formula>"Very Low"</formula>
    </cfRule>
    <cfRule type="cellIs" dxfId="560" priority="594" operator="equal">
      <formula>"Low"</formula>
    </cfRule>
    <cfRule type="cellIs" dxfId="559" priority="595" operator="equal">
      <formula>"Medium"</formula>
    </cfRule>
    <cfRule type="cellIs" dxfId="558" priority="596" operator="equal">
      <formula>"High"</formula>
    </cfRule>
    <cfRule type="cellIs" dxfId="557" priority="597" operator="equal">
      <formula>"Very High"</formula>
    </cfRule>
  </conditionalFormatting>
  <conditionalFormatting sqref="Z31">
    <cfRule type="cellIs" dxfId="556" priority="588" operator="equal">
      <formula>"Very Low"</formula>
    </cfRule>
    <cfRule type="cellIs" dxfId="555" priority="589" operator="equal">
      <formula>"Low"</formula>
    </cfRule>
    <cfRule type="cellIs" dxfId="554" priority="590" operator="equal">
      <formula>"Medium"</formula>
    </cfRule>
    <cfRule type="cellIs" dxfId="553" priority="591" operator="equal">
      <formula>"High"</formula>
    </cfRule>
    <cfRule type="cellIs" dxfId="552" priority="592" operator="equal">
      <formula>"Very High"</formula>
    </cfRule>
  </conditionalFormatting>
  <conditionalFormatting sqref="O33:Q33">
    <cfRule type="cellIs" dxfId="551" priority="583" operator="equal">
      <formula>"Very Low"</formula>
    </cfRule>
    <cfRule type="cellIs" dxfId="550" priority="584" operator="equal">
      <formula>"Low"</formula>
    </cfRule>
    <cfRule type="cellIs" dxfId="549" priority="585" operator="equal">
      <formula>"Medium"</formula>
    </cfRule>
    <cfRule type="cellIs" dxfId="548" priority="586" operator="equal">
      <formula>"High"</formula>
    </cfRule>
    <cfRule type="cellIs" dxfId="547" priority="587" operator="equal">
      <formula>"Very High"</formula>
    </cfRule>
  </conditionalFormatting>
  <conditionalFormatting sqref="Z33">
    <cfRule type="cellIs" dxfId="546" priority="578" operator="equal">
      <formula>"Very Low"</formula>
    </cfRule>
    <cfRule type="cellIs" dxfId="545" priority="579" operator="equal">
      <formula>"Low"</formula>
    </cfRule>
    <cfRule type="cellIs" dxfId="544" priority="580" operator="equal">
      <formula>"Medium"</formula>
    </cfRule>
    <cfRule type="cellIs" dxfId="543" priority="581" operator="equal">
      <formula>"High"</formula>
    </cfRule>
    <cfRule type="cellIs" dxfId="542" priority="582" operator="equal">
      <formula>"Very High"</formula>
    </cfRule>
  </conditionalFormatting>
  <conditionalFormatting sqref="Q32">
    <cfRule type="cellIs" dxfId="541" priority="573" operator="equal">
      <formula>"Very Low"</formula>
    </cfRule>
    <cfRule type="cellIs" dxfId="540" priority="574" operator="equal">
      <formula>"Low"</formula>
    </cfRule>
    <cfRule type="cellIs" dxfId="539" priority="575" operator="equal">
      <formula>"Medium"</formula>
    </cfRule>
    <cfRule type="cellIs" dxfId="538" priority="576" operator="equal">
      <formula>"High"</formula>
    </cfRule>
    <cfRule type="cellIs" dxfId="537" priority="577" operator="equal">
      <formula>"Very High"</formula>
    </cfRule>
  </conditionalFormatting>
  <conditionalFormatting sqref="Z32">
    <cfRule type="cellIs" dxfId="536" priority="568" operator="equal">
      <formula>"Very Low"</formula>
    </cfRule>
    <cfRule type="cellIs" dxfId="535" priority="569" operator="equal">
      <formula>"Low"</formula>
    </cfRule>
    <cfRule type="cellIs" dxfId="534" priority="570" operator="equal">
      <formula>"Medium"</formula>
    </cfRule>
    <cfRule type="cellIs" dxfId="533" priority="571" operator="equal">
      <formula>"High"</formula>
    </cfRule>
    <cfRule type="cellIs" dxfId="532" priority="572" operator="equal">
      <formula>"Very High"</formula>
    </cfRule>
  </conditionalFormatting>
  <conditionalFormatting sqref="AB28">
    <cfRule type="cellIs" dxfId="531" priority="567" operator="lessThan">
      <formula>Y28</formula>
    </cfRule>
  </conditionalFormatting>
  <conditionalFormatting sqref="AC28">
    <cfRule type="cellIs" dxfId="530" priority="566" operator="lessThan">
      <formula>Z28</formula>
    </cfRule>
  </conditionalFormatting>
  <conditionalFormatting sqref="O34:Q34">
    <cfRule type="cellIs" dxfId="529" priority="561" operator="equal">
      <formula>"Very Low"</formula>
    </cfRule>
    <cfRule type="cellIs" dxfId="528" priority="562" operator="equal">
      <formula>"Low"</formula>
    </cfRule>
    <cfRule type="cellIs" dxfId="527" priority="563" operator="equal">
      <formula>"Medium"</formula>
    </cfRule>
    <cfRule type="cellIs" dxfId="526" priority="564" operator="equal">
      <formula>"High"</formula>
    </cfRule>
    <cfRule type="cellIs" dxfId="525" priority="565" operator="equal">
      <formula>"Very High"</formula>
    </cfRule>
  </conditionalFormatting>
  <conditionalFormatting sqref="Z34">
    <cfRule type="cellIs" dxfId="524" priority="556" operator="equal">
      <formula>"Very Low"</formula>
    </cfRule>
    <cfRule type="cellIs" dxfId="523" priority="557" operator="equal">
      <formula>"Low"</formula>
    </cfRule>
    <cfRule type="cellIs" dxfId="522" priority="558" operator="equal">
      <formula>"Medium"</formula>
    </cfRule>
    <cfRule type="cellIs" dxfId="521" priority="559" operator="equal">
      <formula>"High"</formula>
    </cfRule>
    <cfRule type="cellIs" dxfId="520" priority="560" operator="equal">
      <formula>"Very High"</formula>
    </cfRule>
  </conditionalFormatting>
  <conditionalFormatting sqref="Q36">
    <cfRule type="cellIs" dxfId="519" priority="551" operator="equal">
      <formula>"Very Low"</formula>
    </cfRule>
    <cfRule type="cellIs" dxfId="518" priority="552" operator="equal">
      <formula>"Low"</formula>
    </cfRule>
    <cfRule type="cellIs" dxfId="517" priority="553" operator="equal">
      <formula>"Medium"</formula>
    </cfRule>
    <cfRule type="cellIs" dxfId="516" priority="554" operator="equal">
      <formula>"High"</formula>
    </cfRule>
    <cfRule type="cellIs" dxfId="515" priority="555" operator="equal">
      <formula>"Very High"</formula>
    </cfRule>
  </conditionalFormatting>
  <conditionalFormatting sqref="Z36">
    <cfRule type="cellIs" dxfId="514" priority="546" operator="equal">
      <formula>"Very Low"</formula>
    </cfRule>
    <cfRule type="cellIs" dxfId="513" priority="547" operator="equal">
      <formula>"Low"</formula>
    </cfRule>
    <cfRule type="cellIs" dxfId="512" priority="548" operator="equal">
      <formula>"Medium"</formula>
    </cfRule>
    <cfRule type="cellIs" dxfId="511" priority="549" operator="equal">
      <formula>"High"</formula>
    </cfRule>
    <cfRule type="cellIs" dxfId="510" priority="550" operator="equal">
      <formula>"Very High"</formula>
    </cfRule>
  </conditionalFormatting>
  <conditionalFormatting sqref="O35:Q35">
    <cfRule type="cellIs" dxfId="509" priority="541" operator="equal">
      <formula>"Very Low"</formula>
    </cfRule>
    <cfRule type="cellIs" dxfId="508" priority="542" operator="equal">
      <formula>"Low"</formula>
    </cfRule>
    <cfRule type="cellIs" dxfId="507" priority="543" operator="equal">
      <formula>"Medium"</formula>
    </cfRule>
    <cfRule type="cellIs" dxfId="506" priority="544" operator="equal">
      <formula>"High"</formula>
    </cfRule>
    <cfRule type="cellIs" dxfId="505" priority="545" operator="equal">
      <formula>"Very High"</formula>
    </cfRule>
  </conditionalFormatting>
  <conditionalFormatting sqref="Z35">
    <cfRule type="cellIs" dxfId="504" priority="536" operator="equal">
      <formula>"Very Low"</formula>
    </cfRule>
    <cfRule type="cellIs" dxfId="503" priority="537" operator="equal">
      <formula>"Low"</formula>
    </cfRule>
    <cfRule type="cellIs" dxfId="502" priority="538" operator="equal">
      <formula>"Medium"</formula>
    </cfRule>
    <cfRule type="cellIs" dxfId="501" priority="539" operator="equal">
      <formula>"High"</formula>
    </cfRule>
    <cfRule type="cellIs" dxfId="500" priority="540" operator="equal">
      <formula>"Very High"</formula>
    </cfRule>
  </conditionalFormatting>
  <conditionalFormatting sqref="Q37">
    <cfRule type="cellIs" dxfId="499" priority="531" operator="equal">
      <formula>"Very Low"</formula>
    </cfRule>
    <cfRule type="cellIs" dxfId="498" priority="532" operator="equal">
      <formula>"Low"</formula>
    </cfRule>
    <cfRule type="cellIs" dxfId="497" priority="533" operator="equal">
      <formula>"Medium"</formula>
    </cfRule>
    <cfRule type="cellIs" dxfId="496" priority="534" operator="equal">
      <formula>"High"</formula>
    </cfRule>
    <cfRule type="cellIs" dxfId="495" priority="535" operator="equal">
      <formula>"Very High"</formula>
    </cfRule>
  </conditionalFormatting>
  <conditionalFormatting sqref="Z37">
    <cfRule type="cellIs" dxfId="494" priority="526" operator="equal">
      <formula>"Very Low"</formula>
    </cfRule>
    <cfRule type="cellIs" dxfId="493" priority="527" operator="equal">
      <formula>"Low"</formula>
    </cfRule>
    <cfRule type="cellIs" dxfId="492" priority="528" operator="equal">
      <formula>"Medium"</formula>
    </cfRule>
    <cfRule type="cellIs" dxfId="491" priority="529" operator="equal">
      <formula>"High"</formula>
    </cfRule>
    <cfRule type="cellIs" dxfId="490" priority="530" operator="equal">
      <formula>"Very High"</formula>
    </cfRule>
  </conditionalFormatting>
  <conditionalFormatting sqref="Q39">
    <cfRule type="cellIs" dxfId="489" priority="521" operator="equal">
      <formula>"Very Low"</formula>
    </cfRule>
    <cfRule type="cellIs" dxfId="488" priority="522" operator="equal">
      <formula>"Low"</formula>
    </cfRule>
    <cfRule type="cellIs" dxfId="487" priority="523" operator="equal">
      <formula>"Medium"</formula>
    </cfRule>
    <cfRule type="cellIs" dxfId="486" priority="524" operator="equal">
      <formula>"High"</formula>
    </cfRule>
    <cfRule type="cellIs" dxfId="485" priority="525" operator="equal">
      <formula>"Very High"</formula>
    </cfRule>
  </conditionalFormatting>
  <conditionalFormatting sqref="Z39">
    <cfRule type="cellIs" dxfId="484" priority="516" operator="equal">
      <formula>"Very Low"</formula>
    </cfRule>
    <cfRule type="cellIs" dxfId="483" priority="517" operator="equal">
      <formula>"Low"</formula>
    </cfRule>
    <cfRule type="cellIs" dxfId="482" priority="518" operator="equal">
      <formula>"Medium"</formula>
    </cfRule>
    <cfRule type="cellIs" dxfId="481" priority="519" operator="equal">
      <formula>"High"</formula>
    </cfRule>
    <cfRule type="cellIs" dxfId="480" priority="520" operator="equal">
      <formula>"Very High"</formula>
    </cfRule>
  </conditionalFormatting>
  <conditionalFormatting sqref="Q38">
    <cfRule type="cellIs" dxfId="479" priority="511" operator="equal">
      <formula>"Very Low"</formula>
    </cfRule>
    <cfRule type="cellIs" dxfId="478" priority="512" operator="equal">
      <formula>"Low"</formula>
    </cfRule>
    <cfRule type="cellIs" dxfId="477" priority="513" operator="equal">
      <formula>"Medium"</formula>
    </cfRule>
    <cfRule type="cellIs" dxfId="476" priority="514" operator="equal">
      <formula>"High"</formula>
    </cfRule>
    <cfRule type="cellIs" dxfId="475" priority="515" operator="equal">
      <formula>"Very High"</formula>
    </cfRule>
  </conditionalFormatting>
  <conditionalFormatting sqref="Z38">
    <cfRule type="cellIs" dxfId="474" priority="506" operator="equal">
      <formula>"Very Low"</formula>
    </cfRule>
    <cfRule type="cellIs" dxfId="473" priority="507" operator="equal">
      <formula>"Low"</formula>
    </cfRule>
    <cfRule type="cellIs" dxfId="472" priority="508" operator="equal">
      <formula>"Medium"</formula>
    </cfRule>
    <cfRule type="cellIs" dxfId="471" priority="509" operator="equal">
      <formula>"High"</formula>
    </cfRule>
    <cfRule type="cellIs" dxfId="470" priority="510" operator="equal">
      <formula>"Very High"</formula>
    </cfRule>
  </conditionalFormatting>
  <conditionalFormatting sqref="AB29">
    <cfRule type="cellIs" dxfId="469" priority="505" operator="lessThan">
      <formula>Y29</formula>
    </cfRule>
  </conditionalFormatting>
  <conditionalFormatting sqref="AB30">
    <cfRule type="cellIs" dxfId="468" priority="504" operator="lessThan">
      <formula>Y30</formula>
    </cfRule>
  </conditionalFormatting>
  <conditionalFormatting sqref="AB34">
    <cfRule type="cellIs" dxfId="467" priority="503" operator="lessThan">
      <formula>Y34</formula>
    </cfRule>
  </conditionalFormatting>
  <conditionalFormatting sqref="AB33">
    <cfRule type="cellIs" dxfId="466" priority="502" operator="lessThan">
      <formula>Y33</formula>
    </cfRule>
  </conditionalFormatting>
  <conditionalFormatting sqref="AB32">
    <cfRule type="cellIs" dxfId="465" priority="501" operator="lessThan">
      <formula>Y32</formula>
    </cfRule>
  </conditionalFormatting>
  <conditionalFormatting sqref="AB31">
    <cfRule type="cellIs" dxfId="464" priority="500" operator="lessThan">
      <formula>Y31</formula>
    </cfRule>
  </conditionalFormatting>
  <conditionalFormatting sqref="AB35">
    <cfRule type="cellIs" dxfId="463" priority="499" operator="lessThan">
      <formula>Y35</formula>
    </cfRule>
  </conditionalFormatting>
  <conditionalFormatting sqref="AB36">
    <cfRule type="cellIs" dxfId="462" priority="498" operator="lessThan">
      <formula>Y36</formula>
    </cfRule>
  </conditionalFormatting>
  <conditionalFormatting sqref="AB37">
    <cfRule type="cellIs" dxfId="461" priority="497" operator="lessThan">
      <formula>Y37</formula>
    </cfRule>
  </conditionalFormatting>
  <conditionalFormatting sqref="AB38">
    <cfRule type="cellIs" dxfId="460" priority="496" operator="lessThan">
      <formula>Y38</formula>
    </cfRule>
  </conditionalFormatting>
  <conditionalFormatting sqref="AB39">
    <cfRule type="cellIs" dxfId="459" priority="495" operator="lessThan">
      <formula>Y39</formula>
    </cfRule>
  </conditionalFormatting>
  <conditionalFormatting sqref="AC29">
    <cfRule type="cellIs" dxfId="458" priority="494" operator="lessThan">
      <formula>Z29</formula>
    </cfRule>
  </conditionalFormatting>
  <conditionalFormatting sqref="AC30">
    <cfRule type="cellIs" dxfId="457" priority="493" operator="lessThan">
      <formula>Z30</formula>
    </cfRule>
  </conditionalFormatting>
  <conditionalFormatting sqref="AC31">
    <cfRule type="cellIs" dxfId="456" priority="492" operator="lessThan">
      <formula>Z31</formula>
    </cfRule>
  </conditionalFormatting>
  <conditionalFormatting sqref="AC32">
    <cfRule type="cellIs" dxfId="455" priority="491" operator="lessThan">
      <formula>Z32</formula>
    </cfRule>
  </conditionalFormatting>
  <conditionalFormatting sqref="AC33">
    <cfRule type="cellIs" dxfId="454" priority="490" operator="lessThan">
      <formula>Z33</formula>
    </cfRule>
  </conditionalFormatting>
  <conditionalFormatting sqref="AC34">
    <cfRule type="cellIs" dxfId="453" priority="489" operator="lessThan">
      <formula>Z34</formula>
    </cfRule>
  </conditionalFormatting>
  <conditionalFormatting sqref="AC35">
    <cfRule type="cellIs" dxfId="452" priority="488" operator="lessThan">
      <formula>Z35</formula>
    </cfRule>
  </conditionalFormatting>
  <conditionalFormatting sqref="AC36">
    <cfRule type="cellIs" dxfId="451" priority="487" operator="lessThan">
      <formula>Z36</formula>
    </cfRule>
  </conditionalFormatting>
  <conditionalFormatting sqref="AC37">
    <cfRule type="cellIs" dxfId="450" priority="486" operator="lessThan">
      <formula>Z37</formula>
    </cfRule>
  </conditionalFormatting>
  <conditionalFormatting sqref="AC38">
    <cfRule type="cellIs" dxfId="449" priority="485" operator="lessThan">
      <formula>Z38</formula>
    </cfRule>
  </conditionalFormatting>
  <conditionalFormatting sqref="AC39">
    <cfRule type="cellIs" dxfId="448" priority="484" operator="lessThan">
      <formula>Z39</formula>
    </cfRule>
  </conditionalFormatting>
  <conditionalFormatting sqref="Q40">
    <cfRule type="cellIs" dxfId="447" priority="479" operator="equal">
      <formula>"Very Low"</formula>
    </cfRule>
    <cfRule type="cellIs" dxfId="446" priority="480" operator="equal">
      <formula>"Low"</formula>
    </cfRule>
    <cfRule type="cellIs" dxfId="445" priority="481" operator="equal">
      <formula>"Medium"</formula>
    </cfRule>
    <cfRule type="cellIs" dxfId="444" priority="482" operator="equal">
      <formula>"High"</formula>
    </cfRule>
    <cfRule type="cellIs" dxfId="443" priority="483" operator="equal">
      <formula>"Very High"</formula>
    </cfRule>
  </conditionalFormatting>
  <conditionalFormatting sqref="Z40">
    <cfRule type="cellIs" dxfId="442" priority="474" operator="equal">
      <formula>"Very Low"</formula>
    </cfRule>
    <cfRule type="cellIs" dxfId="441" priority="475" operator="equal">
      <formula>"Low"</formula>
    </cfRule>
    <cfRule type="cellIs" dxfId="440" priority="476" operator="equal">
      <formula>"Medium"</formula>
    </cfRule>
    <cfRule type="cellIs" dxfId="439" priority="477" operator="equal">
      <formula>"High"</formula>
    </cfRule>
    <cfRule type="cellIs" dxfId="438" priority="478" operator="equal">
      <formula>"Very High"</formula>
    </cfRule>
  </conditionalFormatting>
  <conditionalFormatting sqref="Q42">
    <cfRule type="cellIs" dxfId="437" priority="469" operator="equal">
      <formula>"Very Low"</formula>
    </cfRule>
    <cfRule type="cellIs" dxfId="436" priority="470" operator="equal">
      <formula>"Low"</formula>
    </cfRule>
    <cfRule type="cellIs" dxfId="435" priority="471" operator="equal">
      <formula>"Medium"</formula>
    </cfRule>
    <cfRule type="cellIs" dxfId="434" priority="472" operator="equal">
      <formula>"High"</formula>
    </cfRule>
    <cfRule type="cellIs" dxfId="433" priority="473" operator="equal">
      <formula>"Very High"</formula>
    </cfRule>
  </conditionalFormatting>
  <conditionalFormatting sqref="Z42">
    <cfRule type="cellIs" dxfId="432" priority="464" operator="equal">
      <formula>"Very Low"</formula>
    </cfRule>
    <cfRule type="cellIs" dxfId="431" priority="465" operator="equal">
      <formula>"Low"</formula>
    </cfRule>
    <cfRule type="cellIs" dxfId="430" priority="466" operator="equal">
      <formula>"Medium"</formula>
    </cfRule>
    <cfRule type="cellIs" dxfId="429" priority="467" operator="equal">
      <formula>"High"</formula>
    </cfRule>
    <cfRule type="cellIs" dxfId="428" priority="468" operator="equal">
      <formula>"Very High"</formula>
    </cfRule>
  </conditionalFormatting>
  <conditionalFormatting sqref="Q41">
    <cfRule type="cellIs" dxfId="427" priority="459" operator="equal">
      <formula>"Very Low"</formula>
    </cfRule>
    <cfRule type="cellIs" dxfId="426" priority="460" operator="equal">
      <formula>"Low"</formula>
    </cfRule>
    <cfRule type="cellIs" dxfId="425" priority="461" operator="equal">
      <formula>"Medium"</formula>
    </cfRule>
    <cfRule type="cellIs" dxfId="424" priority="462" operator="equal">
      <formula>"High"</formula>
    </cfRule>
    <cfRule type="cellIs" dxfId="423" priority="463" operator="equal">
      <formula>"Very High"</formula>
    </cfRule>
  </conditionalFormatting>
  <conditionalFormatting sqref="Z41">
    <cfRule type="cellIs" dxfId="422" priority="454" operator="equal">
      <formula>"Very Low"</formula>
    </cfRule>
    <cfRule type="cellIs" dxfId="421" priority="455" operator="equal">
      <formula>"Low"</formula>
    </cfRule>
    <cfRule type="cellIs" dxfId="420" priority="456" operator="equal">
      <formula>"Medium"</formula>
    </cfRule>
    <cfRule type="cellIs" dxfId="419" priority="457" operator="equal">
      <formula>"High"</formula>
    </cfRule>
    <cfRule type="cellIs" dxfId="418" priority="458" operator="equal">
      <formula>"Very High"</formula>
    </cfRule>
  </conditionalFormatting>
  <conditionalFormatting sqref="Q43">
    <cfRule type="cellIs" dxfId="417" priority="449" operator="equal">
      <formula>"Very Low"</formula>
    </cfRule>
    <cfRule type="cellIs" dxfId="416" priority="450" operator="equal">
      <formula>"Low"</formula>
    </cfRule>
    <cfRule type="cellIs" dxfId="415" priority="451" operator="equal">
      <formula>"Medium"</formula>
    </cfRule>
    <cfRule type="cellIs" dxfId="414" priority="452" operator="equal">
      <formula>"High"</formula>
    </cfRule>
    <cfRule type="cellIs" dxfId="413" priority="453" operator="equal">
      <formula>"Very High"</formula>
    </cfRule>
  </conditionalFormatting>
  <conditionalFormatting sqref="Z43">
    <cfRule type="cellIs" dxfId="412" priority="444" operator="equal">
      <formula>"Very Low"</formula>
    </cfRule>
    <cfRule type="cellIs" dxfId="411" priority="445" operator="equal">
      <formula>"Low"</formula>
    </cfRule>
    <cfRule type="cellIs" dxfId="410" priority="446" operator="equal">
      <formula>"Medium"</formula>
    </cfRule>
    <cfRule type="cellIs" dxfId="409" priority="447" operator="equal">
      <formula>"High"</formula>
    </cfRule>
    <cfRule type="cellIs" dxfId="408" priority="448" operator="equal">
      <formula>"Very High"</formula>
    </cfRule>
  </conditionalFormatting>
  <conditionalFormatting sqref="O45:Q45">
    <cfRule type="cellIs" dxfId="407" priority="439" operator="equal">
      <formula>"Very Low"</formula>
    </cfRule>
    <cfRule type="cellIs" dxfId="406" priority="440" operator="equal">
      <formula>"Low"</formula>
    </cfRule>
    <cfRule type="cellIs" dxfId="405" priority="441" operator="equal">
      <formula>"Medium"</formula>
    </cfRule>
    <cfRule type="cellIs" dxfId="404" priority="442" operator="equal">
      <formula>"High"</formula>
    </cfRule>
    <cfRule type="cellIs" dxfId="403" priority="443" operator="equal">
      <formula>"Very High"</formula>
    </cfRule>
  </conditionalFormatting>
  <conditionalFormatting sqref="V45:W45">
    <cfRule type="cellIs" dxfId="402" priority="434" operator="equal">
      <formula>"Very Low"</formula>
    </cfRule>
    <cfRule type="cellIs" dxfId="401" priority="435" operator="equal">
      <formula>"Low"</formula>
    </cfRule>
    <cfRule type="cellIs" dxfId="400" priority="436" operator="equal">
      <formula>"Medium"</formula>
    </cfRule>
    <cfRule type="cellIs" dxfId="399" priority="437" operator="equal">
      <formula>"High"</formula>
    </cfRule>
    <cfRule type="cellIs" dxfId="398" priority="438" operator="equal">
      <formula>"Very High"</formula>
    </cfRule>
  </conditionalFormatting>
  <conditionalFormatting sqref="Q44">
    <cfRule type="cellIs" dxfId="397" priority="429" operator="equal">
      <formula>"Very Low"</formula>
    </cfRule>
    <cfRule type="cellIs" dxfId="396" priority="430" operator="equal">
      <formula>"Low"</formula>
    </cfRule>
    <cfRule type="cellIs" dxfId="395" priority="431" operator="equal">
      <formula>"Medium"</formula>
    </cfRule>
    <cfRule type="cellIs" dxfId="394" priority="432" operator="equal">
      <formula>"High"</formula>
    </cfRule>
    <cfRule type="cellIs" dxfId="393" priority="433" operator="equal">
      <formula>"Very High"</formula>
    </cfRule>
  </conditionalFormatting>
  <conditionalFormatting sqref="AB40">
    <cfRule type="cellIs" dxfId="392" priority="423" operator="lessThan">
      <formula>Y40</formula>
    </cfRule>
  </conditionalFormatting>
  <conditionalFormatting sqref="AC40">
    <cfRule type="cellIs" dxfId="391" priority="422" operator="lessThan">
      <formula>Z40</formula>
    </cfRule>
  </conditionalFormatting>
  <conditionalFormatting sqref="O46:Q46">
    <cfRule type="cellIs" dxfId="390" priority="417" operator="equal">
      <formula>"Very Low"</formula>
    </cfRule>
    <cfRule type="cellIs" dxfId="389" priority="418" operator="equal">
      <formula>"Low"</formula>
    </cfRule>
    <cfRule type="cellIs" dxfId="388" priority="419" operator="equal">
      <formula>"Medium"</formula>
    </cfRule>
    <cfRule type="cellIs" dxfId="387" priority="420" operator="equal">
      <formula>"High"</formula>
    </cfRule>
    <cfRule type="cellIs" dxfId="386" priority="421" operator="equal">
      <formula>"Very High"</formula>
    </cfRule>
  </conditionalFormatting>
  <conditionalFormatting sqref="V46:W46">
    <cfRule type="cellIs" dxfId="385" priority="412" operator="equal">
      <formula>"Very Low"</formula>
    </cfRule>
    <cfRule type="cellIs" dxfId="384" priority="413" operator="equal">
      <formula>"Low"</formula>
    </cfRule>
    <cfRule type="cellIs" dxfId="383" priority="414" operator="equal">
      <formula>"Medium"</formula>
    </cfRule>
    <cfRule type="cellIs" dxfId="382" priority="415" operator="equal">
      <formula>"High"</formula>
    </cfRule>
    <cfRule type="cellIs" dxfId="381" priority="416" operator="equal">
      <formula>"Very High"</formula>
    </cfRule>
  </conditionalFormatting>
  <conditionalFormatting sqref="O48:Q48 O49:P51 O52">
    <cfRule type="cellIs" dxfId="380" priority="407" operator="equal">
      <formula>"Very Low"</formula>
    </cfRule>
    <cfRule type="cellIs" dxfId="379" priority="408" operator="equal">
      <formula>"Low"</formula>
    </cfRule>
    <cfRule type="cellIs" dxfId="378" priority="409" operator="equal">
      <formula>"Medium"</formula>
    </cfRule>
    <cfRule type="cellIs" dxfId="377" priority="410" operator="equal">
      <formula>"High"</formula>
    </cfRule>
    <cfRule type="cellIs" dxfId="376" priority="411" operator="equal">
      <formula>"Very High"</formula>
    </cfRule>
  </conditionalFormatting>
  <conditionalFormatting sqref="Z48">
    <cfRule type="cellIs" dxfId="375" priority="402" operator="equal">
      <formula>"Very Low"</formula>
    </cfRule>
    <cfRule type="cellIs" dxfId="374" priority="403" operator="equal">
      <formula>"Low"</formula>
    </cfRule>
    <cfRule type="cellIs" dxfId="373" priority="404" operator="equal">
      <formula>"Medium"</formula>
    </cfRule>
    <cfRule type="cellIs" dxfId="372" priority="405" operator="equal">
      <formula>"High"</formula>
    </cfRule>
    <cfRule type="cellIs" dxfId="371" priority="406" operator="equal">
      <formula>"Very High"</formula>
    </cfRule>
  </conditionalFormatting>
  <conditionalFormatting sqref="O47:Q47">
    <cfRule type="cellIs" dxfId="370" priority="397" operator="equal">
      <formula>"Very Low"</formula>
    </cfRule>
    <cfRule type="cellIs" dxfId="369" priority="398" operator="equal">
      <formula>"Low"</formula>
    </cfRule>
    <cfRule type="cellIs" dxfId="368" priority="399" operator="equal">
      <formula>"Medium"</formula>
    </cfRule>
    <cfRule type="cellIs" dxfId="367" priority="400" operator="equal">
      <formula>"High"</formula>
    </cfRule>
    <cfRule type="cellIs" dxfId="366" priority="401" operator="equal">
      <formula>"Very High"</formula>
    </cfRule>
  </conditionalFormatting>
  <conditionalFormatting sqref="V47:W52">
    <cfRule type="cellIs" dxfId="365" priority="392" operator="equal">
      <formula>"Very Low"</formula>
    </cfRule>
    <cfRule type="cellIs" dxfId="364" priority="393" operator="equal">
      <formula>"Low"</formula>
    </cfRule>
    <cfRule type="cellIs" dxfId="363" priority="394" operator="equal">
      <formula>"Medium"</formula>
    </cfRule>
    <cfRule type="cellIs" dxfId="362" priority="395" operator="equal">
      <formula>"High"</formula>
    </cfRule>
    <cfRule type="cellIs" dxfId="361" priority="396" operator="equal">
      <formula>"Very High"</formula>
    </cfRule>
  </conditionalFormatting>
  <conditionalFormatting sqref="Q49">
    <cfRule type="cellIs" dxfId="360" priority="387" operator="equal">
      <formula>"Very Low"</formula>
    </cfRule>
    <cfRule type="cellIs" dxfId="359" priority="388" operator="equal">
      <formula>"Low"</formula>
    </cfRule>
    <cfRule type="cellIs" dxfId="358" priority="389" operator="equal">
      <formula>"Medium"</formula>
    </cfRule>
    <cfRule type="cellIs" dxfId="357" priority="390" operator="equal">
      <formula>"High"</formula>
    </cfRule>
    <cfRule type="cellIs" dxfId="356" priority="391" operator="equal">
      <formula>"Very High"</formula>
    </cfRule>
  </conditionalFormatting>
  <conditionalFormatting sqref="Z49">
    <cfRule type="cellIs" dxfId="355" priority="382" operator="equal">
      <formula>"Very Low"</formula>
    </cfRule>
    <cfRule type="cellIs" dxfId="354" priority="383" operator="equal">
      <formula>"Low"</formula>
    </cfRule>
    <cfRule type="cellIs" dxfId="353" priority="384" operator="equal">
      <formula>"Medium"</formula>
    </cfRule>
    <cfRule type="cellIs" dxfId="352" priority="385" operator="equal">
      <formula>"High"</formula>
    </cfRule>
    <cfRule type="cellIs" dxfId="351" priority="386" operator="equal">
      <formula>"Very High"</formula>
    </cfRule>
  </conditionalFormatting>
  <conditionalFormatting sqref="Q51">
    <cfRule type="cellIs" dxfId="350" priority="377" operator="equal">
      <formula>"Very Low"</formula>
    </cfRule>
    <cfRule type="cellIs" dxfId="349" priority="378" operator="equal">
      <formula>"Low"</formula>
    </cfRule>
    <cfRule type="cellIs" dxfId="348" priority="379" operator="equal">
      <formula>"Medium"</formula>
    </cfRule>
    <cfRule type="cellIs" dxfId="347" priority="380" operator="equal">
      <formula>"High"</formula>
    </cfRule>
    <cfRule type="cellIs" dxfId="346" priority="381" operator="equal">
      <formula>"Very High"</formula>
    </cfRule>
  </conditionalFormatting>
  <conditionalFormatting sqref="Z51">
    <cfRule type="cellIs" dxfId="345" priority="372" operator="equal">
      <formula>"Very Low"</formula>
    </cfRule>
    <cfRule type="cellIs" dxfId="344" priority="373" operator="equal">
      <formula>"Low"</formula>
    </cfRule>
    <cfRule type="cellIs" dxfId="343" priority="374" operator="equal">
      <formula>"Medium"</formula>
    </cfRule>
    <cfRule type="cellIs" dxfId="342" priority="375" operator="equal">
      <formula>"High"</formula>
    </cfRule>
    <cfRule type="cellIs" dxfId="341" priority="376" operator="equal">
      <formula>"Very High"</formula>
    </cfRule>
  </conditionalFormatting>
  <conditionalFormatting sqref="Q50">
    <cfRule type="cellIs" dxfId="340" priority="367" operator="equal">
      <formula>"Very Low"</formula>
    </cfRule>
    <cfRule type="cellIs" dxfId="339" priority="368" operator="equal">
      <formula>"Low"</formula>
    </cfRule>
    <cfRule type="cellIs" dxfId="338" priority="369" operator="equal">
      <formula>"Medium"</formula>
    </cfRule>
    <cfRule type="cellIs" dxfId="337" priority="370" operator="equal">
      <formula>"High"</formula>
    </cfRule>
    <cfRule type="cellIs" dxfId="336" priority="371" operator="equal">
      <formula>"Very High"</formula>
    </cfRule>
  </conditionalFormatting>
  <conditionalFormatting sqref="Z50">
    <cfRule type="cellIs" dxfId="335" priority="362" operator="equal">
      <formula>"Very Low"</formula>
    </cfRule>
    <cfRule type="cellIs" dxfId="334" priority="363" operator="equal">
      <formula>"Low"</formula>
    </cfRule>
    <cfRule type="cellIs" dxfId="333" priority="364" operator="equal">
      <formula>"Medium"</formula>
    </cfRule>
    <cfRule type="cellIs" dxfId="332" priority="365" operator="equal">
      <formula>"High"</formula>
    </cfRule>
    <cfRule type="cellIs" dxfId="331" priority="366" operator="equal">
      <formula>"Very High"</formula>
    </cfRule>
  </conditionalFormatting>
  <conditionalFormatting sqref="AB41">
    <cfRule type="cellIs" dxfId="330" priority="361" operator="lessThan">
      <formula>Y41</formula>
    </cfRule>
  </conditionalFormatting>
  <conditionalFormatting sqref="AB42">
    <cfRule type="cellIs" dxfId="329" priority="360" operator="lessThan">
      <formula>Y42</formula>
    </cfRule>
  </conditionalFormatting>
  <conditionalFormatting sqref="AB43">
    <cfRule type="cellIs" dxfId="328" priority="356" operator="lessThan">
      <formula>Y43</formula>
    </cfRule>
  </conditionalFormatting>
  <conditionalFormatting sqref="AB48">
    <cfRule type="cellIs" dxfId="327" priority="354" operator="lessThan">
      <formula>Y48</formula>
    </cfRule>
  </conditionalFormatting>
  <conditionalFormatting sqref="AB49">
    <cfRule type="cellIs" dxfId="326" priority="353" operator="lessThan">
      <formula>Y49</formula>
    </cfRule>
  </conditionalFormatting>
  <conditionalFormatting sqref="AB50">
    <cfRule type="cellIs" dxfId="325" priority="352" operator="lessThan">
      <formula>Y50</formula>
    </cfRule>
  </conditionalFormatting>
  <conditionalFormatting sqref="AB51">
    <cfRule type="cellIs" dxfId="324" priority="351" operator="lessThan">
      <formula>Y51</formula>
    </cfRule>
  </conditionalFormatting>
  <conditionalFormatting sqref="AC41">
    <cfRule type="cellIs" dxfId="323" priority="350" operator="lessThan">
      <formula>Z41</formula>
    </cfRule>
  </conditionalFormatting>
  <conditionalFormatting sqref="AC42">
    <cfRule type="cellIs" dxfId="322" priority="349" operator="lessThan">
      <formula>Z42</formula>
    </cfRule>
  </conditionalFormatting>
  <conditionalFormatting sqref="AC43">
    <cfRule type="cellIs" dxfId="321" priority="348" operator="lessThan">
      <formula>Z43</formula>
    </cfRule>
  </conditionalFormatting>
  <conditionalFormatting sqref="AC48">
    <cfRule type="cellIs" dxfId="320" priority="343" operator="lessThan">
      <formula>Z48</formula>
    </cfRule>
  </conditionalFormatting>
  <conditionalFormatting sqref="AC49">
    <cfRule type="cellIs" dxfId="319" priority="342" operator="lessThan">
      <formula>Z49</formula>
    </cfRule>
  </conditionalFormatting>
  <conditionalFormatting sqref="AC50">
    <cfRule type="cellIs" dxfId="318" priority="341" operator="lessThan">
      <formula>Z50</formula>
    </cfRule>
  </conditionalFormatting>
  <conditionalFormatting sqref="AC51">
    <cfRule type="cellIs" dxfId="317" priority="340" operator="lessThan">
      <formula>Z51</formula>
    </cfRule>
  </conditionalFormatting>
  <conditionalFormatting sqref="P52:Q52">
    <cfRule type="cellIs" dxfId="316" priority="335" operator="equal">
      <formula>"Very Low"</formula>
    </cfRule>
    <cfRule type="cellIs" dxfId="315" priority="336" operator="equal">
      <formula>"Low"</formula>
    </cfRule>
    <cfRule type="cellIs" dxfId="314" priority="337" operator="equal">
      <formula>"Medium"</formula>
    </cfRule>
    <cfRule type="cellIs" dxfId="313" priority="338" operator="equal">
      <formula>"High"</formula>
    </cfRule>
    <cfRule type="cellIs" dxfId="312" priority="339" operator="equal">
      <formula>"Very High"</formula>
    </cfRule>
  </conditionalFormatting>
  <conditionalFormatting sqref="Z52">
    <cfRule type="cellIs" dxfId="311" priority="330" operator="equal">
      <formula>"Very Low"</formula>
    </cfRule>
    <cfRule type="cellIs" dxfId="310" priority="331" operator="equal">
      <formula>"Low"</formula>
    </cfRule>
    <cfRule type="cellIs" dxfId="309" priority="332" operator="equal">
      <formula>"Medium"</formula>
    </cfRule>
    <cfRule type="cellIs" dxfId="308" priority="333" operator="equal">
      <formula>"High"</formula>
    </cfRule>
    <cfRule type="cellIs" dxfId="307" priority="334" operator="equal">
      <formula>"Very High"</formula>
    </cfRule>
  </conditionalFormatting>
  <conditionalFormatting sqref="O54:Q54">
    <cfRule type="cellIs" dxfId="306" priority="325" operator="equal">
      <formula>"Very Low"</formula>
    </cfRule>
    <cfRule type="cellIs" dxfId="305" priority="326" operator="equal">
      <formula>"Low"</formula>
    </cfRule>
    <cfRule type="cellIs" dxfId="304" priority="327" operator="equal">
      <formula>"Medium"</formula>
    </cfRule>
    <cfRule type="cellIs" dxfId="303" priority="328" operator="equal">
      <formula>"High"</formula>
    </cfRule>
    <cfRule type="cellIs" dxfId="302" priority="329" operator="equal">
      <formula>"Very High"</formula>
    </cfRule>
  </conditionalFormatting>
  <conditionalFormatting sqref="V54:W54">
    <cfRule type="cellIs" dxfId="301" priority="320" operator="equal">
      <formula>"Very Low"</formula>
    </cfRule>
    <cfRule type="cellIs" dxfId="300" priority="321" operator="equal">
      <formula>"Low"</formula>
    </cfRule>
    <cfRule type="cellIs" dxfId="299" priority="322" operator="equal">
      <formula>"Medium"</formula>
    </cfRule>
    <cfRule type="cellIs" dxfId="298" priority="323" operator="equal">
      <formula>"High"</formula>
    </cfRule>
    <cfRule type="cellIs" dxfId="297" priority="324" operator="equal">
      <formula>"Very High"</formula>
    </cfRule>
  </conditionalFormatting>
  <conditionalFormatting sqref="Q53">
    <cfRule type="cellIs" dxfId="296" priority="315" operator="equal">
      <formula>"Very Low"</formula>
    </cfRule>
    <cfRule type="cellIs" dxfId="295" priority="316" operator="equal">
      <formula>"Low"</formula>
    </cfRule>
    <cfRule type="cellIs" dxfId="294" priority="317" operator="equal">
      <formula>"Medium"</formula>
    </cfRule>
    <cfRule type="cellIs" dxfId="293" priority="318" operator="equal">
      <formula>"High"</formula>
    </cfRule>
    <cfRule type="cellIs" dxfId="292" priority="319" operator="equal">
      <formula>"Very High"</formula>
    </cfRule>
  </conditionalFormatting>
  <conditionalFormatting sqref="O55:Q55">
    <cfRule type="cellIs" dxfId="291" priority="305" operator="equal">
      <formula>"Very Low"</formula>
    </cfRule>
    <cfRule type="cellIs" dxfId="290" priority="306" operator="equal">
      <formula>"Low"</formula>
    </cfRule>
    <cfRule type="cellIs" dxfId="289" priority="307" operator="equal">
      <formula>"Medium"</formula>
    </cfRule>
    <cfRule type="cellIs" dxfId="288" priority="308" operator="equal">
      <formula>"High"</formula>
    </cfRule>
    <cfRule type="cellIs" dxfId="287" priority="309" operator="equal">
      <formula>"Very High"</formula>
    </cfRule>
  </conditionalFormatting>
  <conditionalFormatting sqref="V55:W55">
    <cfRule type="cellIs" dxfId="286" priority="300" operator="equal">
      <formula>"Very Low"</formula>
    </cfRule>
    <cfRule type="cellIs" dxfId="285" priority="301" operator="equal">
      <formula>"Low"</formula>
    </cfRule>
    <cfRule type="cellIs" dxfId="284" priority="302" operator="equal">
      <formula>"Medium"</formula>
    </cfRule>
    <cfRule type="cellIs" dxfId="283" priority="303" operator="equal">
      <formula>"High"</formula>
    </cfRule>
    <cfRule type="cellIs" dxfId="282" priority="304" operator="equal">
      <formula>"Very High"</formula>
    </cfRule>
  </conditionalFormatting>
  <conditionalFormatting sqref="O57:Q57">
    <cfRule type="cellIs" dxfId="281" priority="295" operator="equal">
      <formula>"Very Low"</formula>
    </cfRule>
    <cfRule type="cellIs" dxfId="280" priority="296" operator="equal">
      <formula>"Low"</formula>
    </cfRule>
    <cfRule type="cellIs" dxfId="279" priority="297" operator="equal">
      <formula>"Medium"</formula>
    </cfRule>
    <cfRule type="cellIs" dxfId="278" priority="298" operator="equal">
      <formula>"High"</formula>
    </cfRule>
    <cfRule type="cellIs" dxfId="277" priority="299" operator="equal">
      <formula>"Very High"</formula>
    </cfRule>
  </conditionalFormatting>
  <conditionalFormatting sqref="V57:W57 Z57">
    <cfRule type="cellIs" dxfId="276" priority="290" operator="equal">
      <formula>"Very Low"</formula>
    </cfRule>
    <cfRule type="cellIs" dxfId="275" priority="291" operator="equal">
      <formula>"Low"</formula>
    </cfRule>
    <cfRule type="cellIs" dxfId="274" priority="292" operator="equal">
      <formula>"Medium"</formula>
    </cfRule>
    <cfRule type="cellIs" dxfId="273" priority="293" operator="equal">
      <formula>"High"</formula>
    </cfRule>
    <cfRule type="cellIs" dxfId="272" priority="294" operator="equal">
      <formula>"Very High"</formula>
    </cfRule>
  </conditionalFormatting>
  <conditionalFormatting sqref="O56:Q56">
    <cfRule type="cellIs" dxfId="271" priority="285" operator="equal">
      <formula>"Very Low"</formula>
    </cfRule>
    <cfRule type="cellIs" dxfId="270" priority="286" operator="equal">
      <formula>"Low"</formula>
    </cfRule>
    <cfRule type="cellIs" dxfId="269" priority="287" operator="equal">
      <formula>"Medium"</formula>
    </cfRule>
    <cfRule type="cellIs" dxfId="268" priority="288" operator="equal">
      <formula>"High"</formula>
    </cfRule>
    <cfRule type="cellIs" dxfId="267" priority="289" operator="equal">
      <formula>"Very High"</formula>
    </cfRule>
  </conditionalFormatting>
  <conditionalFormatting sqref="V56:W56">
    <cfRule type="cellIs" dxfId="266" priority="280" operator="equal">
      <formula>"Very Low"</formula>
    </cfRule>
    <cfRule type="cellIs" dxfId="265" priority="281" operator="equal">
      <formula>"Low"</formula>
    </cfRule>
    <cfRule type="cellIs" dxfId="264" priority="282" operator="equal">
      <formula>"Medium"</formula>
    </cfRule>
    <cfRule type="cellIs" dxfId="263" priority="283" operator="equal">
      <formula>"High"</formula>
    </cfRule>
    <cfRule type="cellIs" dxfId="262" priority="284" operator="equal">
      <formula>"Very High"</formula>
    </cfRule>
  </conditionalFormatting>
  <conditionalFormatting sqref="AB52">
    <cfRule type="cellIs" dxfId="261" priority="279" operator="lessThan">
      <formula>Y52</formula>
    </cfRule>
  </conditionalFormatting>
  <conditionalFormatting sqref="AC52">
    <cfRule type="cellIs" dxfId="260" priority="278" operator="lessThan">
      <formula>Z52</formula>
    </cfRule>
  </conditionalFormatting>
  <conditionalFormatting sqref="O58:Q58">
    <cfRule type="cellIs" dxfId="259" priority="273" operator="equal">
      <formula>"Very Low"</formula>
    </cfRule>
    <cfRule type="cellIs" dxfId="258" priority="274" operator="equal">
      <formula>"Low"</formula>
    </cfRule>
    <cfRule type="cellIs" dxfId="257" priority="275" operator="equal">
      <formula>"Medium"</formula>
    </cfRule>
    <cfRule type="cellIs" dxfId="256" priority="276" operator="equal">
      <formula>"High"</formula>
    </cfRule>
    <cfRule type="cellIs" dxfId="255" priority="277" operator="equal">
      <formula>"Very High"</formula>
    </cfRule>
  </conditionalFormatting>
  <conditionalFormatting sqref="V58:W58 Z58">
    <cfRule type="cellIs" dxfId="254" priority="268" operator="equal">
      <formula>"Very Low"</formula>
    </cfRule>
    <cfRule type="cellIs" dxfId="253" priority="269" operator="equal">
      <formula>"Low"</formula>
    </cfRule>
    <cfRule type="cellIs" dxfId="252" priority="270" operator="equal">
      <formula>"Medium"</formula>
    </cfRule>
    <cfRule type="cellIs" dxfId="251" priority="271" operator="equal">
      <formula>"High"</formula>
    </cfRule>
    <cfRule type="cellIs" dxfId="250" priority="272" operator="equal">
      <formula>"Very High"</formula>
    </cfRule>
  </conditionalFormatting>
  <conditionalFormatting sqref="O60:Q60">
    <cfRule type="cellIs" dxfId="249" priority="263" operator="equal">
      <formula>"Very Low"</formula>
    </cfRule>
    <cfRule type="cellIs" dxfId="248" priority="264" operator="equal">
      <formula>"Low"</formula>
    </cfRule>
    <cfRule type="cellIs" dxfId="247" priority="265" operator="equal">
      <formula>"Medium"</formula>
    </cfRule>
    <cfRule type="cellIs" dxfId="246" priority="266" operator="equal">
      <formula>"High"</formula>
    </cfRule>
    <cfRule type="cellIs" dxfId="245" priority="267" operator="equal">
      <formula>"Very High"</formula>
    </cfRule>
  </conditionalFormatting>
  <conditionalFormatting sqref="V60:W60 Z60 V61">
    <cfRule type="cellIs" dxfId="244" priority="258" operator="equal">
      <formula>"Very Low"</formula>
    </cfRule>
    <cfRule type="cellIs" dxfId="243" priority="259" operator="equal">
      <formula>"Low"</formula>
    </cfRule>
    <cfRule type="cellIs" dxfId="242" priority="260" operator="equal">
      <formula>"Medium"</formula>
    </cfRule>
    <cfRule type="cellIs" dxfId="241" priority="261" operator="equal">
      <formula>"High"</formula>
    </cfRule>
    <cfRule type="cellIs" dxfId="240" priority="262" operator="equal">
      <formula>"Very High"</formula>
    </cfRule>
  </conditionalFormatting>
  <conditionalFormatting sqref="O59:Q59">
    <cfRule type="cellIs" dxfId="239" priority="253" operator="equal">
      <formula>"Very Low"</formula>
    </cfRule>
    <cfRule type="cellIs" dxfId="238" priority="254" operator="equal">
      <formula>"Low"</formula>
    </cfRule>
    <cfRule type="cellIs" dxfId="237" priority="255" operator="equal">
      <formula>"Medium"</formula>
    </cfRule>
    <cfRule type="cellIs" dxfId="236" priority="256" operator="equal">
      <formula>"High"</formula>
    </cfRule>
    <cfRule type="cellIs" dxfId="235" priority="257" operator="equal">
      <formula>"Very High"</formula>
    </cfRule>
  </conditionalFormatting>
  <conditionalFormatting sqref="V59:W59 Z59">
    <cfRule type="cellIs" dxfId="234" priority="248" operator="equal">
      <formula>"Very Low"</formula>
    </cfRule>
    <cfRule type="cellIs" dxfId="233" priority="249" operator="equal">
      <formula>"Low"</formula>
    </cfRule>
    <cfRule type="cellIs" dxfId="232" priority="250" operator="equal">
      <formula>"Medium"</formula>
    </cfRule>
    <cfRule type="cellIs" dxfId="231" priority="251" operator="equal">
      <formula>"High"</formula>
    </cfRule>
    <cfRule type="cellIs" dxfId="230" priority="252" operator="equal">
      <formula>"Very High"</formula>
    </cfRule>
  </conditionalFormatting>
  <conditionalFormatting sqref="O61:Q61">
    <cfRule type="cellIs" dxfId="229" priority="243" operator="equal">
      <formula>"Very Low"</formula>
    </cfRule>
    <cfRule type="cellIs" dxfId="228" priority="244" operator="equal">
      <formula>"Low"</formula>
    </cfRule>
    <cfRule type="cellIs" dxfId="227" priority="245" operator="equal">
      <formula>"Medium"</formula>
    </cfRule>
    <cfRule type="cellIs" dxfId="226" priority="246" operator="equal">
      <formula>"High"</formula>
    </cfRule>
    <cfRule type="cellIs" dxfId="225" priority="247" operator="equal">
      <formula>"Very High"</formula>
    </cfRule>
  </conditionalFormatting>
  <conditionalFormatting sqref="W61 Z61">
    <cfRule type="cellIs" dxfId="224" priority="238" operator="equal">
      <formula>"Very Low"</formula>
    </cfRule>
    <cfRule type="cellIs" dxfId="223" priority="239" operator="equal">
      <formula>"Low"</formula>
    </cfRule>
    <cfRule type="cellIs" dxfId="222" priority="240" operator="equal">
      <formula>"Medium"</formula>
    </cfRule>
    <cfRule type="cellIs" dxfId="221" priority="241" operator="equal">
      <formula>"High"</formula>
    </cfRule>
    <cfRule type="cellIs" dxfId="220" priority="242" operator="equal">
      <formula>"Very High"</formula>
    </cfRule>
  </conditionalFormatting>
  <conditionalFormatting sqref="Q63">
    <cfRule type="cellIs" dxfId="219" priority="233" operator="equal">
      <formula>"Very Low"</formula>
    </cfRule>
    <cfRule type="cellIs" dxfId="218" priority="234" operator="equal">
      <formula>"Low"</formula>
    </cfRule>
    <cfRule type="cellIs" dxfId="217" priority="235" operator="equal">
      <formula>"Medium"</formula>
    </cfRule>
    <cfRule type="cellIs" dxfId="216" priority="236" operator="equal">
      <formula>"High"</formula>
    </cfRule>
    <cfRule type="cellIs" dxfId="215" priority="237" operator="equal">
      <formula>"Very High"</formula>
    </cfRule>
  </conditionalFormatting>
  <conditionalFormatting sqref="Z63">
    <cfRule type="cellIs" dxfId="214" priority="228" operator="equal">
      <formula>"Very Low"</formula>
    </cfRule>
    <cfRule type="cellIs" dxfId="213" priority="229" operator="equal">
      <formula>"Low"</formula>
    </cfRule>
    <cfRule type="cellIs" dxfId="212" priority="230" operator="equal">
      <formula>"Medium"</formula>
    </cfRule>
    <cfRule type="cellIs" dxfId="211" priority="231" operator="equal">
      <formula>"High"</formula>
    </cfRule>
    <cfRule type="cellIs" dxfId="210" priority="232" operator="equal">
      <formula>"Very High"</formula>
    </cfRule>
  </conditionalFormatting>
  <conditionalFormatting sqref="O62:Q62">
    <cfRule type="cellIs" dxfId="209" priority="223" operator="equal">
      <formula>"Very Low"</formula>
    </cfRule>
    <cfRule type="cellIs" dxfId="208" priority="224" operator="equal">
      <formula>"Low"</formula>
    </cfRule>
    <cfRule type="cellIs" dxfId="207" priority="225" operator="equal">
      <formula>"Medium"</formula>
    </cfRule>
    <cfRule type="cellIs" dxfId="206" priority="226" operator="equal">
      <formula>"High"</formula>
    </cfRule>
    <cfRule type="cellIs" dxfId="205" priority="227" operator="equal">
      <formula>"Very High"</formula>
    </cfRule>
  </conditionalFormatting>
  <conditionalFormatting sqref="Z62">
    <cfRule type="cellIs" dxfId="204" priority="218" operator="equal">
      <formula>"Very Low"</formula>
    </cfRule>
    <cfRule type="cellIs" dxfId="203" priority="219" operator="equal">
      <formula>"Low"</formula>
    </cfRule>
    <cfRule type="cellIs" dxfId="202" priority="220" operator="equal">
      <formula>"Medium"</formula>
    </cfRule>
    <cfRule type="cellIs" dxfId="201" priority="221" operator="equal">
      <formula>"High"</formula>
    </cfRule>
    <cfRule type="cellIs" dxfId="200" priority="222" operator="equal">
      <formula>"Very High"</formula>
    </cfRule>
  </conditionalFormatting>
  <conditionalFormatting sqref="AB58">
    <cfRule type="cellIs" dxfId="199" priority="215" operator="lessThan">
      <formula>Y58</formula>
    </cfRule>
  </conditionalFormatting>
  <conditionalFormatting sqref="AB57">
    <cfRule type="cellIs" dxfId="198" priority="214" operator="lessThan">
      <formula>Y57</formula>
    </cfRule>
  </conditionalFormatting>
  <conditionalFormatting sqref="AB59">
    <cfRule type="cellIs" dxfId="197" priority="211" operator="lessThan">
      <formula>Y59</formula>
    </cfRule>
  </conditionalFormatting>
  <conditionalFormatting sqref="AB60">
    <cfRule type="cellIs" dxfId="196" priority="210" operator="lessThan">
      <formula>Y60</formula>
    </cfRule>
  </conditionalFormatting>
  <conditionalFormatting sqref="AB61">
    <cfRule type="cellIs" dxfId="195" priority="209" operator="lessThan">
      <formula>Y61</formula>
    </cfRule>
  </conditionalFormatting>
  <conditionalFormatting sqref="AB62">
    <cfRule type="cellIs" dxfId="194" priority="208" operator="lessThan">
      <formula>Y62</formula>
    </cfRule>
  </conditionalFormatting>
  <conditionalFormatting sqref="AB63:AB65">
    <cfRule type="cellIs" dxfId="193" priority="207" operator="lessThan">
      <formula>Y63</formula>
    </cfRule>
  </conditionalFormatting>
  <conditionalFormatting sqref="AC64">
    <cfRule type="cellIs" dxfId="192" priority="173" operator="lessThan">
      <formula>Z64</formula>
    </cfRule>
  </conditionalFormatting>
  <conditionalFormatting sqref="AC57">
    <cfRule type="cellIs" dxfId="191" priority="202" operator="lessThan">
      <formula>Z57</formula>
    </cfRule>
  </conditionalFormatting>
  <conditionalFormatting sqref="AC58">
    <cfRule type="cellIs" dxfId="190" priority="201" operator="lessThan">
      <formula>Z58</formula>
    </cfRule>
  </conditionalFormatting>
  <conditionalFormatting sqref="AC59">
    <cfRule type="cellIs" dxfId="189" priority="200" operator="lessThan">
      <formula>Z59</formula>
    </cfRule>
  </conditionalFormatting>
  <conditionalFormatting sqref="AC60">
    <cfRule type="cellIs" dxfId="188" priority="199" operator="lessThan">
      <formula>Z60</formula>
    </cfRule>
  </conditionalFormatting>
  <conditionalFormatting sqref="AC61">
    <cfRule type="cellIs" dxfId="187" priority="198" operator="lessThan">
      <formula>Z61</formula>
    </cfRule>
  </conditionalFormatting>
  <conditionalFormatting sqref="AC62">
    <cfRule type="cellIs" dxfId="186" priority="197" operator="lessThan">
      <formula>Z62</formula>
    </cfRule>
  </conditionalFormatting>
  <conditionalFormatting sqref="AC63">
    <cfRule type="cellIs" dxfId="185" priority="196" operator="lessThan">
      <formula>Z63</formula>
    </cfRule>
  </conditionalFormatting>
  <conditionalFormatting sqref="Q65">
    <cfRule type="cellIs" dxfId="184" priority="191" operator="equal">
      <formula>"Very Low"</formula>
    </cfRule>
    <cfRule type="cellIs" dxfId="183" priority="192" operator="equal">
      <formula>"Low"</formula>
    </cfRule>
    <cfRule type="cellIs" dxfId="182" priority="193" operator="equal">
      <formula>"Medium"</formula>
    </cfRule>
    <cfRule type="cellIs" dxfId="181" priority="194" operator="equal">
      <formula>"High"</formula>
    </cfRule>
    <cfRule type="cellIs" dxfId="180" priority="195" operator="equal">
      <formula>"Very High"</formula>
    </cfRule>
  </conditionalFormatting>
  <conditionalFormatting sqref="Z65">
    <cfRule type="cellIs" dxfId="179" priority="186" operator="equal">
      <formula>"Very Low"</formula>
    </cfRule>
    <cfRule type="cellIs" dxfId="178" priority="187" operator="equal">
      <formula>"Low"</formula>
    </cfRule>
    <cfRule type="cellIs" dxfId="177" priority="188" operator="equal">
      <formula>"Medium"</formula>
    </cfRule>
    <cfRule type="cellIs" dxfId="176" priority="189" operator="equal">
      <formula>"High"</formula>
    </cfRule>
    <cfRule type="cellIs" dxfId="175" priority="190" operator="equal">
      <formula>"Very High"</formula>
    </cfRule>
  </conditionalFormatting>
  <conditionalFormatting sqref="Q64">
    <cfRule type="cellIs" dxfId="174" priority="181" operator="equal">
      <formula>"Very Low"</formula>
    </cfRule>
    <cfRule type="cellIs" dxfId="173" priority="182" operator="equal">
      <formula>"Low"</formula>
    </cfRule>
    <cfRule type="cellIs" dxfId="172" priority="183" operator="equal">
      <formula>"Medium"</formula>
    </cfRule>
    <cfRule type="cellIs" dxfId="171" priority="184" operator="equal">
      <formula>"High"</formula>
    </cfRule>
    <cfRule type="cellIs" dxfId="170" priority="185" operator="equal">
      <formula>"Very High"</formula>
    </cfRule>
  </conditionalFormatting>
  <conditionalFormatting sqref="Z64">
    <cfRule type="cellIs" dxfId="169" priority="176" operator="equal">
      <formula>"Very Low"</formula>
    </cfRule>
    <cfRule type="cellIs" dxfId="168" priority="177" operator="equal">
      <formula>"Low"</formula>
    </cfRule>
    <cfRule type="cellIs" dxfId="167" priority="178" operator="equal">
      <formula>"Medium"</formula>
    </cfRule>
    <cfRule type="cellIs" dxfId="166" priority="179" operator="equal">
      <formula>"High"</formula>
    </cfRule>
    <cfRule type="cellIs" dxfId="165" priority="180" operator="equal">
      <formula>"Very High"</formula>
    </cfRule>
  </conditionalFormatting>
  <conditionalFormatting sqref="AC65">
    <cfRule type="cellIs" dxfId="164" priority="172" operator="lessThan">
      <formula>Z65</formula>
    </cfRule>
  </conditionalFormatting>
  <conditionalFormatting sqref="V18:W35 V17">
    <cfRule type="cellIs" dxfId="163" priority="167" operator="equal">
      <formula>"Very Low"</formula>
    </cfRule>
    <cfRule type="cellIs" dxfId="162" priority="168" operator="equal">
      <formula>"Low"</formula>
    </cfRule>
    <cfRule type="cellIs" dxfId="161" priority="169" operator="equal">
      <formula>"Medium"</formula>
    </cfRule>
    <cfRule type="cellIs" dxfId="160" priority="170" operator="equal">
      <formula>"High"</formula>
    </cfRule>
    <cfRule type="cellIs" dxfId="159" priority="171" operator="equal">
      <formula>"Very High"</formula>
    </cfRule>
  </conditionalFormatting>
  <conditionalFormatting sqref="W16:W17">
    <cfRule type="cellIs" dxfId="158" priority="162" operator="equal">
      <formula>"Very Low"</formula>
    </cfRule>
    <cfRule type="cellIs" dxfId="157" priority="163" operator="equal">
      <formula>"Low"</formula>
    </cfRule>
    <cfRule type="cellIs" dxfId="156" priority="164" operator="equal">
      <formula>"Medium"</formula>
    </cfRule>
    <cfRule type="cellIs" dxfId="155" priority="165" operator="equal">
      <formula>"High"</formula>
    </cfRule>
    <cfRule type="cellIs" dxfId="154" priority="166" operator="equal">
      <formula>"Very High"</formula>
    </cfRule>
  </conditionalFormatting>
  <conditionalFormatting sqref="O36:P41">
    <cfRule type="cellIs" dxfId="153" priority="157" operator="equal">
      <formula>"Very Low"</formula>
    </cfRule>
    <cfRule type="cellIs" dxfId="152" priority="158" operator="equal">
      <formula>"Low"</formula>
    </cfRule>
    <cfRule type="cellIs" dxfId="151" priority="159" operator="equal">
      <formula>"Medium"</formula>
    </cfRule>
    <cfRule type="cellIs" dxfId="150" priority="160" operator="equal">
      <formula>"High"</formula>
    </cfRule>
    <cfRule type="cellIs" dxfId="149" priority="161" operator="equal">
      <formula>"Very High"</formula>
    </cfRule>
  </conditionalFormatting>
  <conditionalFormatting sqref="V36:W41">
    <cfRule type="cellIs" dxfId="148" priority="152" operator="equal">
      <formula>"Very Low"</formula>
    </cfRule>
    <cfRule type="cellIs" dxfId="147" priority="153" operator="equal">
      <formula>"Low"</formula>
    </cfRule>
    <cfRule type="cellIs" dxfId="146" priority="154" operator="equal">
      <formula>"Medium"</formula>
    </cfRule>
    <cfRule type="cellIs" dxfId="145" priority="155" operator="equal">
      <formula>"High"</formula>
    </cfRule>
    <cfRule type="cellIs" dxfId="144" priority="156" operator="equal">
      <formula>"Very High"</formula>
    </cfRule>
  </conditionalFormatting>
  <conditionalFormatting sqref="O42:P43">
    <cfRule type="cellIs" dxfId="143" priority="147" operator="equal">
      <formula>"Very Low"</formula>
    </cfRule>
    <cfRule type="cellIs" dxfId="142" priority="148" operator="equal">
      <formula>"Low"</formula>
    </cfRule>
    <cfRule type="cellIs" dxfId="141" priority="149" operator="equal">
      <formula>"Medium"</formula>
    </cfRule>
    <cfRule type="cellIs" dxfId="140" priority="150" operator="equal">
      <formula>"High"</formula>
    </cfRule>
    <cfRule type="cellIs" dxfId="139" priority="151" operator="equal">
      <formula>"Very High"</formula>
    </cfRule>
  </conditionalFormatting>
  <conditionalFormatting sqref="V42:W43">
    <cfRule type="cellIs" dxfId="138" priority="142" operator="equal">
      <formula>"Very Low"</formula>
    </cfRule>
    <cfRule type="cellIs" dxfId="137" priority="143" operator="equal">
      <formula>"Low"</formula>
    </cfRule>
    <cfRule type="cellIs" dxfId="136" priority="144" operator="equal">
      <formula>"Medium"</formula>
    </cfRule>
    <cfRule type="cellIs" dxfId="135" priority="145" operator="equal">
      <formula>"High"</formula>
    </cfRule>
    <cfRule type="cellIs" dxfId="134" priority="146" operator="equal">
      <formula>"Very High"</formula>
    </cfRule>
  </conditionalFormatting>
  <conditionalFormatting sqref="O44:P44">
    <cfRule type="cellIs" dxfId="133" priority="137" operator="equal">
      <formula>"Very Low"</formula>
    </cfRule>
    <cfRule type="cellIs" dxfId="132" priority="138" operator="equal">
      <formula>"Low"</formula>
    </cfRule>
    <cfRule type="cellIs" dxfId="131" priority="139" operator="equal">
      <formula>"Medium"</formula>
    </cfRule>
    <cfRule type="cellIs" dxfId="130" priority="140" operator="equal">
      <formula>"High"</formula>
    </cfRule>
    <cfRule type="cellIs" dxfId="129" priority="141" operator="equal">
      <formula>"Very High"</formula>
    </cfRule>
  </conditionalFormatting>
  <conditionalFormatting sqref="V44:W44">
    <cfRule type="cellIs" dxfId="128" priority="132" operator="equal">
      <formula>"Very Low"</formula>
    </cfRule>
    <cfRule type="cellIs" dxfId="127" priority="133" operator="equal">
      <formula>"Low"</formula>
    </cfRule>
    <cfRule type="cellIs" dxfId="126" priority="134" operator="equal">
      <formula>"Medium"</formula>
    </cfRule>
    <cfRule type="cellIs" dxfId="125" priority="135" operator="equal">
      <formula>"High"</formula>
    </cfRule>
    <cfRule type="cellIs" dxfId="124" priority="136" operator="equal">
      <formula>"Very High"</formula>
    </cfRule>
  </conditionalFormatting>
  <conditionalFormatting sqref="Z44:Z46">
    <cfRule type="cellIs" dxfId="123" priority="127" operator="equal">
      <formula>"Very Low"</formula>
    </cfRule>
    <cfRule type="cellIs" dxfId="122" priority="128" operator="equal">
      <formula>"Low"</formula>
    </cfRule>
    <cfRule type="cellIs" dxfId="121" priority="129" operator="equal">
      <formula>"Medium"</formula>
    </cfRule>
    <cfRule type="cellIs" dxfId="120" priority="130" operator="equal">
      <formula>"High"</formula>
    </cfRule>
    <cfRule type="cellIs" dxfId="119" priority="131" operator="equal">
      <formula>"Very High"</formula>
    </cfRule>
  </conditionalFormatting>
  <conditionalFormatting sqref="AC44:AC46">
    <cfRule type="cellIs" dxfId="118" priority="125" operator="lessThan">
      <formula>Z44</formula>
    </cfRule>
  </conditionalFormatting>
  <conditionalFormatting sqref="Z47">
    <cfRule type="cellIs" dxfId="117" priority="120" operator="equal">
      <formula>"Very Low"</formula>
    </cfRule>
    <cfRule type="cellIs" dxfId="116" priority="121" operator="equal">
      <formula>"Low"</formula>
    </cfRule>
    <cfRule type="cellIs" dxfId="115" priority="122" operator="equal">
      <formula>"Medium"</formula>
    </cfRule>
    <cfRule type="cellIs" dxfId="114" priority="123" operator="equal">
      <formula>"High"</formula>
    </cfRule>
    <cfRule type="cellIs" dxfId="113" priority="124" operator="equal">
      <formula>"Very High"</formula>
    </cfRule>
  </conditionalFormatting>
  <conditionalFormatting sqref="AB47">
    <cfRule type="cellIs" dxfId="112" priority="119" operator="lessThan">
      <formula>Y47</formula>
    </cfRule>
  </conditionalFormatting>
  <conditionalFormatting sqref="AC47">
    <cfRule type="cellIs" dxfId="111" priority="118" operator="lessThan">
      <formula>Z47</formula>
    </cfRule>
  </conditionalFormatting>
  <conditionalFormatting sqref="O53:P53">
    <cfRule type="cellIs" dxfId="110" priority="113" operator="equal">
      <formula>"Very Low"</formula>
    </cfRule>
    <cfRule type="cellIs" dxfId="109" priority="114" operator="equal">
      <formula>"Low"</formula>
    </cfRule>
    <cfRule type="cellIs" dxfId="108" priority="115" operator="equal">
      <formula>"Medium"</formula>
    </cfRule>
    <cfRule type="cellIs" dxfId="107" priority="116" operator="equal">
      <formula>"High"</formula>
    </cfRule>
    <cfRule type="cellIs" dxfId="106" priority="117" operator="equal">
      <formula>"Very High"</formula>
    </cfRule>
  </conditionalFormatting>
  <conditionalFormatting sqref="V53:W53">
    <cfRule type="cellIs" dxfId="105" priority="108" operator="equal">
      <formula>"Very Low"</formula>
    </cfRule>
    <cfRule type="cellIs" dxfId="104" priority="109" operator="equal">
      <formula>"Low"</formula>
    </cfRule>
    <cfRule type="cellIs" dxfId="103" priority="110" operator="equal">
      <formula>"Medium"</formula>
    </cfRule>
    <cfRule type="cellIs" dxfId="102" priority="111" operator="equal">
      <formula>"High"</formula>
    </cfRule>
    <cfRule type="cellIs" dxfId="101" priority="112" operator="equal">
      <formula>"Very High"</formula>
    </cfRule>
  </conditionalFormatting>
  <conditionalFormatting sqref="Z55">
    <cfRule type="cellIs" dxfId="100" priority="103" operator="equal">
      <formula>"Very Low"</formula>
    </cfRule>
    <cfRule type="cellIs" dxfId="99" priority="104" operator="equal">
      <formula>"Low"</formula>
    </cfRule>
    <cfRule type="cellIs" dxfId="98" priority="105" operator="equal">
      <formula>"Medium"</formula>
    </cfRule>
    <cfRule type="cellIs" dxfId="97" priority="106" operator="equal">
      <formula>"High"</formula>
    </cfRule>
    <cfRule type="cellIs" dxfId="96" priority="107" operator="equal">
      <formula>"Very High"</formula>
    </cfRule>
  </conditionalFormatting>
  <conditionalFormatting sqref="Z56">
    <cfRule type="cellIs" dxfId="95" priority="98" operator="equal">
      <formula>"Very Low"</formula>
    </cfRule>
    <cfRule type="cellIs" dxfId="94" priority="99" operator="equal">
      <formula>"Low"</formula>
    </cfRule>
    <cfRule type="cellIs" dxfId="93" priority="100" operator="equal">
      <formula>"Medium"</formula>
    </cfRule>
    <cfRule type="cellIs" dxfId="92" priority="101" operator="equal">
      <formula>"High"</formula>
    </cfRule>
    <cfRule type="cellIs" dxfId="91" priority="102" operator="equal">
      <formula>"Very High"</formula>
    </cfRule>
  </conditionalFormatting>
  <conditionalFormatting sqref="AB55">
    <cfRule type="cellIs" dxfId="90" priority="97" operator="lessThan">
      <formula>Y55</formula>
    </cfRule>
  </conditionalFormatting>
  <conditionalFormatting sqref="AB56">
    <cfRule type="cellIs" dxfId="89" priority="96" operator="lessThan">
      <formula>Y56</formula>
    </cfRule>
  </conditionalFormatting>
  <conditionalFormatting sqref="AC55">
    <cfRule type="cellIs" dxfId="88" priority="95" operator="lessThan">
      <formula>Z55</formula>
    </cfRule>
  </conditionalFormatting>
  <conditionalFormatting sqref="AC56">
    <cfRule type="cellIs" dxfId="87" priority="94" operator="lessThan">
      <formula>Z56</formula>
    </cfRule>
  </conditionalFormatting>
  <conditionalFormatting sqref="Z53">
    <cfRule type="cellIs" dxfId="86" priority="89" operator="equal">
      <formula>"Very Low"</formula>
    </cfRule>
    <cfRule type="cellIs" dxfId="85" priority="90" operator="equal">
      <formula>"Low"</formula>
    </cfRule>
    <cfRule type="cellIs" dxfId="84" priority="91" operator="equal">
      <formula>"Medium"</formula>
    </cfRule>
    <cfRule type="cellIs" dxfId="83" priority="92" operator="equal">
      <formula>"High"</formula>
    </cfRule>
    <cfRule type="cellIs" dxfId="82" priority="93" operator="equal">
      <formula>"Very High"</formula>
    </cfRule>
  </conditionalFormatting>
  <conditionalFormatting sqref="AC53">
    <cfRule type="cellIs" dxfId="81" priority="87" operator="lessThan">
      <formula>Z53</formula>
    </cfRule>
  </conditionalFormatting>
  <conditionalFormatting sqref="Z54">
    <cfRule type="cellIs" dxfId="80" priority="82" operator="equal">
      <formula>"Very Low"</formula>
    </cfRule>
    <cfRule type="cellIs" dxfId="79" priority="83" operator="equal">
      <formula>"Low"</formula>
    </cfRule>
    <cfRule type="cellIs" dxfId="78" priority="84" operator="equal">
      <formula>"Medium"</formula>
    </cfRule>
    <cfRule type="cellIs" dxfId="77" priority="85" operator="equal">
      <formula>"High"</formula>
    </cfRule>
    <cfRule type="cellIs" dxfId="76" priority="86" operator="equal">
      <formula>"Very High"</formula>
    </cfRule>
  </conditionalFormatting>
  <conditionalFormatting sqref="AB54">
    <cfRule type="cellIs" dxfId="75" priority="81" operator="lessThan">
      <formula>Y54</formula>
    </cfRule>
  </conditionalFormatting>
  <conditionalFormatting sqref="AC54">
    <cfRule type="cellIs" dxfId="74" priority="80" operator="lessThan">
      <formula>Z54</formula>
    </cfRule>
  </conditionalFormatting>
  <conditionalFormatting sqref="AB53">
    <cfRule type="cellIs" dxfId="73" priority="79" operator="lessThan">
      <formula>Y53</formula>
    </cfRule>
  </conditionalFormatting>
  <conditionalFormatting sqref="AB44:AB46">
    <cfRule type="cellIs" dxfId="72" priority="78" operator="lessThan">
      <formula>Y44</formula>
    </cfRule>
  </conditionalFormatting>
  <conditionalFormatting sqref="O63:P63">
    <cfRule type="cellIs" dxfId="71" priority="73" operator="equal">
      <formula>"Very Low"</formula>
    </cfRule>
    <cfRule type="cellIs" dxfId="70" priority="74" operator="equal">
      <formula>"Low"</formula>
    </cfRule>
    <cfRule type="cellIs" dxfId="69" priority="75" operator="equal">
      <formula>"Medium"</formula>
    </cfRule>
    <cfRule type="cellIs" dxfId="68" priority="76" operator="equal">
      <formula>"High"</formula>
    </cfRule>
    <cfRule type="cellIs" dxfId="67" priority="77" operator="equal">
      <formula>"Very High"</formula>
    </cfRule>
  </conditionalFormatting>
  <conditionalFormatting sqref="O64:P66">
    <cfRule type="cellIs" dxfId="66" priority="63" operator="equal">
      <formula>"Very Low"</formula>
    </cfRule>
    <cfRule type="cellIs" dxfId="65" priority="64" operator="equal">
      <formula>"Low"</formula>
    </cfRule>
    <cfRule type="cellIs" dxfId="64" priority="65" operator="equal">
      <formula>"Medium"</formula>
    </cfRule>
    <cfRule type="cellIs" dxfId="63" priority="66" operator="equal">
      <formula>"High"</formula>
    </cfRule>
    <cfRule type="cellIs" dxfId="62" priority="67" operator="equal">
      <formula>"Very High"</formula>
    </cfRule>
  </conditionalFormatting>
  <conditionalFormatting sqref="AB66 AB68 AB70 AB72 AB74 AB76 AB78 AB80 AB82 AB84 AB86 AB88 AB90 AB92 AB94 AB96 AB98 AB101 AB103 AB106 AB109 AB111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cfRule type="cellIs" dxfId="61" priority="62" operator="lessThan">
      <formula>Y66</formula>
    </cfRule>
  </conditionalFormatting>
  <conditionalFormatting sqref="Q66 Q68 Q70 Q72 Q74 Q76 Q78 Q80 Q82 Q84 Q86 Q88 Q90 Q92 Q94 Q96 Q98 Q101 Q103 Q106 Q109 Q111 Q114 Q116 Q118 Q120 Q122 Q124 Q126 Q128 Q130 Q132 Q134 Q136 Q138 Q140 Q142 Q144 Q146 Q148 Q150 Q152 Q154 Q156 Q158 Q160 Q162 Q164 Q166 Q168 Q170 Q172 Q174 Q176 Q178 Q180 Q182 Q184 Q186 Q188 Q190 Q192 Q194 Q196 Q198 Q200 Q202 Q204 Q206 Q208 Q210 Q212 Q214">
    <cfRule type="cellIs" dxfId="60" priority="57" operator="equal">
      <formula>"Very Low"</formula>
    </cfRule>
    <cfRule type="cellIs" dxfId="59" priority="58" operator="equal">
      <formula>"Low"</formula>
    </cfRule>
    <cfRule type="cellIs" dxfId="58" priority="59" operator="equal">
      <formula>"Medium"</formula>
    </cfRule>
    <cfRule type="cellIs" dxfId="57" priority="60" operator="equal">
      <formula>"High"</formula>
    </cfRule>
    <cfRule type="cellIs" dxfId="56" priority="61" operator="equal">
      <formula>"Very High"</formula>
    </cfRule>
  </conditionalFormatting>
  <conditionalFormatting sqref="Z66 V78:W78 V80:W80 V82:W82 V84:W84 V86:W86 V88:W88 V90:W90 V92:W92 V94:W94 V96:W96 V98:W98 Z68 Z70 Z72 Z74 Z76 Z78 Z80 Z82 Z84 Z86 Z88 Z90 Z92 Z94 Z96 Z98 V101:W101 V103:W103 Z101 Z103 V106:W106 Z106 V109:W109 V111:W111 Z109 Z111 V114:W114 Z114 V116:W116 V118:W118 V120:W120 V122:W122 V124:W124 V126:W126 V128:W128 V130:W130 V132:W132 V134:W134 V136:W136 V138:W138 V140:W140 V142:W142 V144:W144 V146:W146 V148:W148 V150:W150 V152:W152 V154:W154 V156:W156 V158:W158 V160:W160 V162:W162 V164:W164 V166:W166 V168:W168 V170:W170 V172:W172 V174:W174 V176:W176 V178:W178 V180:W180 V182:W182 V184:W184 V186:W186 V188:W188 V190:W190 V192:W192 V194:W194 V196:W196 V198:W198 V200:W200 Z116 Z118 Z120 Z122 Z124 Z126 Z128 Z130 Z132 Z134 Z136 Z138 Z140 Z142 Z144 Z146 Z148 Z150 Z152 Z154 Z156 Z158 Z160 Z162 Z164 Z166 Z168 Z170 Z172 Z174 Z176 Z178 Z180 Z182 Z184 Z186 Z188 Z190 Z192 Z194 Z196 Z198 Z200 V202:W202 V204:W204 V206:W206 V208:W208 V210:W210 V212:W212 V214:W214 Z202 Z204 Z206 Z208 Z210 Z212 Z214">
    <cfRule type="cellIs" dxfId="55" priority="52" operator="equal">
      <formula>"Very Low"</formula>
    </cfRule>
    <cfRule type="cellIs" dxfId="54" priority="53" operator="equal">
      <formula>"Low"</formula>
    </cfRule>
    <cfRule type="cellIs" dxfId="53" priority="54" operator="equal">
      <formula>"Medium"</formula>
    </cfRule>
    <cfRule type="cellIs" dxfId="52" priority="55" operator="equal">
      <formula>"High"</formula>
    </cfRule>
    <cfRule type="cellIs" dxfId="51" priority="56" operator="equal">
      <formula>"Very High"</formula>
    </cfRule>
  </conditionalFormatting>
  <conditionalFormatting sqref="AC66 AC68 AC70 AC72 AC74 AC76 AC78 AC80 AC82 AC84 AC86 AC88 AC90 AC92 AC94 AC96 AC98 AC101 AC103 AC106 AC109 AC111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cfRule type="cellIs" dxfId="50" priority="51" operator="lessThan">
      <formula>Z66</formula>
    </cfRule>
  </conditionalFormatting>
  <conditionalFormatting sqref="O78:P78 O80:P80 O82:P82 O84:P84 O86:P86 O88:P88 O90:P90 O92:P92 O94:P94 O96:P96 O98:P98 O101:P101 O103:P103 O106:P106 O109:P109 O111:P111 O114:P114 O68:P72 O116:P116 O118:P118 O120:P120 O122:P122 O124:P124 O126:P126 O128:P128 O130:P130 O132:P132 O134:P134 O136:P136 O138:P138 O140:P140 O142:P142 O144:P144 O146:P146 O148:P148 O150:P150 O152:P152 O154:P154 O156:P156 O158:P158 O160:P160 O162:P162 O164:P164 O166:P166 O168:P168 O170:P170 O172:P172 O174:P174 O176:P176 O178:P178 O180:P180 O182:P182 O184:P184 O186:P186 O188:P188 O190:P190 O192:P192 O194:P194 O196:P196 O198:P198 O200:P200 O202:P202 O204:P204 O206:P206 O208:P208 O210:P210 O212:P212 O214:P214">
    <cfRule type="cellIs" dxfId="49" priority="46" operator="equal">
      <formula>"Very Low"</formula>
    </cfRule>
    <cfRule type="cellIs" dxfId="48" priority="47" operator="equal">
      <formula>"Low"</formula>
    </cfRule>
    <cfRule type="cellIs" dxfId="47" priority="48" operator="equal">
      <formula>"Medium"</formula>
    </cfRule>
    <cfRule type="cellIs" dxfId="46" priority="49" operator="equal">
      <formula>"High"</formula>
    </cfRule>
    <cfRule type="cellIs" dxfId="45" priority="50" operator="equal">
      <formula>"Very High"</formula>
    </cfRule>
  </conditionalFormatting>
  <conditionalFormatting sqref="AB67 AB69 AB71 AB73 AB75 AB77 AB79 AB81 AB83 AB85 AB87 AB89 AB91 AB93 AB95 AB97 AB99:AB100 AB102 AB104:AB105 AB107:AB108 AB110 AB112: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cfRule type="cellIs" dxfId="44" priority="45" operator="lessThan">
      <formula>Y67</formula>
    </cfRule>
  </conditionalFormatting>
  <conditionalFormatting sqref="Q67 Q69 Q71 Q73 Q75 Q77 Q79 Q81 Q83 Q85 Q87 Q89 Q91 Q93 Q95 Q97 Q99:Q100 Q102 Q104:Q105 Q107:Q108 Q110 Q112:Q113 Q115 Q117 Q119 Q121 Q123 Q125 Q127 Q129 Q131 Q133 Q135 Q137 Q139 Q141 Q143 Q145 Q147 Q149 Q151 Q153 Q155 Q157 Q159 Q161 Q163 Q165 Q167 Q169 Q171 Q173 Q175 Q177 Q179 Q181 Q183 Q185 Q187 Q189 Q191 Q193 Q195 Q197 Q199 Q201 Q203 Q205 Q207 Q209 Q211 Q213 Q215">
    <cfRule type="cellIs" dxfId="43" priority="40" operator="equal">
      <formula>"Very Low"</formula>
    </cfRule>
    <cfRule type="cellIs" dxfId="42" priority="41" operator="equal">
      <formula>"Low"</formula>
    </cfRule>
    <cfRule type="cellIs" dxfId="41" priority="42" operator="equal">
      <formula>"Medium"</formula>
    </cfRule>
    <cfRule type="cellIs" dxfId="40" priority="43" operator="equal">
      <formula>"High"</formula>
    </cfRule>
    <cfRule type="cellIs" dxfId="39" priority="44" operator="equal">
      <formula>"Very High"</formula>
    </cfRule>
  </conditionalFormatting>
  <conditionalFormatting sqref="V67:W67 Z67 V79:W79 V81:W81 V83:W83 V85:W85 V87:W87 V89:W89 V91:W91 V93:W93 V95:W95 V97:W97 Z69 Z71 Z73 Z75 Z77 Z79 Z81 Z83 Z85 Z87 Z89 Z91 Z93 Z95 Z97 V99:W100 V102:W102 Z99:Z100 Z102 V104:W105 Z104:Z105 V107:W108 V110:W110 Z107:Z108 Z110 V112:W113 V115:W115 Z112:Z113 Z115 V117:W117 V119:W119 V121:W121 V123:W123 V125:W125 V127:W127 V129:W129 V131:W131 V133:W133 V135:W135 V137:W137 V139:W139 V141:W141 V143:W143 V145:W145 V147:W147 V149:W149 V151:W151 V153:W153 V155:W155 V157:W157 V159:W159 V161:W161 V163:W163 V165:W165 V167:W167 V169:W169 V171:W171 V173:W173 V175:W175 V177:W177 V179:W179 V181:W181 V183:W183 V185:W185 V187:W187 V189:W189 V191:W191 V193:W193 V195:W195 V197:W197 V199:W199 V201:W201 Z117 Z119 Z121 Z123 Z125 Z127 Z129 Z131 Z133 Z135 Z137 Z139 Z141 Z143 Z145 Z147 Z149 Z151 Z153 Z155 Z157 Z159 Z161 Z163 Z165 Z167 Z169 Z171 Z173 Z175 Z177 Z179 Z181 Z183 Z185 Z187 Z189 Z191 Z193 Z195 Z197 Z199 Z201 V203:W203 V205:W205 V207:W207 V209:W209 V211:W211 V213:W213 V215:W215 Z203 Z205 Z207 Z209 Z211 Z213 Z215">
    <cfRule type="cellIs" dxfId="38" priority="35" operator="equal">
      <formula>"Very Low"</formula>
    </cfRule>
    <cfRule type="cellIs" dxfId="37" priority="36" operator="equal">
      <formula>"Low"</formula>
    </cfRule>
    <cfRule type="cellIs" dxfId="36" priority="37" operator="equal">
      <formula>"Medium"</formula>
    </cfRule>
    <cfRule type="cellIs" dxfId="35" priority="38" operator="equal">
      <formula>"High"</formula>
    </cfRule>
    <cfRule type="cellIs" dxfId="34" priority="39" operator="equal">
      <formula>"Very High"</formula>
    </cfRule>
  </conditionalFormatting>
  <conditionalFormatting sqref="AC67 AC69 AC71 AC73 AC75 AC77 AC79 AC81 AC83 AC85 AC87 AC89 AC91 AC93 AC95 AC97 AC99:AC100 AC102 AC104:AC105 AC107:AC108 AC110 AC112: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cfRule type="cellIs" dxfId="33" priority="34" operator="lessThan">
      <formula>Z67</formula>
    </cfRule>
  </conditionalFormatting>
  <conditionalFormatting sqref="O67:P67 O79:P79 O81:P81 O83:P83 O85:P85 O87:P87 O89:P89 O91:P91 O93:P93 O95:P95 O97:P97 O99:P100 O102:P102 O104:P105 O107:P108 O110:P110 O112:P113 O115:P115 O117:P117 O119:P119 O121:P121 O123:P123 O125:P125 O127:P127 O129:P129 O131:P131 O133:P133 O135:P135 O137:P137 O139:P139 O141:P141 O143:P143 O145:P145 O147:P147 O149:P149 O151:P151 O153:P153 O155:P155 O157:P157 O159:P159 O161:P161 O163:P163 O165:P165 O167:P167 O169:P169 O171:P171 O173:P173 O175:P175 O177:P177 O179:P179 O181:P181 O183:P183 O185:P185 O187:P187 O189:P189 O191:P191 O193:P193 O195:P195 O197:P197 O199:P199 O201:P201 O203:P203 O205:P205 O207:P207 O209:P209 O211:P211 O213:P213 O215:P215">
    <cfRule type="cellIs" dxfId="32" priority="29" operator="equal">
      <formula>"Very Low"</formula>
    </cfRule>
    <cfRule type="cellIs" dxfId="31" priority="30" operator="equal">
      <formula>"Low"</formula>
    </cfRule>
    <cfRule type="cellIs" dxfId="30" priority="31" operator="equal">
      <formula>"Medium"</formula>
    </cfRule>
    <cfRule type="cellIs" dxfId="29" priority="32" operator="equal">
      <formula>"High"</formula>
    </cfRule>
    <cfRule type="cellIs" dxfId="28" priority="33" operator="equal">
      <formula>"Very High"</formula>
    </cfRule>
  </conditionalFormatting>
  <conditionalFormatting sqref="O73:P77">
    <cfRule type="cellIs" dxfId="27" priority="24" operator="equal">
      <formula>"Very Low"</formula>
    </cfRule>
    <cfRule type="cellIs" dxfId="26" priority="25" operator="equal">
      <formula>"Low"</formula>
    </cfRule>
    <cfRule type="cellIs" dxfId="25" priority="26" operator="equal">
      <formula>"Medium"</formula>
    </cfRule>
    <cfRule type="cellIs" dxfId="24" priority="27" operator="equal">
      <formula>"High"</formula>
    </cfRule>
    <cfRule type="cellIs" dxfId="23" priority="28" operator="equal">
      <formula>"Very High"</formula>
    </cfRule>
  </conditionalFormatting>
  <conditionalFormatting sqref="V68:V69 V62:V66 V73:V77">
    <cfRule type="cellIs" dxfId="22" priority="19" operator="equal">
      <formula>"Very Low"</formula>
    </cfRule>
    <cfRule type="cellIs" dxfId="21" priority="20" operator="equal">
      <formula>"Low"</formula>
    </cfRule>
    <cfRule type="cellIs" dxfId="20" priority="21" operator="equal">
      <formula>"Medium"</formula>
    </cfRule>
    <cfRule type="cellIs" dxfId="19" priority="22" operator="equal">
      <formula>"High"</formula>
    </cfRule>
    <cfRule type="cellIs" dxfId="18" priority="23" operator="equal">
      <formula>"Very High"</formula>
    </cfRule>
  </conditionalFormatting>
  <conditionalFormatting sqref="W68:W69 W62:W66 W73:W77">
    <cfRule type="cellIs" dxfId="17" priority="14" operator="equal">
      <formula>"Very Low"</formula>
    </cfRule>
    <cfRule type="cellIs" dxfId="16" priority="15" operator="equal">
      <formula>"Low"</formula>
    </cfRule>
    <cfRule type="cellIs" dxfId="15" priority="16" operator="equal">
      <formula>"Medium"</formula>
    </cfRule>
    <cfRule type="cellIs" dxfId="14" priority="17" operator="equal">
      <formula>"High"</formula>
    </cfRule>
    <cfRule type="cellIs" dxfId="13" priority="18" operator="equal">
      <formula>"Very High"</formula>
    </cfRule>
  </conditionalFormatting>
  <conditionalFormatting sqref="V70:V72">
    <cfRule type="cellIs" dxfId="12" priority="9" operator="equal">
      <formula>"Very Low"</formula>
    </cfRule>
    <cfRule type="cellIs" dxfId="11" priority="10" operator="equal">
      <formula>"Low"</formula>
    </cfRule>
    <cfRule type="cellIs" dxfId="10" priority="11" operator="equal">
      <formula>"Medium"</formula>
    </cfRule>
    <cfRule type="cellIs" dxfId="9" priority="12" operator="equal">
      <formula>"High"</formula>
    </cfRule>
    <cfRule type="cellIs" dxfId="8" priority="13" operator="equal">
      <formula>"Very High"</formula>
    </cfRule>
  </conditionalFormatting>
  <conditionalFormatting sqref="W70:W72">
    <cfRule type="cellIs" dxfId="7" priority="4" operator="equal">
      <formula>"Very Low"</formula>
    </cfRule>
    <cfRule type="cellIs" dxfId="6" priority="5" operator="equal">
      <formula>"Low"</formula>
    </cfRule>
    <cfRule type="cellIs" dxfId="5" priority="6" operator="equal">
      <formula>"Medium"</formula>
    </cfRule>
    <cfRule type="cellIs" dxfId="4" priority="7" operator="equal">
      <formula>"High"</formula>
    </cfRule>
    <cfRule type="cellIs" dxfId="3" priority="8" operator="equal">
      <formula>"Very High"</formula>
    </cfRule>
  </conditionalFormatting>
  <conditionalFormatting sqref="AE16:AE215">
    <cfRule type="cellIs" dxfId="2" priority="1" operator="equal">
      <formula>"Closed"</formula>
    </cfRule>
    <cfRule type="cellIs" dxfId="1" priority="3" operator="equal">
      <formula>"Open"</formula>
    </cfRule>
  </conditionalFormatting>
  <conditionalFormatting sqref="AF16:AF215">
    <cfRule type="expression" dxfId="0" priority="2">
      <formula>AE16="Open"</formula>
    </cfRule>
  </conditionalFormatting>
  <dataValidations count="17">
    <dataValidation type="list" allowBlank="1" showInputMessage="1" showErrorMessage="1" sqref="O16:O215 V16:V215" xr:uid="{FE88EE29-8892-4F9A-86F4-11942541A8BE}">
      <formula1>Impact</formula1>
    </dataValidation>
    <dataValidation type="list" allowBlank="1" showInputMessage="1" showErrorMessage="1" sqref="P16:P215 W16:W215" xr:uid="{899029D1-C226-443A-973A-42A8C3F60330}">
      <formula1>Probability</formula1>
    </dataValidation>
    <dataValidation type="list" allowBlank="1" showInputMessage="1" showErrorMessage="1" sqref="N9:Q9" xr:uid="{0F4A2D0D-3402-460D-9BCB-D53E3613D60E}">
      <formula1>Project.Type</formula1>
    </dataValidation>
    <dataValidation type="list" allowBlank="1" showInputMessage="1" showErrorMessage="1" sqref="S9:T9" xr:uid="{0C24F7A5-F891-4150-95FB-DFAF65CE7B1B}">
      <formula1>Project.Headlines</formula1>
    </dataValidation>
    <dataValidation type="decimal" allowBlank="1" showInputMessage="1" showErrorMessage="1" sqref="AB16:AC215 S22 S16:T20 S23:T215 T21:T22" xr:uid="{4968FB25-0E2C-4C1C-B1A3-5A5266B358AD}">
      <formula1>0</formula1>
      <formula2>9999999999999.99</formula2>
    </dataValidation>
    <dataValidation type="decimal" allowBlank="1" showInputMessage="1" showErrorMessage="1" sqref="E8" xr:uid="{61E64A87-9742-4454-AF71-2FDA260A6BBA}">
      <formula1>0</formula1>
      <formula2>999999999999.99</formula2>
    </dataValidation>
    <dataValidation type="list" allowBlank="1" showInputMessage="1" showErrorMessage="1" sqref="M16:M215" xr:uid="{357A0566-3B2D-4527-B1A5-E703FECFDFFF}">
      <formula1>Project.Gates.WBS</formula1>
    </dataValidation>
    <dataValidation type="decimal" allowBlank="1" showInputMessage="1" showErrorMessage="1" sqref="Y16:Z215" xr:uid="{E446E141-DDF3-4932-8E57-08AD6F160658}">
      <formula1>0</formula1>
      <formula2>9999999999999990</formula2>
    </dataValidation>
    <dataValidation type="decimal" allowBlank="1" showInputMessage="1" showErrorMessage="1" sqref="AD16:AD215 U16:U215" xr:uid="{5588D9DA-441D-4A80-A211-DA8322A6B1FA}">
      <formula1>0</formula1>
      <formula2>1</formula2>
    </dataValidation>
    <dataValidation type="decimal" allowBlank="1" showInputMessage="1" showErrorMessage="1" sqref="K16:L35 L36:L215 K37:K215" xr:uid="{1E360D79-5324-482B-85E1-C9BC1B7D85C0}">
      <formula1>0</formula1>
      <formula2>9999999999999990000</formula2>
    </dataValidation>
    <dataValidation type="list" allowBlank="1" showInputMessage="1" showErrorMessage="1" sqref="AE215" xr:uid="{88606DC5-E74C-47B5-8DE5-23AD724A71E6}">
      <formula1>"Open, Close"</formula1>
    </dataValidation>
    <dataValidation type="date" allowBlank="1" showInputMessage="1" showErrorMessage="1" sqref="AF16:AF215" xr:uid="{FC5DAC6B-E8E1-49FD-B7DD-55EF7DB4231B}">
      <formula1>35065</formula1>
      <formula2>72686</formula2>
    </dataValidation>
    <dataValidation type="list" allowBlank="1" showInputMessage="1" showErrorMessage="1" sqref="AE16:AE214" xr:uid="{DEE69E46-2393-4F03-9287-D28137E35832}">
      <formula1>"Open, Closed"</formula1>
    </dataValidation>
    <dataValidation type="date" operator="greaterThan" allowBlank="1" showInputMessage="1" showErrorMessage="1" sqref="AG10 AG6 AG8" xr:uid="{225E62C7-CEB4-4BBC-B49D-DF1B4E7CB04D}">
      <formula1>1</formula1>
    </dataValidation>
    <dataValidation type="list" allowBlank="1" showInputMessage="1" showErrorMessage="1" sqref="N16:N215 D43:F215 D16:F41" xr:uid="{1CCA9354-041A-4C84-B940-61572679FE41}">
      <formula1>INDIRECT(C16)</formula1>
    </dataValidation>
    <dataValidation type="list" allowBlank="1" showInputMessage="1" showErrorMessage="1" sqref="D9:D10" xr:uid="{93623226-1D47-4A39-96D3-8156E542081B}">
      <formula1>Confidence_Level</formula1>
    </dataValidation>
    <dataValidation type="list" allowBlank="1" showInputMessage="1" showErrorMessage="1" sqref="C43:C215 C16:C41" xr:uid="{E58B330D-9E98-4A96-BFF2-42AA9FCBCD77}">
      <formula1>RBS.1</formula1>
    </dataValidation>
  </dataValidations>
  <pageMargins left="0.55118110236220474" right="0.19685039370078741" top="0.43307086614173229" bottom="0.39370078740157483" header="0.31496062992125984" footer="0.31496062992125984"/>
  <pageSetup paperSize="8" scale="41" fitToHeight="0" orientation="landscape" r:id="rId1"/>
  <rowBreaks count="2" manualBreakCount="2">
    <brk id="33" min="1" max="32" man="1"/>
    <brk id="55" min="1" max="3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A8B16-ED4D-420F-9669-F0B69560F6A4}">
  <sheetPr codeName="Sheet7">
    <tabColor theme="6" tint="-0.249977111117893"/>
    <pageSetUpPr fitToPage="1"/>
  </sheetPr>
  <dimension ref="A2:Z106"/>
  <sheetViews>
    <sheetView showGridLines="0" zoomScale="60" zoomScaleNormal="60" workbookViewId="0">
      <selection activeCell="C56" sqref="C56:C58"/>
    </sheetView>
  </sheetViews>
  <sheetFormatPr defaultColWidth="9.109375" defaultRowHeight="12" x14ac:dyDescent="0.3"/>
  <cols>
    <col min="1" max="1" width="20.6640625" style="31" customWidth="1"/>
    <col min="2" max="2" width="30" style="31" customWidth="1"/>
    <col min="3" max="3" width="19.6640625" style="191" customWidth="1"/>
    <col min="4" max="4" width="26.5546875" style="191" customWidth="1"/>
    <col min="5" max="5" width="20.109375" style="191" customWidth="1"/>
    <col min="6" max="6" width="26.5546875" style="31" customWidth="1"/>
    <col min="7" max="7" width="29.33203125" style="31" customWidth="1"/>
    <col min="8" max="8" width="28.6640625" style="31" customWidth="1"/>
    <col min="9" max="9" width="22.5546875" style="31" customWidth="1"/>
    <col min="10" max="10" width="26.109375" style="31" customWidth="1"/>
    <col min="11" max="11" width="14.5546875" style="30" customWidth="1"/>
    <col min="12" max="12" width="26.6640625" style="30" customWidth="1"/>
    <col min="13" max="13" width="27.88671875" style="53" customWidth="1"/>
    <col min="14" max="14" width="21.33203125" style="31" customWidth="1"/>
    <col min="15" max="15" width="26.33203125" style="31" customWidth="1"/>
    <col min="16" max="17" width="14.5546875" style="31" customWidth="1"/>
    <col min="18" max="18" width="35.88671875" style="31" customWidth="1"/>
    <col min="19" max="19" width="27.33203125" style="339" customWidth="1"/>
    <col min="20" max="16384" width="9.109375" style="31"/>
  </cols>
  <sheetData>
    <row r="2" spans="1:26" x14ac:dyDescent="0.3">
      <c r="B2" s="501" t="s">
        <v>1769</v>
      </c>
      <c r="C2" s="501"/>
      <c r="D2" s="501"/>
      <c r="E2" s="501"/>
      <c r="F2" s="501"/>
      <c r="G2" s="501"/>
      <c r="H2" s="501"/>
      <c r="I2" s="163"/>
      <c r="J2" s="503" t="s">
        <v>1661</v>
      </c>
      <c r="K2" s="350"/>
      <c r="L2" s="505" t="str">
        <f>RiskRegister!E5</f>
        <v>Long Term East Line 1</v>
      </c>
      <c r="M2" s="505"/>
      <c r="N2" s="505"/>
      <c r="O2" s="506"/>
      <c r="P2" s="506"/>
      <c r="Q2" s="506"/>
      <c r="R2" s="506"/>
      <c r="S2" s="507"/>
    </row>
    <row r="3" spans="1:26" x14ac:dyDescent="0.3">
      <c r="B3" s="502" t="s">
        <v>1770</v>
      </c>
      <c r="C3" s="502"/>
      <c r="D3" s="502"/>
      <c r="E3" s="502"/>
      <c r="F3" s="502"/>
      <c r="G3" s="502"/>
      <c r="H3" s="502"/>
      <c r="I3" s="164"/>
      <c r="J3" s="504"/>
      <c r="K3" s="351"/>
      <c r="L3" s="508"/>
      <c r="M3" s="508"/>
      <c r="N3" s="508"/>
      <c r="O3" s="509"/>
      <c r="P3" s="509"/>
      <c r="Q3" s="509"/>
      <c r="R3" s="509"/>
      <c r="S3" s="510"/>
    </row>
    <row r="4" spans="1:26" ht="6.75" customHeight="1" thickBot="1" x14ac:dyDescent="0.35">
      <c r="B4" s="165"/>
      <c r="C4" s="193"/>
      <c r="D4" s="193"/>
      <c r="E4" s="193"/>
      <c r="F4" s="165"/>
      <c r="G4" s="165"/>
      <c r="H4" s="165"/>
      <c r="I4" s="165"/>
      <c r="J4" s="165"/>
      <c r="K4" s="341"/>
      <c r="L4" s="341"/>
    </row>
    <row r="5" spans="1:26" ht="14.4" x14ac:dyDescent="0.3">
      <c r="B5" s="511" t="s">
        <v>1771</v>
      </c>
      <c r="C5" s="512"/>
      <c r="D5" s="512"/>
      <c r="E5" s="512"/>
      <c r="F5" s="512"/>
      <c r="G5" s="512"/>
      <c r="H5" s="513" t="s">
        <v>1667</v>
      </c>
      <c r="I5" s="513"/>
      <c r="J5" s="514"/>
      <c r="K5" s="514"/>
      <c r="L5" s="514"/>
      <c r="M5" s="514"/>
      <c r="N5" s="523" t="s">
        <v>323</v>
      </c>
      <c r="O5" s="524"/>
      <c r="P5" s="524"/>
      <c r="Q5" s="524"/>
      <c r="R5" s="525"/>
      <c r="S5" s="348"/>
    </row>
    <row r="6" spans="1:26" x14ac:dyDescent="0.3">
      <c r="F6" s="192"/>
      <c r="G6" s="192"/>
      <c r="H6" s="196"/>
      <c r="I6" s="200"/>
      <c r="L6" s="342"/>
      <c r="S6" s="346"/>
      <c r="T6" s="166" t="s">
        <v>1772</v>
      </c>
      <c r="U6" s="31">
        <v>30</v>
      </c>
      <c r="V6" s="31" t="s">
        <v>1773</v>
      </c>
    </row>
    <row r="7" spans="1:26" x14ac:dyDescent="0.3">
      <c r="F7" s="192"/>
      <c r="G7" s="192"/>
      <c r="H7" s="196"/>
      <c r="I7" s="200"/>
      <c r="S7" s="346"/>
    </row>
    <row r="8" spans="1:26" x14ac:dyDescent="0.3">
      <c r="H8" s="191"/>
      <c r="S8" s="346"/>
    </row>
    <row r="9" spans="1:26" s="199" customFormat="1" ht="12.6" thickBot="1" x14ac:dyDescent="0.35">
      <c r="C9" s="198"/>
      <c r="D9" s="198"/>
      <c r="E9" s="198"/>
      <c r="H9" s="198"/>
      <c r="I9" s="201"/>
      <c r="K9" s="197"/>
      <c r="L9" s="197"/>
      <c r="M9" s="340"/>
      <c r="S9" s="347"/>
    </row>
    <row r="10" spans="1:26" ht="15" customHeight="1" x14ac:dyDescent="0.3">
      <c r="B10" s="513" t="s">
        <v>1667</v>
      </c>
      <c r="C10" s="513"/>
      <c r="D10" s="513"/>
      <c r="E10" s="513"/>
      <c r="F10" s="513"/>
      <c r="G10" s="513"/>
      <c r="H10" s="513"/>
      <c r="I10" s="513"/>
      <c r="J10" s="514"/>
      <c r="K10" s="514"/>
      <c r="L10" s="514"/>
      <c r="M10" s="514"/>
      <c r="N10" s="524" t="s">
        <v>323</v>
      </c>
      <c r="O10" s="524"/>
      <c r="P10" s="524"/>
      <c r="Q10" s="524"/>
      <c r="R10" s="525"/>
      <c r="S10" s="348"/>
    </row>
    <row r="11" spans="1:26" x14ac:dyDescent="0.3">
      <c r="B11" s="557" t="s">
        <v>1774</v>
      </c>
      <c r="C11" s="558" t="s">
        <v>1775</v>
      </c>
      <c r="D11" s="558"/>
      <c r="E11" s="558"/>
      <c r="F11" s="558"/>
      <c r="G11" s="558"/>
      <c r="H11" s="559" t="s">
        <v>1776</v>
      </c>
      <c r="I11" s="559"/>
      <c r="J11" s="559"/>
      <c r="K11" s="559"/>
      <c r="L11" s="559"/>
      <c r="M11" s="559"/>
      <c r="N11" s="515" t="s">
        <v>1777</v>
      </c>
      <c r="O11" s="515"/>
      <c r="P11" s="515"/>
      <c r="Q11" s="515"/>
      <c r="R11" s="515"/>
      <c r="S11" s="515"/>
      <c r="T11" s="516"/>
      <c r="U11" s="516"/>
      <c r="V11" s="516"/>
      <c r="W11" s="516"/>
      <c r="X11" s="516"/>
      <c r="Y11" s="516"/>
      <c r="Z11" s="516"/>
    </row>
    <row r="12" spans="1:26" ht="31.2" customHeight="1" x14ac:dyDescent="0.3">
      <c r="B12" s="557"/>
      <c r="C12" s="560" t="s">
        <v>1778</v>
      </c>
      <c r="D12" s="561" t="s">
        <v>1779</v>
      </c>
      <c r="E12" s="561"/>
      <c r="F12" s="562" t="s">
        <v>1780</v>
      </c>
      <c r="G12" s="563" t="s">
        <v>1781</v>
      </c>
      <c r="H12" s="564" t="s">
        <v>1782</v>
      </c>
      <c r="I12" s="565" t="s">
        <v>1779</v>
      </c>
      <c r="J12" s="565"/>
      <c r="K12" s="566" t="s">
        <v>1783</v>
      </c>
      <c r="L12" s="566"/>
      <c r="M12" s="567" t="s">
        <v>1784</v>
      </c>
      <c r="N12" s="553" t="s">
        <v>1785</v>
      </c>
      <c r="O12" s="520" t="s">
        <v>1779</v>
      </c>
      <c r="P12" s="520"/>
      <c r="Q12" s="526" t="s">
        <v>1786</v>
      </c>
      <c r="R12" s="527"/>
      <c r="S12" s="521" t="s">
        <v>1784</v>
      </c>
      <c r="T12" s="517"/>
      <c r="U12" s="518"/>
      <c r="V12" s="518"/>
      <c r="W12" s="519"/>
      <c r="X12" s="517"/>
      <c r="Y12" s="519"/>
      <c r="Z12" s="517"/>
    </row>
    <row r="13" spans="1:26" ht="30" customHeight="1" x14ac:dyDescent="0.3">
      <c r="B13" s="557"/>
      <c r="C13" s="560"/>
      <c r="D13" s="568" t="s">
        <v>1787</v>
      </c>
      <c r="E13" s="568" t="s">
        <v>1788</v>
      </c>
      <c r="F13" s="560"/>
      <c r="G13" s="563"/>
      <c r="H13" s="564"/>
      <c r="I13" s="569" t="s">
        <v>1787</v>
      </c>
      <c r="J13" s="569" t="s">
        <v>1788</v>
      </c>
      <c r="K13" s="570" t="s">
        <v>1789</v>
      </c>
      <c r="L13" s="571" t="s">
        <v>1790</v>
      </c>
      <c r="M13" s="567"/>
      <c r="N13" s="553"/>
      <c r="O13" s="344" t="s">
        <v>1787</v>
      </c>
      <c r="P13" s="344" t="s">
        <v>1788</v>
      </c>
      <c r="Q13" s="353" t="s">
        <v>1789</v>
      </c>
      <c r="R13" s="344" t="s">
        <v>1790</v>
      </c>
      <c r="S13" s="522"/>
      <c r="T13" s="517"/>
      <c r="U13" s="343"/>
      <c r="V13" s="343"/>
      <c r="W13" s="517"/>
      <c r="X13" s="517"/>
      <c r="Y13" s="517"/>
      <c r="Z13" s="517"/>
    </row>
    <row r="14" spans="1:26" x14ac:dyDescent="0.3">
      <c r="A14" s="552"/>
      <c r="B14" s="572">
        <v>1</v>
      </c>
      <c r="C14" s="573">
        <f>SUM(E14:E16)</f>
        <v>35000000</v>
      </c>
      <c r="D14" s="574" t="s">
        <v>1791</v>
      </c>
      <c r="E14" s="575">
        <v>15000000</v>
      </c>
      <c r="F14" s="572"/>
      <c r="G14" s="572"/>
      <c r="H14" s="572"/>
      <c r="I14" s="574"/>
      <c r="J14" s="574"/>
      <c r="K14" s="572"/>
      <c r="L14" s="576"/>
      <c r="M14" s="577"/>
      <c r="N14" s="554">
        <f>SUM(P14:P16)</f>
        <v>35000000</v>
      </c>
      <c r="O14" s="334" t="s">
        <v>1715</v>
      </c>
      <c r="P14" s="345">
        <f>C14</f>
        <v>35000000</v>
      </c>
      <c r="Q14" s="492"/>
      <c r="R14" s="492"/>
      <c r="S14" s="498"/>
    </row>
    <row r="15" spans="1:26" x14ac:dyDescent="0.3">
      <c r="A15" s="552"/>
      <c r="B15" s="572"/>
      <c r="C15" s="573"/>
      <c r="D15" s="574" t="s">
        <v>1792</v>
      </c>
      <c r="E15" s="575">
        <v>10000000</v>
      </c>
      <c r="F15" s="572"/>
      <c r="G15" s="572"/>
      <c r="H15" s="572"/>
      <c r="I15" s="574"/>
      <c r="J15" s="574"/>
      <c r="K15" s="572"/>
      <c r="L15" s="576"/>
      <c r="M15" s="577"/>
      <c r="N15" s="550"/>
      <c r="P15" s="334"/>
      <c r="Q15" s="493"/>
      <c r="R15" s="493"/>
      <c r="S15" s="499"/>
    </row>
    <row r="16" spans="1:26" x14ac:dyDescent="0.3">
      <c r="A16" s="552"/>
      <c r="B16" s="572"/>
      <c r="C16" s="573"/>
      <c r="D16" s="574" t="s">
        <v>1793</v>
      </c>
      <c r="E16" s="575">
        <f>1000000*10</f>
        <v>10000000</v>
      </c>
      <c r="F16" s="572"/>
      <c r="G16" s="572"/>
      <c r="H16" s="572"/>
      <c r="I16" s="574"/>
      <c r="J16" s="574"/>
      <c r="K16" s="572"/>
      <c r="L16" s="576"/>
      <c r="M16" s="577"/>
      <c r="N16" s="551"/>
      <c r="O16" s="334"/>
      <c r="P16" s="334"/>
      <c r="Q16" s="494"/>
      <c r="R16" s="494"/>
      <c r="S16" s="500"/>
    </row>
    <row r="17" spans="1:19" x14ac:dyDescent="0.3">
      <c r="A17" s="552"/>
      <c r="B17" s="572">
        <v>2</v>
      </c>
      <c r="C17" s="573"/>
      <c r="D17" s="574"/>
      <c r="E17" s="575"/>
      <c r="F17" s="572">
        <f>G17*$U$6</f>
        <v>90</v>
      </c>
      <c r="G17" s="14">
        <v>3</v>
      </c>
      <c r="H17" s="572"/>
      <c r="I17" s="574"/>
      <c r="J17" s="574"/>
      <c r="K17" s="572"/>
      <c r="L17" s="576"/>
      <c r="M17" s="577"/>
      <c r="N17" s="554"/>
      <c r="O17" s="334"/>
      <c r="P17" s="345"/>
      <c r="Q17" s="492"/>
      <c r="R17" s="492"/>
      <c r="S17" s="498"/>
    </row>
    <row r="18" spans="1:19" x14ac:dyDescent="0.3">
      <c r="A18" s="552"/>
      <c r="B18" s="572"/>
      <c r="C18" s="573"/>
      <c r="D18" s="574"/>
      <c r="E18" s="575"/>
      <c r="F18" s="572"/>
      <c r="G18" s="576" t="s">
        <v>1799</v>
      </c>
      <c r="H18" s="572"/>
      <c r="I18" s="574"/>
      <c r="J18" s="574"/>
      <c r="K18" s="572"/>
      <c r="L18" s="576"/>
      <c r="M18" s="577"/>
      <c r="N18" s="550"/>
      <c r="P18" s="334"/>
      <c r="Q18" s="493"/>
      <c r="R18" s="493"/>
      <c r="S18" s="499"/>
    </row>
    <row r="19" spans="1:19" x14ac:dyDescent="0.3">
      <c r="A19" s="552"/>
      <c r="B19" s="572"/>
      <c r="C19" s="573"/>
      <c r="D19" s="574"/>
      <c r="E19" s="575"/>
      <c r="F19" s="572"/>
      <c r="G19" s="576"/>
      <c r="H19" s="572"/>
      <c r="I19" s="574"/>
      <c r="J19" s="574"/>
      <c r="K19" s="572"/>
      <c r="L19" s="576"/>
      <c r="M19" s="577"/>
      <c r="N19" s="551"/>
      <c r="O19" s="334"/>
      <c r="P19" s="334"/>
      <c r="Q19" s="494"/>
      <c r="R19" s="494"/>
      <c r="S19" s="500"/>
    </row>
    <row r="20" spans="1:19" x14ac:dyDescent="0.3">
      <c r="A20" s="552"/>
      <c r="B20" s="572">
        <v>3</v>
      </c>
      <c r="C20" s="573"/>
      <c r="D20" s="574"/>
      <c r="E20" s="575"/>
      <c r="F20" s="572">
        <f>G20*$U$6</f>
        <v>180</v>
      </c>
      <c r="G20" s="14">
        <v>6</v>
      </c>
      <c r="H20" s="572"/>
      <c r="I20" s="574"/>
      <c r="J20" s="574"/>
      <c r="K20" s="572"/>
      <c r="L20" s="576"/>
      <c r="M20" s="577"/>
      <c r="N20" s="554"/>
      <c r="O20" s="545" t="s">
        <v>2086</v>
      </c>
      <c r="P20" s="546"/>
      <c r="Q20" s="492">
        <v>60</v>
      </c>
      <c r="R20" s="497" t="s">
        <v>1808</v>
      </c>
      <c r="S20" s="349"/>
    </row>
    <row r="21" spans="1:19" x14ac:dyDescent="0.3">
      <c r="A21" s="552"/>
      <c r="B21" s="572"/>
      <c r="C21" s="573"/>
      <c r="D21" s="574"/>
      <c r="E21" s="575"/>
      <c r="F21" s="572"/>
      <c r="G21" s="576" t="s">
        <v>1809</v>
      </c>
      <c r="H21" s="572"/>
      <c r="I21" s="574"/>
      <c r="J21" s="574"/>
      <c r="K21" s="572"/>
      <c r="L21" s="576"/>
      <c r="M21" s="577"/>
      <c r="N21" s="550"/>
      <c r="O21" s="547" t="s">
        <v>2087</v>
      </c>
      <c r="P21" s="545"/>
      <c r="Q21" s="493"/>
      <c r="R21" s="495"/>
      <c r="S21" s="490"/>
    </row>
    <row r="22" spans="1:19" x14ac:dyDescent="0.3">
      <c r="A22" s="552"/>
      <c r="B22" s="572"/>
      <c r="C22" s="573"/>
      <c r="D22" s="574"/>
      <c r="E22" s="575"/>
      <c r="F22" s="572"/>
      <c r="G22" s="576"/>
      <c r="H22" s="572"/>
      <c r="I22" s="574"/>
      <c r="J22" s="574"/>
      <c r="K22" s="572"/>
      <c r="L22" s="576"/>
      <c r="M22" s="577"/>
      <c r="N22" s="551"/>
      <c r="O22" s="334"/>
      <c r="P22" s="334"/>
      <c r="Q22" s="494"/>
      <c r="R22" s="496"/>
      <c r="S22" s="491"/>
    </row>
    <row r="23" spans="1:19" x14ac:dyDescent="0.3">
      <c r="A23" s="552"/>
      <c r="B23" s="572">
        <v>4</v>
      </c>
      <c r="C23" s="573"/>
      <c r="D23" s="574"/>
      <c r="E23" s="575"/>
      <c r="F23" s="572">
        <f>G23*$U$6</f>
        <v>120</v>
      </c>
      <c r="G23" s="14">
        <v>4</v>
      </c>
      <c r="H23" s="578">
        <f>J23*J24</f>
        <v>6000000</v>
      </c>
      <c r="I23" s="574" t="s">
        <v>1810</v>
      </c>
      <c r="J23" s="575">
        <v>2000000</v>
      </c>
      <c r="K23" s="572">
        <v>120</v>
      </c>
      <c r="L23" s="576" t="s">
        <v>1811</v>
      </c>
      <c r="M23" s="577">
        <v>1</v>
      </c>
      <c r="N23" s="554"/>
      <c r="O23" s="334"/>
      <c r="P23" s="345"/>
      <c r="Q23" s="492"/>
      <c r="R23" s="492"/>
      <c r="S23" s="498"/>
    </row>
    <row r="24" spans="1:19" x14ac:dyDescent="0.3">
      <c r="A24" s="552"/>
      <c r="B24" s="572"/>
      <c r="C24" s="573"/>
      <c r="D24" s="574"/>
      <c r="E24" s="575"/>
      <c r="F24" s="572"/>
      <c r="G24" s="576" t="s">
        <v>1812</v>
      </c>
      <c r="H24" s="572"/>
      <c r="I24" s="574" t="s">
        <v>1813</v>
      </c>
      <c r="J24" s="574">
        <v>3</v>
      </c>
      <c r="K24" s="572"/>
      <c r="L24" s="576"/>
      <c r="M24" s="577"/>
      <c r="N24" s="550"/>
      <c r="P24" s="334"/>
      <c r="Q24" s="493"/>
      <c r="R24" s="493"/>
      <c r="S24" s="499"/>
    </row>
    <row r="25" spans="1:19" x14ac:dyDescent="0.3">
      <c r="A25" s="552"/>
      <c r="B25" s="572"/>
      <c r="C25" s="573"/>
      <c r="D25" s="574"/>
      <c r="E25" s="575"/>
      <c r="F25" s="572"/>
      <c r="G25" s="576"/>
      <c r="H25" s="572"/>
      <c r="I25" s="574"/>
      <c r="J25" s="574"/>
      <c r="K25" s="572"/>
      <c r="L25" s="576"/>
      <c r="M25" s="577"/>
      <c r="N25" s="551"/>
      <c r="O25" s="334"/>
      <c r="P25" s="334"/>
      <c r="Q25" s="494"/>
      <c r="R25" s="494"/>
      <c r="S25" s="500"/>
    </row>
    <row r="26" spans="1:19" x14ac:dyDescent="0.3">
      <c r="A26" s="552"/>
      <c r="B26" s="572">
        <v>5</v>
      </c>
      <c r="C26" s="573">
        <f>E27*E26</f>
        <v>150000000</v>
      </c>
      <c r="D26" s="574" t="s">
        <v>1814</v>
      </c>
      <c r="E26" s="575">
        <v>50</v>
      </c>
      <c r="F26" s="572">
        <f>G26*$U$6</f>
        <v>360</v>
      </c>
      <c r="G26" s="14">
        <v>12</v>
      </c>
      <c r="H26" s="578">
        <f>J26*J27</f>
        <v>150000000</v>
      </c>
      <c r="I26" s="574" t="s">
        <v>1814</v>
      </c>
      <c r="J26" s="575">
        <v>50</v>
      </c>
      <c r="K26" s="572">
        <v>180</v>
      </c>
      <c r="L26" s="576" t="s">
        <v>1815</v>
      </c>
      <c r="M26" s="577">
        <v>1</v>
      </c>
      <c r="N26" s="554">
        <f>P28*P27*P26</f>
        <v>25000000</v>
      </c>
      <c r="O26" s="334" t="s">
        <v>1814</v>
      </c>
      <c r="P26" s="333">
        <v>50</v>
      </c>
      <c r="Q26" s="492"/>
      <c r="R26" s="492"/>
      <c r="S26" s="498"/>
    </row>
    <row r="27" spans="1:19" x14ac:dyDescent="0.3">
      <c r="A27" s="552"/>
      <c r="B27" s="572"/>
      <c r="C27" s="573"/>
      <c r="D27" s="574" t="s">
        <v>1816</v>
      </c>
      <c r="E27" s="575">
        <v>3000000</v>
      </c>
      <c r="F27" s="572"/>
      <c r="G27" s="576" t="s">
        <v>1817</v>
      </c>
      <c r="H27" s="572"/>
      <c r="I27" s="574" t="s">
        <v>1816</v>
      </c>
      <c r="J27" s="575">
        <v>3000000</v>
      </c>
      <c r="K27" s="572"/>
      <c r="L27" s="576"/>
      <c r="M27" s="577"/>
      <c r="N27" s="550"/>
      <c r="O27" s="334" t="s">
        <v>1805</v>
      </c>
      <c r="P27" s="338">
        <v>0.5</v>
      </c>
      <c r="Q27" s="493"/>
      <c r="R27" s="493"/>
      <c r="S27" s="499"/>
    </row>
    <row r="28" spans="1:19" x14ac:dyDescent="0.3">
      <c r="A28" s="552"/>
      <c r="B28" s="572"/>
      <c r="C28" s="573"/>
      <c r="D28" s="574"/>
      <c r="E28" s="575"/>
      <c r="F28" s="572"/>
      <c r="G28" s="576"/>
      <c r="H28" s="572"/>
      <c r="I28" s="574"/>
      <c r="J28" s="574"/>
      <c r="K28" s="572"/>
      <c r="L28" s="576"/>
      <c r="M28" s="577"/>
      <c r="N28" s="551"/>
      <c r="O28" s="334" t="s">
        <v>1818</v>
      </c>
      <c r="P28" s="333">
        <v>1000000</v>
      </c>
      <c r="Q28" s="494"/>
      <c r="R28" s="494"/>
      <c r="S28" s="500"/>
    </row>
    <row r="29" spans="1:19" x14ac:dyDescent="0.3">
      <c r="A29" s="552"/>
      <c r="B29" s="572">
        <v>6</v>
      </c>
      <c r="C29" s="573"/>
      <c r="D29" s="574"/>
      <c r="E29" s="575"/>
      <c r="F29" s="572">
        <f>G29*$U$6</f>
        <v>180</v>
      </c>
      <c r="G29" s="14">
        <v>6</v>
      </c>
      <c r="H29" s="578">
        <f>J29*J30*J31</f>
        <v>8000000</v>
      </c>
      <c r="I29" s="579" t="s">
        <v>1819</v>
      </c>
      <c r="J29" s="575">
        <v>1600</v>
      </c>
      <c r="K29" s="572"/>
      <c r="L29" s="14"/>
      <c r="M29" s="580"/>
      <c r="N29" s="554"/>
      <c r="O29" s="334"/>
      <c r="P29" s="345"/>
      <c r="Q29" s="492"/>
      <c r="R29" s="335"/>
      <c r="S29" s="498"/>
    </row>
    <row r="30" spans="1:19" x14ac:dyDescent="0.3">
      <c r="A30" s="552"/>
      <c r="B30" s="572"/>
      <c r="C30" s="573"/>
      <c r="D30" s="574"/>
      <c r="E30" s="575"/>
      <c r="F30" s="572"/>
      <c r="G30" s="576"/>
      <c r="H30" s="572"/>
      <c r="I30" s="579" t="s">
        <v>1819</v>
      </c>
      <c r="J30" s="575">
        <v>2</v>
      </c>
      <c r="K30" s="572"/>
      <c r="L30" s="576"/>
      <c r="M30" s="581"/>
      <c r="N30" s="550"/>
      <c r="P30" s="334"/>
      <c r="Q30" s="493"/>
      <c r="R30" s="495"/>
      <c r="S30" s="499"/>
    </row>
    <row r="31" spans="1:19" x14ac:dyDescent="0.3">
      <c r="A31" s="552"/>
      <c r="B31" s="572"/>
      <c r="C31" s="573"/>
      <c r="D31" s="574"/>
      <c r="E31" s="575"/>
      <c r="F31" s="572"/>
      <c r="G31" s="576"/>
      <c r="H31" s="572"/>
      <c r="I31" s="579" t="s">
        <v>1819</v>
      </c>
      <c r="J31" s="575">
        <v>2500</v>
      </c>
      <c r="K31" s="572"/>
      <c r="L31" s="576"/>
      <c r="M31" s="581"/>
      <c r="N31" s="551"/>
      <c r="O31" s="334"/>
      <c r="P31" s="334"/>
      <c r="Q31" s="494"/>
      <c r="R31" s="496"/>
      <c r="S31" s="500"/>
    </row>
    <row r="32" spans="1:19" x14ac:dyDescent="0.3">
      <c r="A32" s="552"/>
      <c r="B32" s="572">
        <v>7</v>
      </c>
      <c r="C32" s="573"/>
      <c r="D32" s="574"/>
      <c r="E32" s="575"/>
      <c r="F32" s="572"/>
      <c r="G32" s="14"/>
      <c r="H32" s="578"/>
      <c r="I32" s="579"/>
      <c r="J32" s="575"/>
      <c r="K32" s="572"/>
      <c r="L32" s="14"/>
      <c r="M32" s="580"/>
      <c r="N32" s="554"/>
      <c r="O32" s="334"/>
      <c r="P32" s="345"/>
      <c r="Q32" s="492"/>
      <c r="R32" s="335"/>
      <c r="S32" s="355"/>
    </row>
    <row r="33" spans="1:19" x14ac:dyDescent="0.3">
      <c r="A33" s="552"/>
      <c r="B33" s="572"/>
      <c r="C33" s="573"/>
      <c r="D33" s="574"/>
      <c r="E33" s="575"/>
      <c r="F33" s="572"/>
      <c r="G33" s="576"/>
      <c r="H33" s="572"/>
      <c r="I33" s="579"/>
      <c r="J33" s="575"/>
      <c r="K33" s="572"/>
      <c r="L33" s="576"/>
      <c r="M33" s="581"/>
      <c r="N33" s="550"/>
      <c r="P33" s="334"/>
      <c r="Q33" s="493"/>
      <c r="R33" s="495"/>
      <c r="S33" s="355"/>
    </row>
    <row r="34" spans="1:19" x14ac:dyDescent="0.3">
      <c r="A34" s="552"/>
      <c r="B34" s="572"/>
      <c r="C34" s="573"/>
      <c r="D34" s="574"/>
      <c r="E34" s="575"/>
      <c r="F34" s="572"/>
      <c r="G34" s="576"/>
      <c r="H34" s="572"/>
      <c r="I34" s="579"/>
      <c r="J34" s="575"/>
      <c r="K34" s="572"/>
      <c r="L34" s="576"/>
      <c r="M34" s="581"/>
      <c r="N34" s="551"/>
      <c r="O34" s="334"/>
      <c r="P34" s="334"/>
      <c r="Q34" s="494"/>
      <c r="R34" s="496"/>
      <c r="S34" s="355"/>
    </row>
    <row r="35" spans="1:19" x14ac:dyDescent="0.3">
      <c r="A35" s="552"/>
      <c r="B35" s="572">
        <v>8</v>
      </c>
      <c r="C35" s="573"/>
      <c r="D35" s="574"/>
      <c r="E35" s="575"/>
      <c r="F35" s="572">
        <f>G35*$U$6</f>
        <v>180</v>
      </c>
      <c r="G35" s="14">
        <v>6</v>
      </c>
      <c r="H35" s="572"/>
      <c r="I35" s="574"/>
      <c r="J35" s="574"/>
      <c r="K35" s="572">
        <v>30</v>
      </c>
      <c r="L35" s="576" t="s">
        <v>1796</v>
      </c>
      <c r="M35" s="577">
        <v>1</v>
      </c>
      <c r="N35" s="554"/>
      <c r="O35" s="334"/>
      <c r="P35" s="345"/>
      <c r="Q35" s="492"/>
      <c r="R35" s="492"/>
      <c r="S35" s="498"/>
    </row>
    <row r="36" spans="1:19" x14ac:dyDescent="0.3">
      <c r="A36" s="552"/>
      <c r="B36" s="572"/>
      <c r="C36" s="573"/>
      <c r="D36" s="574"/>
      <c r="E36" s="575"/>
      <c r="F36" s="572"/>
      <c r="G36" s="576" t="s">
        <v>1797</v>
      </c>
      <c r="H36" s="572"/>
      <c r="I36" s="574"/>
      <c r="J36" s="574"/>
      <c r="K36" s="572"/>
      <c r="L36" s="576"/>
      <c r="M36" s="577"/>
      <c r="N36" s="550"/>
      <c r="P36" s="334"/>
      <c r="Q36" s="493"/>
      <c r="R36" s="493"/>
      <c r="S36" s="499"/>
    </row>
    <row r="37" spans="1:19" x14ac:dyDescent="0.3">
      <c r="A37" s="552"/>
      <c r="B37" s="572"/>
      <c r="C37" s="573"/>
      <c r="D37" s="574"/>
      <c r="E37" s="575"/>
      <c r="F37" s="572"/>
      <c r="G37" s="576"/>
      <c r="H37" s="572"/>
      <c r="I37" s="574"/>
      <c r="J37" s="574"/>
      <c r="K37" s="572"/>
      <c r="L37" s="576"/>
      <c r="M37" s="577"/>
      <c r="N37" s="551"/>
      <c r="O37" s="334"/>
      <c r="P37" s="334"/>
      <c r="Q37" s="494"/>
      <c r="R37" s="494"/>
      <c r="S37" s="500"/>
    </row>
    <row r="38" spans="1:19" ht="14.4" customHeight="1" x14ac:dyDescent="0.3">
      <c r="A38" s="552"/>
      <c r="B38" s="572">
        <v>9</v>
      </c>
      <c r="C38" s="573"/>
      <c r="D38" s="574"/>
      <c r="E38" s="575"/>
      <c r="F38" s="572">
        <f>G38*$U$6</f>
        <v>1200</v>
      </c>
      <c r="G38" s="14">
        <v>40</v>
      </c>
      <c r="H38" s="572"/>
      <c r="I38" s="574"/>
      <c r="J38" s="574"/>
      <c r="K38" s="572">
        <v>45</v>
      </c>
      <c r="L38" s="576" t="s">
        <v>1794</v>
      </c>
      <c r="M38" s="577">
        <v>0.05</v>
      </c>
      <c r="N38" s="554"/>
      <c r="O38" s="334"/>
      <c r="P38" s="345"/>
      <c r="Q38" s="492">
        <v>30</v>
      </c>
      <c r="R38" s="492"/>
      <c r="S38" s="498">
        <v>1</v>
      </c>
    </row>
    <row r="39" spans="1:19" ht="12" customHeight="1" x14ac:dyDescent="0.3">
      <c r="A39" s="552"/>
      <c r="B39" s="572"/>
      <c r="C39" s="573"/>
      <c r="D39" s="574"/>
      <c r="E39" s="575"/>
      <c r="F39" s="572"/>
      <c r="G39" s="576" t="s">
        <v>1795</v>
      </c>
      <c r="H39" s="572"/>
      <c r="I39" s="574"/>
      <c r="J39" s="574"/>
      <c r="K39" s="572"/>
      <c r="L39" s="576"/>
      <c r="M39" s="577"/>
      <c r="N39" s="550"/>
      <c r="P39" s="334"/>
      <c r="Q39" s="493"/>
      <c r="R39" s="493"/>
      <c r="S39" s="499"/>
    </row>
    <row r="40" spans="1:19" x14ac:dyDescent="0.3">
      <c r="A40" s="552"/>
      <c r="B40" s="572"/>
      <c r="C40" s="573"/>
      <c r="D40" s="574"/>
      <c r="E40" s="575"/>
      <c r="F40" s="572"/>
      <c r="G40" s="576"/>
      <c r="H40" s="572"/>
      <c r="I40" s="574"/>
      <c r="J40" s="574"/>
      <c r="K40" s="572"/>
      <c r="L40" s="576"/>
      <c r="M40" s="577"/>
      <c r="N40" s="551"/>
      <c r="O40" s="334"/>
      <c r="P40" s="334"/>
      <c r="Q40" s="494"/>
      <c r="R40" s="494"/>
      <c r="S40" s="500"/>
    </row>
    <row r="41" spans="1:19" x14ac:dyDescent="0.3">
      <c r="A41" s="552"/>
      <c r="B41" s="572">
        <v>10</v>
      </c>
      <c r="C41" s="573"/>
      <c r="D41" s="574"/>
      <c r="E41" s="575"/>
      <c r="F41" s="572">
        <f>G41*$U$6</f>
        <v>180</v>
      </c>
      <c r="G41" s="14">
        <v>6</v>
      </c>
      <c r="H41" s="572"/>
      <c r="I41" s="574"/>
      <c r="J41" s="574"/>
      <c r="K41" s="572"/>
      <c r="L41" s="576"/>
      <c r="M41" s="577"/>
      <c r="N41" s="554"/>
      <c r="O41" s="334"/>
      <c r="P41" s="345"/>
      <c r="Q41" s="492"/>
      <c r="R41" s="492"/>
      <c r="S41" s="498"/>
    </row>
    <row r="42" spans="1:19" x14ac:dyDescent="0.3">
      <c r="A42" s="552"/>
      <c r="B42" s="572"/>
      <c r="C42" s="573"/>
      <c r="D42" s="574"/>
      <c r="E42" s="575"/>
      <c r="F42" s="572"/>
      <c r="G42" s="576" t="s">
        <v>1798</v>
      </c>
      <c r="H42" s="572"/>
      <c r="I42" s="574"/>
      <c r="J42" s="574"/>
      <c r="K42" s="572"/>
      <c r="L42" s="576"/>
      <c r="M42" s="577"/>
      <c r="N42" s="550"/>
      <c r="P42" s="334"/>
      <c r="Q42" s="493"/>
      <c r="R42" s="493"/>
      <c r="S42" s="499"/>
    </row>
    <row r="43" spans="1:19" x14ac:dyDescent="0.3">
      <c r="A43" s="552"/>
      <c r="B43" s="572"/>
      <c r="C43" s="573"/>
      <c r="D43" s="574"/>
      <c r="E43" s="575"/>
      <c r="F43" s="572"/>
      <c r="G43" s="576"/>
      <c r="H43" s="572"/>
      <c r="I43" s="574"/>
      <c r="J43" s="574"/>
      <c r="K43" s="572"/>
      <c r="L43" s="576"/>
      <c r="M43" s="577"/>
      <c r="N43" s="551"/>
      <c r="O43" s="334"/>
      <c r="P43" s="334"/>
      <c r="Q43" s="494"/>
      <c r="R43" s="494"/>
      <c r="S43" s="500"/>
    </row>
    <row r="44" spans="1:19" x14ac:dyDescent="0.3">
      <c r="A44" s="552"/>
      <c r="B44" s="572">
        <v>11</v>
      </c>
      <c r="C44" s="573"/>
      <c r="D44" s="574"/>
      <c r="E44" s="575"/>
      <c r="F44" s="572">
        <f>G44*$U$6</f>
        <v>90</v>
      </c>
      <c r="G44" s="14">
        <v>3</v>
      </c>
      <c r="H44" s="572"/>
      <c r="I44" s="574"/>
      <c r="J44" s="574"/>
      <c r="K44" s="572"/>
      <c r="L44" s="576"/>
      <c r="M44" s="577"/>
      <c r="N44" s="554"/>
      <c r="O44" s="334"/>
      <c r="P44" s="345"/>
      <c r="Q44" s="492">
        <v>30</v>
      </c>
      <c r="R44" s="497" t="s">
        <v>1801</v>
      </c>
      <c r="S44" s="349"/>
    </row>
    <row r="45" spans="1:19" x14ac:dyDescent="0.3">
      <c r="A45" s="552"/>
      <c r="B45" s="572"/>
      <c r="C45" s="573"/>
      <c r="D45" s="574"/>
      <c r="E45" s="575"/>
      <c r="F45" s="572"/>
      <c r="G45" s="576" t="s">
        <v>1802</v>
      </c>
      <c r="H45" s="572"/>
      <c r="I45" s="574"/>
      <c r="J45" s="574"/>
      <c r="K45" s="572"/>
      <c r="L45" s="576"/>
      <c r="M45" s="577"/>
      <c r="N45" s="550"/>
      <c r="P45" s="334"/>
      <c r="Q45" s="493"/>
      <c r="R45" s="495"/>
      <c r="S45" s="490"/>
    </row>
    <row r="46" spans="1:19" x14ac:dyDescent="0.3">
      <c r="A46" s="552"/>
      <c r="B46" s="572"/>
      <c r="C46" s="573"/>
      <c r="D46" s="574"/>
      <c r="E46" s="575"/>
      <c r="F46" s="572"/>
      <c r="G46" s="576"/>
      <c r="H46" s="572"/>
      <c r="I46" s="574"/>
      <c r="J46" s="574"/>
      <c r="K46" s="572"/>
      <c r="L46" s="576"/>
      <c r="M46" s="577"/>
      <c r="N46" s="551"/>
      <c r="O46" s="334"/>
      <c r="P46" s="334"/>
      <c r="Q46" s="494"/>
      <c r="R46" s="496"/>
      <c r="S46" s="491"/>
    </row>
    <row r="47" spans="1:19" x14ac:dyDescent="0.3">
      <c r="A47" s="552"/>
      <c r="B47" s="572">
        <v>12</v>
      </c>
      <c r="C47" s="573"/>
      <c r="D47" s="574"/>
      <c r="E47" s="575"/>
      <c r="F47" s="572">
        <f>G47*$U$6</f>
        <v>360</v>
      </c>
      <c r="G47" s="14">
        <v>12</v>
      </c>
      <c r="H47" s="572"/>
      <c r="I47" s="574"/>
      <c r="J47" s="574"/>
      <c r="K47" s="572"/>
      <c r="L47" s="576"/>
      <c r="M47" s="577"/>
      <c r="N47" s="554"/>
      <c r="O47" s="334"/>
      <c r="P47" s="345"/>
      <c r="Q47" s="492">
        <v>360</v>
      </c>
      <c r="R47" s="492"/>
      <c r="S47" s="498">
        <v>1</v>
      </c>
    </row>
    <row r="48" spans="1:19" x14ac:dyDescent="0.3">
      <c r="A48" s="552"/>
      <c r="B48" s="572"/>
      <c r="C48" s="573"/>
      <c r="D48" s="574"/>
      <c r="E48" s="575"/>
      <c r="F48" s="572"/>
      <c r="G48" s="576" t="s">
        <v>1800</v>
      </c>
      <c r="H48" s="572"/>
      <c r="I48" s="574"/>
      <c r="J48" s="574"/>
      <c r="K48" s="572"/>
      <c r="L48" s="576"/>
      <c r="M48" s="577"/>
      <c r="N48" s="550"/>
      <c r="P48" s="334"/>
      <c r="Q48" s="493"/>
      <c r="R48" s="493"/>
      <c r="S48" s="499"/>
    </row>
    <row r="49" spans="1:19" x14ac:dyDescent="0.3">
      <c r="A49" s="552"/>
      <c r="B49" s="572"/>
      <c r="C49" s="573"/>
      <c r="D49" s="574"/>
      <c r="E49" s="575"/>
      <c r="F49" s="572"/>
      <c r="G49" s="576"/>
      <c r="H49" s="572"/>
      <c r="I49" s="574"/>
      <c r="J49" s="574"/>
      <c r="K49" s="572"/>
      <c r="L49" s="576"/>
      <c r="M49" s="577"/>
      <c r="N49" s="551"/>
      <c r="O49" s="334"/>
      <c r="P49" s="334"/>
      <c r="Q49" s="494"/>
      <c r="R49" s="494"/>
      <c r="S49" s="500"/>
    </row>
    <row r="50" spans="1:19" x14ac:dyDescent="0.3">
      <c r="A50" s="552"/>
      <c r="B50" s="572">
        <v>13</v>
      </c>
      <c r="C50" s="573"/>
      <c r="D50" s="574"/>
      <c r="E50" s="575"/>
      <c r="F50" s="572">
        <f>G50*$U$6</f>
        <v>30</v>
      </c>
      <c r="G50" s="14">
        <v>1</v>
      </c>
      <c r="H50" s="572"/>
      <c r="I50" s="574"/>
      <c r="J50" s="574"/>
      <c r="K50" s="572"/>
      <c r="L50" s="14"/>
      <c r="M50" s="580"/>
      <c r="N50" s="554"/>
      <c r="O50" s="334"/>
      <c r="P50" s="345"/>
      <c r="Q50" s="492">
        <v>30</v>
      </c>
      <c r="R50" s="497" t="s">
        <v>1820</v>
      </c>
      <c r="S50" s="498">
        <v>1</v>
      </c>
    </row>
    <row r="51" spans="1:19" x14ac:dyDescent="0.3">
      <c r="A51" s="552"/>
      <c r="B51" s="572"/>
      <c r="C51" s="573"/>
      <c r="D51" s="574"/>
      <c r="E51" s="575"/>
      <c r="F51" s="572"/>
      <c r="G51" s="576"/>
      <c r="H51" s="572"/>
      <c r="I51" s="574"/>
      <c r="J51" s="574"/>
      <c r="K51" s="572"/>
      <c r="L51" s="576"/>
      <c r="M51" s="581"/>
      <c r="N51" s="550"/>
      <c r="P51" s="334"/>
      <c r="Q51" s="493"/>
      <c r="R51" s="495"/>
      <c r="S51" s="499"/>
    </row>
    <row r="52" spans="1:19" x14ac:dyDescent="0.3">
      <c r="A52" s="552"/>
      <c r="B52" s="572"/>
      <c r="C52" s="573"/>
      <c r="D52" s="574"/>
      <c r="E52" s="575"/>
      <c r="F52" s="572"/>
      <c r="G52" s="576"/>
      <c r="H52" s="572"/>
      <c r="I52" s="574"/>
      <c r="J52" s="574"/>
      <c r="K52" s="572"/>
      <c r="L52" s="576"/>
      <c r="M52" s="581"/>
      <c r="N52" s="551"/>
      <c r="O52" s="334"/>
      <c r="P52" s="334"/>
      <c r="Q52" s="494"/>
      <c r="R52" s="496"/>
      <c r="S52" s="500"/>
    </row>
    <row r="53" spans="1:19" x14ac:dyDescent="0.3">
      <c r="A53" s="552"/>
      <c r="B53" s="572">
        <v>14</v>
      </c>
      <c r="C53" s="573"/>
      <c r="D53" s="574"/>
      <c r="E53" s="575"/>
      <c r="F53" s="572">
        <f>G53*$U$6</f>
        <v>120</v>
      </c>
      <c r="G53" s="14">
        <v>4</v>
      </c>
      <c r="H53" s="572"/>
      <c r="I53" s="574"/>
      <c r="J53" s="574"/>
      <c r="K53" s="572"/>
      <c r="L53" s="14"/>
      <c r="M53" s="580"/>
      <c r="N53" s="554"/>
      <c r="O53" s="334"/>
      <c r="P53" s="345"/>
      <c r="Q53" s="492">
        <v>120</v>
      </c>
      <c r="R53" s="497" t="s">
        <v>1821</v>
      </c>
      <c r="S53" s="498">
        <v>1</v>
      </c>
    </row>
    <row r="54" spans="1:19" x14ac:dyDescent="0.3">
      <c r="A54" s="552"/>
      <c r="B54" s="572"/>
      <c r="C54" s="573"/>
      <c r="D54" s="574"/>
      <c r="E54" s="575"/>
      <c r="F54" s="572"/>
      <c r="G54" s="576"/>
      <c r="H54" s="572"/>
      <c r="I54" s="574"/>
      <c r="J54" s="574"/>
      <c r="K54" s="572"/>
      <c r="L54" s="576"/>
      <c r="M54" s="581"/>
      <c r="N54" s="550"/>
      <c r="P54" s="334"/>
      <c r="Q54" s="493"/>
      <c r="R54" s="495"/>
      <c r="S54" s="499"/>
    </row>
    <row r="55" spans="1:19" x14ac:dyDescent="0.3">
      <c r="A55" s="552"/>
      <c r="B55" s="572"/>
      <c r="C55" s="573"/>
      <c r="D55" s="574"/>
      <c r="E55" s="575"/>
      <c r="F55" s="572"/>
      <c r="G55" s="576"/>
      <c r="H55" s="572"/>
      <c r="I55" s="574"/>
      <c r="J55" s="574"/>
      <c r="K55" s="572"/>
      <c r="L55" s="576"/>
      <c r="M55" s="581"/>
      <c r="N55" s="551"/>
      <c r="O55" s="334"/>
      <c r="P55" s="334"/>
      <c r="Q55" s="494"/>
      <c r="R55" s="496"/>
      <c r="S55" s="500"/>
    </row>
    <row r="56" spans="1:19" x14ac:dyDescent="0.3">
      <c r="A56" s="552"/>
      <c r="B56" s="572">
        <v>15</v>
      </c>
      <c r="C56" s="573"/>
      <c r="D56" s="574"/>
      <c r="E56" s="575"/>
      <c r="F56" s="572">
        <f>G56*$U$6</f>
        <v>60</v>
      </c>
      <c r="G56" s="14">
        <v>2</v>
      </c>
      <c r="H56" s="572"/>
      <c r="I56" s="574"/>
      <c r="J56" s="574"/>
      <c r="K56" s="14"/>
      <c r="L56" s="14"/>
      <c r="M56" s="580"/>
      <c r="N56" s="554"/>
      <c r="O56" s="334"/>
      <c r="P56" s="345"/>
      <c r="Q56" s="352"/>
      <c r="R56" s="335"/>
      <c r="S56" s="349"/>
    </row>
    <row r="57" spans="1:19" x14ac:dyDescent="0.3">
      <c r="A57" s="552"/>
      <c r="B57" s="572"/>
      <c r="C57" s="573"/>
      <c r="D57" s="574"/>
      <c r="E57" s="575"/>
      <c r="F57" s="572"/>
      <c r="G57" s="576"/>
      <c r="H57" s="572"/>
      <c r="I57" s="574"/>
      <c r="J57" s="574"/>
      <c r="K57" s="14"/>
      <c r="L57" s="576"/>
      <c r="M57" s="581"/>
      <c r="N57" s="550"/>
      <c r="P57" s="334"/>
      <c r="Q57" s="336"/>
      <c r="R57" s="495"/>
      <c r="S57" s="490"/>
    </row>
    <row r="58" spans="1:19" x14ac:dyDescent="0.3">
      <c r="A58" s="552"/>
      <c r="B58" s="572"/>
      <c r="C58" s="573"/>
      <c r="D58" s="574"/>
      <c r="E58" s="575"/>
      <c r="F58" s="572"/>
      <c r="G58" s="576"/>
      <c r="H58" s="572"/>
      <c r="I58" s="574"/>
      <c r="J58" s="574"/>
      <c r="K58" s="14"/>
      <c r="L58" s="576"/>
      <c r="M58" s="581"/>
      <c r="N58" s="551"/>
      <c r="O58" s="334"/>
      <c r="P58" s="334"/>
      <c r="Q58" s="337"/>
      <c r="R58" s="496"/>
      <c r="S58" s="491"/>
    </row>
    <row r="59" spans="1:19" x14ac:dyDescent="0.3">
      <c r="A59" s="552"/>
      <c r="B59" s="572">
        <v>16</v>
      </c>
      <c r="C59" s="573"/>
      <c r="D59" s="574"/>
      <c r="E59" s="575"/>
      <c r="F59" s="572">
        <f>G59*$U$6</f>
        <v>60</v>
      </c>
      <c r="G59" s="14">
        <v>2</v>
      </c>
      <c r="H59" s="572"/>
      <c r="I59" s="574"/>
      <c r="J59" s="574"/>
      <c r="K59" s="14"/>
      <c r="L59" s="14"/>
      <c r="M59" s="580"/>
      <c r="N59" s="554"/>
      <c r="O59" s="334"/>
      <c r="P59" s="345"/>
      <c r="Q59" s="352"/>
      <c r="R59" s="335"/>
      <c r="S59" s="349"/>
    </row>
    <row r="60" spans="1:19" x14ac:dyDescent="0.3">
      <c r="A60" s="552"/>
      <c r="B60" s="572"/>
      <c r="C60" s="573"/>
      <c r="D60" s="574"/>
      <c r="E60" s="575"/>
      <c r="F60" s="572"/>
      <c r="G60" s="576"/>
      <c r="H60" s="572"/>
      <c r="I60" s="574"/>
      <c r="J60" s="574"/>
      <c r="K60" s="14"/>
      <c r="L60" s="576"/>
      <c r="M60" s="581"/>
      <c r="N60" s="550"/>
      <c r="P60" s="334"/>
      <c r="Q60" s="336"/>
      <c r="R60" s="495"/>
      <c r="S60" s="490"/>
    </row>
    <row r="61" spans="1:19" x14ac:dyDescent="0.3">
      <c r="A61" s="552"/>
      <c r="B61" s="572"/>
      <c r="C61" s="573"/>
      <c r="D61" s="574"/>
      <c r="E61" s="575"/>
      <c r="F61" s="572"/>
      <c r="G61" s="576"/>
      <c r="H61" s="572"/>
      <c r="I61" s="574"/>
      <c r="J61" s="574"/>
      <c r="K61" s="14"/>
      <c r="L61" s="576"/>
      <c r="M61" s="581"/>
      <c r="N61" s="551"/>
      <c r="O61" s="334"/>
      <c r="P61" s="334"/>
      <c r="Q61" s="337"/>
      <c r="R61" s="496"/>
      <c r="S61" s="491"/>
    </row>
    <row r="62" spans="1:19" x14ac:dyDescent="0.3">
      <c r="A62" s="552"/>
      <c r="B62" s="572">
        <v>17</v>
      </c>
      <c r="C62" s="573"/>
      <c r="D62" s="574"/>
      <c r="E62" s="575"/>
      <c r="F62" s="572"/>
      <c r="G62" s="14"/>
      <c r="H62" s="572"/>
      <c r="I62" s="574"/>
      <c r="J62" s="574"/>
      <c r="K62" s="14"/>
      <c r="L62" s="14"/>
      <c r="M62" s="580"/>
      <c r="N62" s="554"/>
      <c r="O62" s="334"/>
      <c r="P62" s="345"/>
      <c r="Q62" s="352"/>
      <c r="R62" s="335"/>
      <c r="S62" s="349"/>
    </row>
    <row r="63" spans="1:19" x14ac:dyDescent="0.3">
      <c r="A63" s="552"/>
      <c r="B63" s="572"/>
      <c r="C63" s="573"/>
      <c r="D63" s="574"/>
      <c r="E63" s="575"/>
      <c r="F63" s="572"/>
      <c r="G63" s="576"/>
      <c r="H63" s="572"/>
      <c r="I63" s="574"/>
      <c r="J63" s="574"/>
      <c r="K63" s="14"/>
      <c r="L63" s="576"/>
      <c r="M63" s="581"/>
      <c r="N63" s="550"/>
      <c r="P63" s="334"/>
      <c r="Q63" s="336"/>
      <c r="R63" s="495"/>
      <c r="S63" s="490"/>
    </row>
    <row r="64" spans="1:19" x14ac:dyDescent="0.3">
      <c r="A64" s="552"/>
      <c r="B64" s="572"/>
      <c r="C64" s="573"/>
      <c r="D64" s="574"/>
      <c r="E64" s="575"/>
      <c r="F64" s="572"/>
      <c r="G64" s="576"/>
      <c r="H64" s="572"/>
      <c r="I64" s="574"/>
      <c r="J64" s="574"/>
      <c r="K64" s="14"/>
      <c r="L64" s="576"/>
      <c r="M64" s="581"/>
      <c r="N64" s="551"/>
      <c r="O64" s="334"/>
      <c r="P64" s="334"/>
      <c r="Q64" s="337"/>
      <c r="R64" s="496"/>
      <c r="S64" s="491"/>
    </row>
    <row r="65" spans="1:19" x14ac:dyDescent="0.3">
      <c r="A65" s="552"/>
      <c r="B65" s="572">
        <v>18</v>
      </c>
      <c r="C65" s="573"/>
      <c r="D65" s="574"/>
      <c r="E65" s="575"/>
      <c r="F65" s="572"/>
      <c r="G65" s="14"/>
      <c r="H65" s="572"/>
      <c r="I65" s="574"/>
      <c r="J65" s="574"/>
      <c r="K65" s="14"/>
      <c r="L65" s="14"/>
      <c r="M65" s="580"/>
      <c r="N65" s="554"/>
      <c r="O65" s="334"/>
      <c r="P65" s="345"/>
      <c r="Q65" s="352"/>
      <c r="R65" s="335"/>
      <c r="S65" s="349"/>
    </row>
    <row r="66" spans="1:19" x14ac:dyDescent="0.3">
      <c r="A66" s="552"/>
      <c r="B66" s="572"/>
      <c r="C66" s="573"/>
      <c r="D66" s="574"/>
      <c r="E66" s="575"/>
      <c r="F66" s="572"/>
      <c r="G66" s="576"/>
      <c r="H66" s="572"/>
      <c r="I66" s="574"/>
      <c r="J66" s="574"/>
      <c r="K66" s="14"/>
      <c r="L66" s="576"/>
      <c r="M66" s="581"/>
      <c r="N66" s="550"/>
      <c r="P66" s="334"/>
      <c r="Q66" s="336"/>
      <c r="R66" s="495"/>
      <c r="S66" s="490"/>
    </row>
    <row r="67" spans="1:19" x14ac:dyDescent="0.3">
      <c r="A67" s="552"/>
      <c r="B67" s="572"/>
      <c r="C67" s="573"/>
      <c r="D67" s="574"/>
      <c r="E67" s="575"/>
      <c r="F67" s="572"/>
      <c r="G67" s="576"/>
      <c r="H67" s="572"/>
      <c r="I67" s="574"/>
      <c r="J67" s="574"/>
      <c r="K67" s="14"/>
      <c r="L67" s="576"/>
      <c r="M67" s="581"/>
      <c r="N67" s="551"/>
      <c r="O67" s="334"/>
      <c r="P67" s="334"/>
      <c r="Q67" s="337"/>
      <c r="R67" s="496"/>
      <c r="S67" s="491"/>
    </row>
    <row r="68" spans="1:19" x14ac:dyDescent="0.3">
      <c r="A68" s="552"/>
      <c r="B68" s="572">
        <v>19</v>
      </c>
      <c r="C68" s="573">
        <f>E68*E69</f>
        <v>1400000000</v>
      </c>
      <c r="D68" s="574" t="s">
        <v>1803</v>
      </c>
      <c r="E68" s="575">
        <v>14000000000</v>
      </c>
      <c r="F68" s="572">
        <f>G68*$U$6</f>
        <v>180</v>
      </c>
      <c r="G68" s="14">
        <v>6</v>
      </c>
      <c r="H68" s="572"/>
      <c r="I68" s="574" t="s">
        <v>1734</v>
      </c>
      <c r="J68" s="574"/>
      <c r="K68" s="572"/>
      <c r="L68" s="576"/>
      <c r="M68" s="580"/>
      <c r="N68" s="554"/>
      <c r="O68" s="334"/>
      <c r="P68" s="345"/>
      <c r="Q68" s="492">
        <v>60</v>
      </c>
      <c r="R68" s="497" t="s">
        <v>1804</v>
      </c>
      <c r="S68" s="349"/>
    </row>
    <row r="69" spans="1:19" x14ac:dyDescent="0.3">
      <c r="A69" s="552"/>
      <c r="B69" s="572"/>
      <c r="C69" s="573"/>
      <c r="D69" s="574" t="s">
        <v>1805</v>
      </c>
      <c r="E69" s="582">
        <v>0.1</v>
      </c>
      <c r="F69" s="572"/>
      <c r="G69" s="576" t="s">
        <v>1806</v>
      </c>
      <c r="H69" s="572"/>
      <c r="I69" s="574" t="s">
        <v>1807</v>
      </c>
      <c r="J69" s="574"/>
      <c r="K69" s="572"/>
      <c r="L69" s="576"/>
      <c r="M69" s="581"/>
      <c r="N69" s="550"/>
      <c r="P69" s="334"/>
      <c r="Q69" s="493"/>
      <c r="R69" s="495"/>
      <c r="S69" s="490"/>
    </row>
    <row r="70" spans="1:19" x14ac:dyDescent="0.3">
      <c r="A70" s="552"/>
      <c r="B70" s="572"/>
      <c r="C70" s="573"/>
      <c r="D70" s="574"/>
      <c r="E70" s="575"/>
      <c r="F70" s="572"/>
      <c r="G70" s="576"/>
      <c r="H70" s="572"/>
      <c r="I70" s="574"/>
      <c r="J70" s="574"/>
      <c r="K70" s="572"/>
      <c r="L70" s="576"/>
      <c r="M70" s="581"/>
      <c r="N70" s="551"/>
      <c r="O70" s="334"/>
      <c r="P70" s="334"/>
      <c r="Q70" s="494"/>
      <c r="R70" s="496"/>
      <c r="S70" s="491"/>
    </row>
    <row r="71" spans="1:19" x14ac:dyDescent="0.3">
      <c r="A71" s="552"/>
      <c r="B71" s="572">
        <v>20</v>
      </c>
      <c r="C71" s="573"/>
      <c r="D71" s="574"/>
      <c r="E71" s="575"/>
      <c r="F71" s="572">
        <f>G71*$U$6</f>
        <v>120</v>
      </c>
      <c r="G71" s="14">
        <v>4</v>
      </c>
      <c r="H71" s="572"/>
      <c r="I71" s="574"/>
      <c r="J71" s="574"/>
      <c r="K71" s="572">
        <v>90</v>
      </c>
      <c r="L71" s="14"/>
      <c r="M71" s="577">
        <v>0.05</v>
      </c>
      <c r="N71" s="554"/>
      <c r="O71" s="334"/>
      <c r="P71" s="345"/>
      <c r="Q71" s="492"/>
      <c r="R71" s="335"/>
      <c r="S71" s="498"/>
    </row>
    <row r="72" spans="1:19" x14ac:dyDescent="0.3">
      <c r="A72" s="552"/>
      <c r="B72" s="572"/>
      <c r="C72" s="573"/>
      <c r="D72" s="574"/>
      <c r="E72" s="575"/>
      <c r="F72" s="572"/>
      <c r="G72" s="576"/>
      <c r="H72" s="572"/>
      <c r="I72" s="574"/>
      <c r="J72" s="574"/>
      <c r="K72" s="572"/>
      <c r="L72" s="576"/>
      <c r="M72" s="577"/>
      <c r="N72" s="550"/>
      <c r="P72" s="334"/>
      <c r="Q72" s="493"/>
      <c r="R72" s="495"/>
      <c r="S72" s="499"/>
    </row>
    <row r="73" spans="1:19" x14ac:dyDescent="0.3">
      <c r="A73" s="552"/>
      <c r="B73" s="572"/>
      <c r="C73" s="573"/>
      <c r="D73" s="574"/>
      <c r="E73" s="575"/>
      <c r="F73" s="572"/>
      <c r="G73" s="576"/>
      <c r="H73" s="572"/>
      <c r="I73" s="574"/>
      <c r="J73" s="574"/>
      <c r="K73" s="572"/>
      <c r="L73" s="576"/>
      <c r="M73" s="577"/>
      <c r="N73" s="551"/>
      <c r="O73" s="334"/>
      <c r="P73" s="334"/>
      <c r="Q73" s="494"/>
      <c r="R73" s="496"/>
      <c r="S73" s="500"/>
    </row>
    <row r="74" spans="1:19" x14ac:dyDescent="0.3">
      <c r="A74" s="552"/>
      <c r="B74" s="572">
        <v>21</v>
      </c>
      <c r="C74" s="573"/>
      <c r="D74" s="574"/>
      <c r="E74" s="575"/>
      <c r="F74" s="572">
        <f>G74*$U$6</f>
        <v>60</v>
      </c>
      <c r="G74" s="14">
        <v>2</v>
      </c>
      <c r="H74" s="572"/>
      <c r="I74" s="574"/>
      <c r="J74" s="574"/>
      <c r="K74" s="14"/>
      <c r="L74" s="14"/>
      <c r="M74" s="580"/>
      <c r="N74" s="554"/>
      <c r="O74" s="334"/>
      <c r="P74" s="345"/>
      <c r="Q74" s="492">
        <v>60</v>
      </c>
      <c r="R74" s="335"/>
      <c r="S74" s="498">
        <v>1</v>
      </c>
    </row>
    <row r="75" spans="1:19" x14ac:dyDescent="0.3">
      <c r="A75" s="552"/>
      <c r="B75" s="572"/>
      <c r="C75" s="573"/>
      <c r="D75" s="574"/>
      <c r="E75" s="575"/>
      <c r="F75" s="572"/>
      <c r="G75" s="576"/>
      <c r="H75" s="572"/>
      <c r="I75" s="574"/>
      <c r="J75" s="574"/>
      <c r="K75" s="14"/>
      <c r="L75" s="576"/>
      <c r="M75" s="581"/>
      <c r="N75" s="550"/>
      <c r="P75" s="334"/>
      <c r="Q75" s="493"/>
      <c r="R75" s="495"/>
      <c r="S75" s="499"/>
    </row>
    <row r="76" spans="1:19" x14ac:dyDescent="0.3">
      <c r="A76" s="552"/>
      <c r="B76" s="572"/>
      <c r="C76" s="573"/>
      <c r="D76" s="574"/>
      <c r="E76" s="575"/>
      <c r="F76" s="572"/>
      <c r="G76" s="576"/>
      <c r="H76" s="572"/>
      <c r="I76" s="574"/>
      <c r="J76" s="574"/>
      <c r="K76" s="14"/>
      <c r="L76" s="576"/>
      <c r="M76" s="581"/>
      <c r="N76" s="551"/>
      <c r="O76" s="334"/>
      <c r="P76" s="334"/>
      <c r="Q76" s="494"/>
      <c r="R76" s="496"/>
      <c r="S76" s="500"/>
    </row>
    <row r="77" spans="1:19" x14ac:dyDescent="0.3">
      <c r="A77" s="552"/>
      <c r="B77" s="572">
        <v>22</v>
      </c>
      <c r="C77" s="573"/>
      <c r="D77" s="574"/>
      <c r="E77" s="575"/>
      <c r="F77" s="572">
        <f>G77*$U$6</f>
        <v>60</v>
      </c>
      <c r="G77" s="14">
        <v>2</v>
      </c>
      <c r="H77" s="572"/>
      <c r="I77" s="574"/>
      <c r="J77" s="574"/>
      <c r="K77" s="14"/>
      <c r="L77" s="14"/>
      <c r="M77" s="580"/>
      <c r="N77" s="554"/>
      <c r="O77" s="334"/>
      <c r="P77" s="345"/>
      <c r="Q77" s="492">
        <v>60</v>
      </c>
      <c r="R77" s="335"/>
      <c r="S77" s="498">
        <v>1</v>
      </c>
    </row>
    <row r="78" spans="1:19" x14ac:dyDescent="0.3">
      <c r="A78" s="552"/>
      <c r="B78" s="572"/>
      <c r="C78" s="573"/>
      <c r="D78" s="574"/>
      <c r="E78" s="575"/>
      <c r="F78" s="572"/>
      <c r="G78" s="576"/>
      <c r="H78" s="572"/>
      <c r="I78" s="574"/>
      <c r="J78" s="574"/>
      <c r="K78" s="14"/>
      <c r="L78" s="576"/>
      <c r="M78" s="581"/>
      <c r="N78" s="550"/>
      <c r="P78" s="334"/>
      <c r="Q78" s="493"/>
      <c r="R78" s="495"/>
      <c r="S78" s="499"/>
    </row>
    <row r="79" spans="1:19" x14ac:dyDescent="0.3">
      <c r="A79" s="552"/>
      <c r="B79" s="572"/>
      <c r="C79" s="573"/>
      <c r="D79" s="574"/>
      <c r="E79" s="575"/>
      <c r="F79" s="572"/>
      <c r="G79" s="576"/>
      <c r="H79" s="572"/>
      <c r="I79" s="574"/>
      <c r="J79" s="574"/>
      <c r="K79" s="14"/>
      <c r="L79" s="576"/>
      <c r="M79" s="581"/>
      <c r="N79" s="551"/>
      <c r="O79" s="334"/>
      <c r="P79" s="334"/>
      <c r="Q79" s="494"/>
      <c r="R79" s="496"/>
      <c r="S79" s="500"/>
    </row>
    <row r="80" spans="1:19" x14ac:dyDescent="0.3">
      <c r="A80" s="552"/>
      <c r="B80" s="572">
        <v>23</v>
      </c>
      <c r="C80" s="573"/>
      <c r="D80" s="574"/>
      <c r="E80" s="575"/>
      <c r="F80" s="572"/>
      <c r="G80" s="14"/>
      <c r="H80" s="572"/>
      <c r="I80" s="574"/>
      <c r="J80" s="574"/>
      <c r="K80" s="14"/>
      <c r="L80" s="14"/>
      <c r="M80" s="580"/>
      <c r="N80" s="554"/>
      <c r="O80" s="334"/>
      <c r="P80" s="345"/>
      <c r="Q80" s="352"/>
      <c r="R80" s="335"/>
      <c r="S80" s="349"/>
    </row>
    <row r="81" spans="1:19" x14ac:dyDescent="0.3">
      <c r="A81" s="552"/>
      <c r="B81" s="572"/>
      <c r="C81" s="573"/>
      <c r="D81" s="574"/>
      <c r="E81" s="575"/>
      <c r="F81" s="572"/>
      <c r="G81" s="576"/>
      <c r="H81" s="572"/>
      <c r="I81" s="574"/>
      <c r="J81" s="574"/>
      <c r="K81" s="14"/>
      <c r="L81" s="576"/>
      <c r="M81" s="581"/>
      <c r="N81" s="550"/>
      <c r="P81" s="334"/>
      <c r="Q81" s="336"/>
      <c r="R81" s="495"/>
      <c r="S81" s="490"/>
    </row>
    <row r="82" spans="1:19" x14ac:dyDescent="0.3">
      <c r="A82" s="552"/>
      <c r="B82" s="572"/>
      <c r="C82" s="573"/>
      <c r="D82" s="574"/>
      <c r="E82" s="575"/>
      <c r="F82" s="572"/>
      <c r="G82" s="576"/>
      <c r="H82" s="572"/>
      <c r="I82" s="574"/>
      <c r="J82" s="574"/>
      <c r="K82" s="14"/>
      <c r="L82" s="576"/>
      <c r="M82" s="581"/>
      <c r="N82" s="551"/>
      <c r="O82" s="334"/>
      <c r="P82" s="334"/>
      <c r="Q82" s="337"/>
      <c r="R82" s="496"/>
      <c r="S82" s="491"/>
    </row>
    <row r="83" spans="1:19" x14ac:dyDescent="0.3">
      <c r="A83" s="552"/>
      <c r="B83" s="572">
        <v>24</v>
      </c>
      <c r="C83" s="573"/>
      <c r="D83" s="574"/>
      <c r="E83" s="575"/>
      <c r="F83" s="572">
        <f>G83*$U$6</f>
        <v>180</v>
      </c>
      <c r="G83" s="14">
        <v>6</v>
      </c>
      <c r="H83" s="572"/>
      <c r="I83" s="574"/>
      <c r="J83" s="574"/>
      <c r="K83" s="572"/>
      <c r="L83" s="14"/>
      <c r="M83" s="580"/>
      <c r="N83" s="554"/>
      <c r="O83" s="334"/>
      <c r="P83" s="345"/>
      <c r="Q83" s="492">
        <v>60</v>
      </c>
      <c r="R83" s="497" t="s">
        <v>1822</v>
      </c>
      <c r="S83" s="498">
        <v>1</v>
      </c>
    </row>
    <row r="84" spans="1:19" x14ac:dyDescent="0.3">
      <c r="A84" s="552"/>
      <c r="B84" s="572"/>
      <c r="C84" s="573"/>
      <c r="D84" s="574"/>
      <c r="E84" s="575"/>
      <c r="F84" s="572"/>
      <c r="G84" s="576"/>
      <c r="H84" s="572"/>
      <c r="I84" s="574"/>
      <c r="J84" s="574"/>
      <c r="K84" s="572"/>
      <c r="L84" s="576"/>
      <c r="M84" s="581"/>
      <c r="N84" s="550"/>
      <c r="P84" s="334"/>
      <c r="Q84" s="493"/>
      <c r="R84" s="495"/>
      <c r="S84" s="499"/>
    </row>
    <row r="85" spans="1:19" x14ac:dyDescent="0.3">
      <c r="A85" s="552"/>
      <c r="B85" s="572"/>
      <c r="C85" s="573"/>
      <c r="D85" s="574"/>
      <c r="E85" s="575"/>
      <c r="F85" s="572"/>
      <c r="G85" s="576"/>
      <c r="H85" s="572"/>
      <c r="I85" s="574"/>
      <c r="J85" s="574"/>
      <c r="K85" s="572"/>
      <c r="L85" s="576"/>
      <c r="M85" s="581"/>
      <c r="N85" s="551"/>
      <c r="O85" s="334"/>
      <c r="P85" s="334"/>
      <c r="Q85" s="494"/>
      <c r="R85" s="496"/>
      <c r="S85" s="500"/>
    </row>
    <row r="86" spans="1:19" x14ac:dyDescent="0.3">
      <c r="A86" s="552"/>
      <c r="B86" s="572">
        <v>25</v>
      </c>
      <c r="C86" s="573"/>
      <c r="D86" s="574"/>
      <c r="E86" s="575"/>
      <c r="F86" s="572"/>
      <c r="G86" s="572"/>
      <c r="H86" s="572"/>
      <c r="I86" s="574"/>
      <c r="J86" s="574"/>
      <c r="K86" s="14"/>
      <c r="L86" s="14"/>
      <c r="M86" s="580"/>
      <c r="N86" s="554"/>
      <c r="O86" s="334"/>
      <c r="P86" s="345"/>
      <c r="Q86" s="352"/>
      <c r="R86" s="335"/>
      <c r="S86" s="349"/>
    </row>
    <row r="87" spans="1:19" x14ac:dyDescent="0.3">
      <c r="A87" s="552"/>
      <c r="B87" s="572"/>
      <c r="C87" s="573"/>
      <c r="D87" s="574"/>
      <c r="E87" s="575"/>
      <c r="F87" s="572"/>
      <c r="G87" s="572"/>
      <c r="H87" s="572"/>
      <c r="I87" s="574"/>
      <c r="J87" s="574"/>
      <c r="K87" s="14"/>
      <c r="L87" s="576"/>
      <c r="M87" s="581"/>
      <c r="N87" s="550"/>
      <c r="P87" s="334"/>
      <c r="Q87" s="336"/>
      <c r="R87" s="495"/>
      <c r="S87" s="490"/>
    </row>
    <row r="88" spans="1:19" x14ac:dyDescent="0.3">
      <c r="A88" s="552"/>
      <c r="B88" s="572"/>
      <c r="C88" s="573"/>
      <c r="D88" s="574"/>
      <c r="E88" s="575"/>
      <c r="F88" s="572"/>
      <c r="G88" s="572"/>
      <c r="H88" s="572"/>
      <c r="I88" s="574"/>
      <c r="J88" s="574"/>
      <c r="K88" s="14"/>
      <c r="L88" s="576"/>
      <c r="M88" s="581"/>
      <c r="N88" s="551"/>
      <c r="O88" s="334"/>
      <c r="P88" s="334"/>
      <c r="Q88" s="337"/>
      <c r="R88" s="496"/>
      <c r="S88" s="491"/>
    </row>
    <row r="89" spans="1:19" x14ac:dyDescent="0.3">
      <c r="A89" s="552"/>
      <c r="B89" s="572">
        <v>26</v>
      </c>
      <c r="C89" s="573"/>
      <c r="D89" s="574"/>
      <c r="E89" s="575"/>
      <c r="F89" s="572"/>
      <c r="G89" s="14"/>
      <c r="H89" s="572"/>
      <c r="I89" s="574"/>
      <c r="J89" s="574"/>
      <c r="K89" s="14"/>
      <c r="L89" s="14"/>
      <c r="M89" s="580"/>
      <c r="N89" s="554"/>
      <c r="O89" s="334"/>
      <c r="P89" s="345"/>
      <c r="Q89" s="352"/>
      <c r="R89" s="335"/>
      <c r="S89" s="349"/>
    </row>
    <row r="90" spans="1:19" x14ac:dyDescent="0.3">
      <c r="A90" s="552"/>
      <c r="B90" s="572"/>
      <c r="C90" s="573"/>
      <c r="D90" s="574"/>
      <c r="E90" s="575"/>
      <c r="F90" s="572"/>
      <c r="G90" s="576"/>
      <c r="H90" s="572"/>
      <c r="I90" s="574"/>
      <c r="J90" s="574"/>
      <c r="K90" s="14"/>
      <c r="L90" s="576"/>
      <c r="M90" s="581"/>
      <c r="N90" s="555"/>
      <c r="P90" s="334"/>
      <c r="Q90" s="336"/>
      <c r="R90" s="495"/>
      <c r="S90" s="490"/>
    </row>
    <row r="91" spans="1:19" x14ac:dyDescent="0.3">
      <c r="A91" s="552"/>
      <c r="B91" s="572"/>
      <c r="C91" s="573"/>
      <c r="D91" s="574"/>
      <c r="E91" s="575"/>
      <c r="F91" s="572"/>
      <c r="G91" s="576"/>
      <c r="H91" s="572"/>
      <c r="I91" s="574"/>
      <c r="J91" s="574"/>
      <c r="K91" s="14"/>
      <c r="L91" s="576"/>
      <c r="M91" s="581"/>
      <c r="N91" s="556"/>
      <c r="O91" s="334"/>
      <c r="P91" s="334"/>
      <c r="Q91" s="337"/>
      <c r="R91" s="496"/>
      <c r="S91" s="491"/>
    </row>
    <row r="92" spans="1:19" x14ac:dyDescent="0.3">
      <c r="A92" s="552"/>
      <c r="B92" s="572">
        <v>27</v>
      </c>
      <c r="C92" s="573"/>
      <c r="D92" s="574"/>
      <c r="E92" s="575"/>
      <c r="F92" s="572"/>
      <c r="G92" s="14"/>
      <c r="H92" s="572"/>
      <c r="I92" s="574"/>
      <c r="J92" s="574"/>
      <c r="K92" s="14"/>
      <c r="L92" s="14"/>
      <c r="M92" s="580"/>
      <c r="N92" s="554"/>
      <c r="O92" s="334"/>
      <c r="P92" s="345"/>
      <c r="Q92" s="352"/>
      <c r="R92" s="335"/>
      <c r="S92" s="349"/>
    </row>
    <row r="93" spans="1:19" x14ac:dyDescent="0.3">
      <c r="A93" s="552"/>
      <c r="B93" s="572"/>
      <c r="C93" s="573"/>
      <c r="D93" s="574"/>
      <c r="E93" s="575"/>
      <c r="F93" s="572"/>
      <c r="G93" s="576"/>
      <c r="H93" s="572"/>
      <c r="I93" s="574"/>
      <c r="J93" s="574"/>
      <c r="K93" s="14"/>
      <c r="L93" s="576"/>
      <c r="M93" s="581"/>
      <c r="N93" s="550"/>
      <c r="P93" s="334"/>
      <c r="Q93" s="336"/>
      <c r="R93" s="495"/>
      <c r="S93" s="490"/>
    </row>
    <row r="94" spans="1:19" x14ac:dyDescent="0.3">
      <c r="A94" s="552"/>
      <c r="B94" s="572"/>
      <c r="C94" s="573"/>
      <c r="D94" s="574"/>
      <c r="E94" s="575"/>
      <c r="F94" s="572"/>
      <c r="G94" s="576"/>
      <c r="H94" s="572"/>
      <c r="I94" s="574"/>
      <c r="J94" s="574"/>
      <c r="K94" s="14"/>
      <c r="L94" s="576"/>
      <c r="M94" s="581"/>
      <c r="N94" s="551"/>
      <c r="O94" s="334"/>
      <c r="P94" s="334"/>
      <c r="Q94" s="337"/>
      <c r="R94" s="496"/>
      <c r="S94" s="491"/>
    </row>
    <row r="95" spans="1:19" x14ac:dyDescent="0.3">
      <c r="A95" s="552"/>
      <c r="B95" s="572">
        <v>28</v>
      </c>
      <c r="C95" s="573"/>
      <c r="D95" s="574"/>
      <c r="E95" s="575"/>
      <c r="F95" s="572"/>
      <c r="G95" s="14"/>
      <c r="H95" s="572"/>
      <c r="I95" s="574"/>
      <c r="J95" s="574"/>
      <c r="K95" s="14"/>
      <c r="L95" s="14"/>
      <c r="M95" s="580"/>
      <c r="N95" s="554"/>
      <c r="O95" s="334"/>
      <c r="P95" s="345"/>
      <c r="Q95" s="352"/>
      <c r="R95" s="335"/>
      <c r="S95" s="349"/>
    </row>
    <row r="96" spans="1:19" x14ac:dyDescent="0.3">
      <c r="A96" s="552"/>
      <c r="B96" s="572"/>
      <c r="C96" s="573"/>
      <c r="D96" s="574"/>
      <c r="E96" s="575"/>
      <c r="F96" s="572"/>
      <c r="G96" s="576"/>
      <c r="H96" s="572"/>
      <c r="I96" s="574"/>
      <c r="J96" s="574"/>
      <c r="K96" s="14"/>
      <c r="L96" s="576"/>
      <c r="M96" s="581"/>
      <c r="N96" s="550"/>
      <c r="P96" s="334"/>
      <c r="Q96" s="336"/>
      <c r="R96" s="495"/>
      <c r="S96" s="490"/>
    </row>
    <row r="97" spans="1:19" x14ac:dyDescent="0.3">
      <c r="A97" s="552"/>
      <c r="B97" s="572"/>
      <c r="C97" s="573"/>
      <c r="D97" s="574"/>
      <c r="E97" s="575"/>
      <c r="F97" s="572"/>
      <c r="G97" s="576"/>
      <c r="H97" s="572"/>
      <c r="I97" s="574"/>
      <c r="J97" s="574"/>
      <c r="K97" s="14"/>
      <c r="L97" s="576"/>
      <c r="M97" s="581"/>
      <c r="N97" s="551"/>
      <c r="O97" s="334"/>
      <c r="P97" s="334"/>
      <c r="Q97" s="337"/>
      <c r="R97" s="496"/>
      <c r="S97" s="491"/>
    </row>
    <row r="98" spans="1:19" x14ac:dyDescent="0.3">
      <c r="A98" s="552"/>
      <c r="B98" s="572">
        <v>29</v>
      </c>
      <c r="C98" s="573"/>
      <c r="D98" s="574"/>
      <c r="E98" s="575"/>
      <c r="F98" s="572"/>
      <c r="G98" s="14"/>
      <c r="H98" s="572"/>
      <c r="I98" s="574"/>
      <c r="J98" s="574"/>
      <c r="K98" s="14"/>
      <c r="L98" s="14"/>
      <c r="M98" s="580"/>
      <c r="N98" s="554"/>
      <c r="O98" s="334"/>
      <c r="P98" s="345"/>
      <c r="Q98" s="352"/>
      <c r="R98" s="335"/>
      <c r="S98" s="349"/>
    </row>
    <row r="99" spans="1:19" x14ac:dyDescent="0.3">
      <c r="A99" s="552"/>
      <c r="B99" s="572"/>
      <c r="C99" s="573"/>
      <c r="D99" s="574"/>
      <c r="E99" s="575"/>
      <c r="F99" s="572"/>
      <c r="G99" s="576"/>
      <c r="H99" s="572"/>
      <c r="I99" s="574"/>
      <c r="J99" s="574"/>
      <c r="K99" s="14"/>
      <c r="L99" s="576"/>
      <c r="M99" s="581"/>
      <c r="N99" s="550"/>
      <c r="P99" s="334"/>
      <c r="Q99" s="336"/>
      <c r="R99" s="495"/>
      <c r="S99" s="490"/>
    </row>
    <row r="100" spans="1:19" x14ac:dyDescent="0.3">
      <c r="A100" s="552"/>
      <c r="B100" s="572"/>
      <c r="C100" s="573"/>
      <c r="D100" s="574"/>
      <c r="E100" s="575"/>
      <c r="F100" s="572"/>
      <c r="G100" s="576"/>
      <c r="H100" s="572"/>
      <c r="I100" s="574"/>
      <c r="J100" s="574"/>
      <c r="K100" s="14"/>
      <c r="L100" s="576"/>
      <c r="M100" s="581"/>
      <c r="N100" s="551"/>
      <c r="O100" s="334"/>
      <c r="P100" s="334"/>
      <c r="Q100" s="337"/>
      <c r="R100" s="496"/>
      <c r="S100" s="491"/>
    </row>
    <row r="101" spans="1:19" x14ac:dyDescent="0.3">
      <c r="A101" s="552"/>
      <c r="B101" s="572">
        <v>30</v>
      </c>
      <c r="C101" s="573"/>
      <c r="D101" s="574"/>
      <c r="E101" s="575"/>
      <c r="F101" s="572"/>
      <c r="G101" s="14"/>
      <c r="H101" s="572"/>
      <c r="I101" s="574"/>
      <c r="J101" s="574"/>
      <c r="K101" s="14"/>
      <c r="L101" s="14"/>
      <c r="M101" s="580"/>
      <c r="N101" s="554"/>
      <c r="O101" s="334"/>
      <c r="P101" s="345"/>
      <c r="Q101" s="352"/>
      <c r="R101" s="335"/>
      <c r="S101" s="349"/>
    </row>
    <row r="102" spans="1:19" x14ac:dyDescent="0.3">
      <c r="A102" s="552"/>
      <c r="B102" s="572"/>
      <c r="C102" s="573"/>
      <c r="D102" s="574"/>
      <c r="E102" s="575"/>
      <c r="F102" s="572"/>
      <c r="G102" s="576"/>
      <c r="H102" s="572"/>
      <c r="I102" s="574"/>
      <c r="J102" s="574"/>
      <c r="K102" s="14"/>
      <c r="L102" s="576"/>
      <c r="M102" s="581"/>
      <c r="N102" s="550"/>
      <c r="P102" s="334"/>
      <c r="Q102" s="336"/>
      <c r="R102" s="495"/>
      <c r="S102" s="490"/>
    </row>
    <row r="103" spans="1:19" x14ac:dyDescent="0.3">
      <c r="A103" s="552"/>
      <c r="B103" s="572"/>
      <c r="C103" s="573"/>
      <c r="D103" s="574"/>
      <c r="E103" s="575"/>
      <c r="F103" s="572"/>
      <c r="G103" s="576"/>
      <c r="H103" s="572"/>
      <c r="I103" s="574"/>
      <c r="J103" s="574"/>
      <c r="K103" s="14"/>
      <c r="L103" s="576"/>
      <c r="M103" s="581"/>
      <c r="N103" s="551"/>
      <c r="O103" s="334"/>
      <c r="P103" s="334"/>
      <c r="Q103" s="337"/>
      <c r="R103" s="496"/>
      <c r="S103" s="491"/>
    </row>
    <row r="104" spans="1:19" x14ac:dyDescent="0.3">
      <c r="A104" s="552"/>
      <c r="B104" s="572">
        <v>31</v>
      </c>
      <c r="C104" s="573"/>
      <c r="D104" s="574"/>
      <c r="E104" s="575"/>
      <c r="F104" s="572"/>
      <c r="G104" s="14"/>
      <c r="H104" s="572"/>
      <c r="I104" s="574"/>
      <c r="J104" s="574"/>
      <c r="K104" s="14"/>
      <c r="L104" s="14"/>
      <c r="M104" s="580"/>
      <c r="N104" s="554"/>
      <c r="O104" s="334"/>
      <c r="P104" s="345"/>
      <c r="Q104" s="352"/>
      <c r="R104" s="335"/>
      <c r="S104" s="349"/>
    </row>
    <row r="105" spans="1:19" x14ac:dyDescent="0.3">
      <c r="A105" s="552"/>
      <c r="B105" s="572"/>
      <c r="C105" s="573"/>
      <c r="D105" s="574"/>
      <c r="E105" s="575"/>
      <c r="F105" s="572"/>
      <c r="G105" s="576"/>
      <c r="H105" s="572"/>
      <c r="I105" s="574"/>
      <c r="J105" s="574"/>
      <c r="K105" s="14"/>
      <c r="L105" s="576"/>
      <c r="M105" s="581"/>
      <c r="N105" s="550"/>
      <c r="P105" s="334"/>
      <c r="Q105" s="336"/>
      <c r="R105" s="495"/>
      <c r="S105" s="490"/>
    </row>
    <row r="106" spans="1:19" x14ac:dyDescent="0.3">
      <c r="A106" s="552"/>
      <c r="B106" s="572"/>
      <c r="C106" s="573"/>
      <c r="D106" s="574"/>
      <c r="E106" s="575"/>
      <c r="F106" s="572"/>
      <c r="G106" s="576"/>
      <c r="H106" s="572"/>
      <c r="I106" s="574"/>
      <c r="J106" s="574"/>
      <c r="K106" s="14"/>
      <c r="L106" s="576"/>
      <c r="M106" s="581"/>
      <c r="N106" s="551"/>
      <c r="O106" s="334"/>
      <c r="P106" s="334"/>
      <c r="Q106" s="337"/>
      <c r="R106" s="496"/>
      <c r="S106" s="491"/>
    </row>
  </sheetData>
  <mergeCells count="388">
    <mergeCell ref="F86:F88"/>
    <mergeCell ref="G86:G88"/>
    <mergeCell ref="H86:H88"/>
    <mergeCell ref="N86:N88"/>
    <mergeCell ref="L87:L88"/>
    <mergeCell ref="R87:R88"/>
    <mergeCell ref="S87:S88"/>
    <mergeCell ref="B83:B85"/>
    <mergeCell ref="C83:C85"/>
    <mergeCell ref="F83:F85"/>
    <mergeCell ref="H83:H85"/>
    <mergeCell ref="K83:K85"/>
    <mergeCell ref="N83:N85"/>
    <mergeCell ref="Q83:Q85"/>
    <mergeCell ref="R83:R85"/>
    <mergeCell ref="S83:S85"/>
    <mergeCell ref="G84:G85"/>
    <mergeCell ref="L84:L85"/>
    <mergeCell ref="F89:F91"/>
    <mergeCell ref="H89:H91"/>
    <mergeCell ref="N89:N91"/>
    <mergeCell ref="G90:G91"/>
    <mergeCell ref="L90:L91"/>
    <mergeCell ref="R90:R91"/>
    <mergeCell ref="S90:S91"/>
    <mergeCell ref="F98:F100"/>
    <mergeCell ref="H98:H100"/>
    <mergeCell ref="N98:N100"/>
    <mergeCell ref="G99:G100"/>
    <mergeCell ref="L99:L100"/>
    <mergeCell ref="R99:R100"/>
    <mergeCell ref="S99:S100"/>
    <mergeCell ref="B101:B103"/>
    <mergeCell ref="C101:C103"/>
    <mergeCell ref="F101:F103"/>
    <mergeCell ref="H101:H103"/>
    <mergeCell ref="N101:N103"/>
    <mergeCell ref="G102:G103"/>
    <mergeCell ref="L102:L103"/>
    <mergeCell ref="R102:R103"/>
    <mergeCell ref="S102:S103"/>
    <mergeCell ref="F104:F106"/>
    <mergeCell ref="H104:H106"/>
    <mergeCell ref="N104:N106"/>
    <mergeCell ref="G105:G106"/>
    <mergeCell ref="L105:L106"/>
    <mergeCell ref="R105:R106"/>
    <mergeCell ref="S105:S106"/>
    <mergeCell ref="B92:B94"/>
    <mergeCell ref="C92:C94"/>
    <mergeCell ref="F92:F94"/>
    <mergeCell ref="H92:H94"/>
    <mergeCell ref="N92:N94"/>
    <mergeCell ref="G93:G94"/>
    <mergeCell ref="L93:L94"/>
    <mergeCell ref="R93:R94"/>
    <mergeCell ref="S93:S94"/>
    <mergeCell ref="B95:B97"/>
    <mergeCell ref="C95:C97"/>
    <mergeCell ref="F95:F97"/>
    <mergeCell ref="H95:H97"/>
    <mergeCell ref="N95:N97"/>
    <mergeCell ref="G96:G97"/>
    <mergeCell ref="L96:L97"/>
    <mergeCell ref="R96:R97"/>
    <mergeCell ref="F77:F79"/>
    <mergeCell ref="H77:H79"/>
    <mergeCell ref="N77:N79"/>
    <mergeCell ref="Q77:Q79"/>
    <mergeCell ref="S77:S79"/>
    <mergeCell ref="G78:G79"/>
    <mergeCell ref="L78:L79"/>
    <mergeCell ref="R78:R79"/>
    <mergeCell ref="B80:B82"/>
    <mergeCell ref="C80:C82"/>
    <mergeCell ref="F80:F82"/>
    <mergeCell ref="H80:H82"/>
    <mergeCell ref="N80:N82"/>
    <mergeCell ref="G81:G82"/>
    <mergeCell ref="L81:L82"/>
    <mergeCell ref="R81:R82"/>
    <mergeCell ref="S81:S82"/>
    <mergeCell ref="G72:G73"/>
    <mergeCell ref="L72:L73"/>
    <mergeCell ref="R72:R73"/>
    <mergeCell ref="B74:B76"/>
    <mergeCell ref="C74:C76"/>
    <mergeCell ref="F74:F76"/>
    <mergeCell ref="H74:H76"/>
    <mergeCell ref="N74:N76"/>
    <mergeCell ref="Q74:Q76"/>
    <mergeCell ref="G75:G76"/>
    <mergeCell ref="L75:L76"/>
    <mergeCell ref="R75:R76"/>
    <mergeCell ref="A86:A88"/>
    <mergeCell ref="A89:A91"/>
    <mergeCell ref="A92:A94"/>
    <mergeCell ref="A95:A97"/>
    <mergeCell ref="A98:A100"/>
    <mergeCell ref="A101:A103"/>
    <mergeCell ref="A104:A106"/>
    <mergeCell ref="B68:B70"/>
    <mergeCell ref="C68:C70"/>
    <mergeCell ref="B71:B73"/>
    <mergeCell ref="C71:C73"/>
    <mergeCell ref="B77:B79"/>
    <mergeCell ref="C77:C79"/>
    <mergeCell ref="B104:B106"/>
    <mergeCell ref="C104:C106"/>
    <mergeCell ref="B98:B100"/>
    <mergeCell ref="C98:C100"/>
    <mergeCell ref="B89:B91"/>
    <mergeCell ref="C89:C91"/>
    <mergeCell ref="B86:B88"/>
    <mergeCell ref="C86:C88"/>
    <mergeCell ref="N65:N67"/>
    <mergeCell ref="G66:G67"/>
    <mergeCell ref="L66:L67"/>
    <mergeCell ref="R66:R67"/>
    <mergeCell ref="S66:S67"/>
    <mergeCell ref="A68:A70"/>
    <mergeCell ref="A71:A73"/>
    <mergeCell ref="A74:A76"/>
    <mergeCell ref="A77:A79"/>
    <mergeCell ref="F68:F70"/>
    <mergeCell ref="H68:H70"/>
    <mergeCell ref="K68:K70"/>
    <mergeCell ref="L68:L70"/>
    <mergeCell ref="N68:N70"/>
    <mergeCell ref="Q68:Q70"/>
    <mergeCell ref="R68:R70"/>
    <mergeCell ref="G69:G70"/>
    <mergeCell ref="S69:S70"/>
    <mergeCell ref="F71:F73"/>
    <mergeCell ref="H71:H73"/>
    <mergeCell ref="K71:K73"/>
    <mergeCell ref="M71:M73"/>
    <mergeCell ref="N71:N73"/>
    <mergeCell ref="Q71:Q73"/>
    <mergeCell ref="Q38:Q40"/>
    <mergeCell ref="N5:R5"/>
    <mergeCell ref="Q12:R12"/>
    <mergeCell ref="Q14:Q16"/>
    <mergeCell ref="N10:R10"/>
    <mergeCell ref="B62:B64"/>
    <mergeCell ref="C62:C64"/>
    <mergeCell ref="F62:F64"/>
    <mergeCell ref="H62:H64"/>
    <mergeCell ref="N62:N64"/>
    <mergeCell ref="G63:G64"/>
    <mergeCell ref="L63:L64"/>
    <mergeCell ref="R63:R64"/>
    <mergeCell ref="R41:R43"/>
    <mergeCell ref="S41:S43"/>
    <mergeCell ref="R44:R46"/>
    <mergeCell ref="S45:S46"/>
    <mergeCell ref="R47:R49"/>
    <mergeCell ref="S47:S49"/>
    <mergeCell ref="R38:R40"/>
    <mergeCell ref="S38:S40"/>
    <mergeCell ref="S63:S64"/>
    <mergeCell ref="S71:S73"/>
    <mergeCell ref="S74:S76"/>
    <mergeCell ref="S96:S97"/>
    <mergeCell ref="R14:R16"/>
    <mergeCell ref="S14:S16"/>
    <mergeCell ref="Q17:Q19"/>
    <mergeCell ref="R17:R19"/>
    <mergeCell ref="S17:S19"/>
    <mergeCell ref="S21:S22"/>
    <mergeCell ref="S23:S25"/>
    <mergeCell ref="S26:S28"/>
    <mergeCell ref="S35:S37"/>
    <mergeCell ref="L14:L16"/>
    <mergeCell ref="M14:M16"/>
    <mergeCell ref="M38:M40"/>
    <mergeCell ref="B14:B16"/>
    <mergeCell ref="B38:B40"/>
    <mergeCell ref="L17:L19"/>
    <mergeCell ref="M17:M19"/>
    <mergeCell ref="N17:N19"/>
    <mergeCell ref="G18:G19"/>
    <mergeCell ref="T11:Z11"/>
    <mergeCell ref="T12:T13"/>
    <mergeCell ref="U12:V12"/>
    <mergeCell ref="W12:X13"/>
    <mergeCell ref="Y12:Z13"/>
    <mergeCell ref="M12:M13"/>
    <mergeCell ref="N12:N13"/>
    <mergeCell ref="O12:P12"/>
    <mergeCell ref="S12:S13"/>
    <mergeCell ref="N14:N16"/>
    <mergeCell ref="H11:M11"/>
    <mergeCell ref="N38:N40"/>
    <mergeCell ref="K14:K16"/>
    <mergeCell ref="K12:L12"/>
    <mergeCell ref="K38:K40"/>
    <mergeCell ref="L38:L40"/>
    <mergeCell ref="K17:K19"/>
    <mergeCell ref="C12:C13"/>
    <mergeCell ref="F12:F13"/>
    <mergeCell ref="G12:G13"/>
    <mergeCell ref="D12:E12"/>
    <mergeCell ref="B11:B13"/>
    <mergeCell ref="H12:H13"/>
    <mergeCell ref="I12:J12"/>
    <mergeCell ref="C14:C16"/>
    <mergeCell ref="F14:F16"/>
    <mergeCell ref="G14:G16"/>
    <mergeCell ref="H14:H16"/>
    <mergeCell ref="C38:C40"/>
    <mergeCell ref="F38:F40"/>
    <mergeCell ref="H38:H40"/>
    <mergeCell ref="G39:G40"/>
    <mergeCell ref="C17:C19"/>
    <mergeCell ref="F17:F19"/>
    <mergeCell ref="H17:H19"/>
    <mergeCell ref="B65:B67"/>
    <mergeCell ref="C65:C67"/>
    <mergeCell ref="F65:F67"/>
    <mergeCell ref="H65:H67"/>
    <mergeCell ref="B2:H2"/>
    <mergeCell ref="B3:H3"/>
    <mergeCell ref="J2:J3"/>
    <mergeCell ref="L2:S3"/>
    <mergeCell ref="B5:G5"/>
    <mergeCell ref="H5:I5"/>
    <mergeCell ref="J5:M5"/>
    <mergeCell ref="N11:S11"/>
    <mergeCell ref="J10:M10"/>
    <mergeCell ref="C11:G11"/>
    <mergeCell ref="B10:I10"/>
    <mergeCell ref="A14:A16"/>
    <mergeCell ref="A38:A40"/>
    <mergeCell ref="A44:A46"/>
    <mergeCell ref="A47:A49"/>
    <mergeCell ref="A50:A52"/>
    <mergeCell ref="A53:A55"/>
    <mergeCell ref="A56:A58"/>
    <mergeCell ref="A59:A61"/>
    <mergeCell ref="A62:A64"/>
    <mergeCell ref="A65:A67"/>
    <mergeCell ref="A80:A82"/>
    <mergeCell ref="A83:A85"/>
    <mergeCell ref="B17:B19"/>
    <mergeCell ref="A17:A19"/>
    <mergeCell ref="A20:A22"/>
    <mergeCell ref="B20:B22"/>
    <mergeCell ref="A23:A25"/>
    <mergeCell ref="B23:B25"/>
    <mergeCell ref="A26:A28"/>
    <mergeCell ref="A29:A31"/>
    <mergeCell ref="B26:B28"/>
    <mergeCell ref="B29:B31"/>
    <mergeCell ref="B32:B34"/>
    <mergeCell ref="A32:A34"/>
    <mergeCell ref="A35:A37"/>
    <mergeCell ref="B35:B37"/>
    <mergeCell ref="A41:A43"/>
    <mergeCell ref="C20:C22"/>
    <mergeCell ref="F20:F22"/>
    <mergeCell ref="H20:H22"/>
    <mergeCell ref="K20:K22"/>
    <mergeCell ref="L20:L22"/>
    <mergeCell ref="M20:M22"/>
    <mergeCell ref="N20:N22"/>
    <mergeCell ref="Q20:Q22"/>
    <mergeCell ref="R20:R22"/>
    <mergeCell ref="G21:G22"/>
    <mergeCell ref="C23:C25"/>
    <mergeCell ref="F23:F25"/>
    <mergeCell ref="H23:H25"/>
    <mergeCell ref="K23:K25"/>
    <mergeCell ref="L23:L25"/>
    <mergeCell ref="M23:M25"/>
    <mergeCell ref="N23:N25"/>
    <mergeCell ref="Q23:Q25"/>
    <mergeCell ref="R23:R25"/>
    <mergeCell ref="G24:G25"/>
    <mergeCell ref="C26:C28"/>
    <mergeCell ref="F26:F28"/>
    <mergeCell ref="H26:H28"/>
    <mergeCell ref="K26:K28"/>
    <mergeCell ref="L26:L28"/>
    <mergeCell ref="M26:M28"/>
    <mergeCell ref="N26:N28"/>
    <mergeCell ref="Q26:Q28"/>
    <mergeCell ref="R26:R28"/>
    <mergeCell ref="G27:G28"/>
    <mergeCell ref="C29:C31"/>
    <mergeCell ref="F29:F31"/>
    <mergeCell ref="H29:H31"/>
    <mergeCell ref="K29:K31"/>
    <mergeCell ref="N29:N31"/>
    <mergeCell ref="Q29:Q31"/>
    <mergeCell ref="S29:S31"/>
    <mergeCell ref="G30:G31"/>
    <mergeCell ref="L30:L31"/>
    <mergeCell ref="R30:R31"/>
    <mergeCell ref="C32:C34"/>
    <mergeCell ref="F32:F34"/>
    <mergeCell ref="H32:H34"/>
    <mergeCell ref="K32:K34"/>
    <mergeCell ref="N32:N34"/>
    <mergeCell ref="Q32:Q34"/>
    <mergeCell ref="G33:G34"/>
    <mergeCell ref="L33:L34"/>
    <mergeCell ref="R33:R34"/>
    <mergeCell ref="C35:C37"/>
    <mergeCell ref="F35:F37"/>
    <mergeCell ref="H35:H37"/>
    <mergeCell ref="K35:K37"/>
    <mergeCell ref="L35:L37"/>
    <mergeCell ref="M35:M37"/>
    <mergeCell ref="N35:N37"/>
    <mergeCell ref="Q35:Q37"/>
    <mergeCell ref="R35:R37"/>
    <mergeCell ref="G36:G37"/>
    <mergeCell ref="B41:B43"/>
    <mergeCell ref="C41:C43"/>
    <mergeCell ref="F41:F43"/>
    <mergeCell ref="H41:H43"/>
    <mergeCell ref="K41:K43"/>
    <mergeCell ref="L41:L43"/>
    <mergeCell ref="M41:M43"/>
    <mergeCell ref="N41:N43"/>
    <mergeCell ref="Q41:Q43"/>
    <mergeCell ref="G42:G43"/>
    <mergeCell ref="B44:B46"/>
    <mergeCell ref="C44:C46"/>
    <mergeCell ref="F44:F46"/>
    <mergeCell ref="H44:H46"/>
    <mergeCell ref="K44:K46"/>
    <mergeCell ref="L44:L46"/>
    <mergeCell ref="M44:M46"/>
    <mergeCell ref="N44:N46"/>
    <mergeCell ref="Q44:Q46"/>
    <mergeCell ref="G45:G46"/>
    <mergeCell ref="B47:B49"/>
    <mergeCell ref="C47:C49"/>
    <mergeCell ref="F47:F49"/>
    <mergeCell ref="H47:H49"/>
    <mergeCell ref="K47:K49"/>
    <mergeCell ref="L47:L49"/>
    <mergeCell ref="M47:M49"/>
    <mergeCell ref="N47:N49"/>
    <mergeCell ref="Q47:Q49"/>
    <mergeCell ref="G48:G49"/>
    <mergeCell ref="B50:B52"/>
    <mergeCell ref="C50:C52"/>
    <mergeCell ref="F50:F52"/>
    <mergeCell ref="H50:H52"/>
    <mergeCell ref="K50:K52"/>
    <mergeCell ref="N50:N52"/>
    <mergeCell ref="Q50:Q52"/>
    <mergeCell ref="R50:R52"/>
    <mergeCell ref="S50:S52"/>
    <mergeCell ref="G51:G52"/>
    <mergeCell ref="L51:L52"/>
    <mergeCell ref="B53:B55"/>
    <mergeCell ref="C53:C55"/>
    <mergeCell ref="F53:F55"/>
    <mergeCell ref="H53:H55"/>
    <mergeCell ref="K53:K55"/>
    <mergeCell ref="N53:N55"/>
    <mergeCell ref="Q53:Q55"/>
    <mergeCell ref="R53:R55"/>
    <mergeCell ref="S53:S55"/>
    <mergeCell ref="G54:G55"/>
    <mergeCell ref="L54:L55"/>
    <mergeCell ref="B56:B58"/>
    <mergeCell ref="C56:C58"/>
    <mergeCell ref="F56:F58"/>
    <mergeCell ref="H56:H58"/>
    <mergeCell ref="N56:N58"/>
    <mergeCell ref="G57:G58"/>
    <mergeCell ref="L57:L58"/>
    <mergeCell ref="R57:R58"/>
    <mergeCell ref="S57:S58"/>
    <mergeCell ref="B59:B61"/>
    <mergeCell ref="C59:C61"/>
    <mergeCell ref="F59:F61"/>
    <mergeCell ref="H59:H61"/>
    <mergeCell ref="N59:N61"/>
    <mergeCell ref="G60:G61"/>
    <mergeCell ref="L60:L61"/>
    <mergeCell ref="R60:R61"/>
    <mergeCell ref="S60:S61"/>
  </mergeCells>
  <phoneticPr fontId="14" type="noConversion"/>
  <pageMargins left="0.55118110236220474" right="0.31496062992125984" top="0.51181102362204722" bottom="0.47244094488188981" header="0.31496062992125984" footer="0.31496062992125984"/>
  <pageSetup paperSize="9" scale="92"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D3CF0-7B38-4F2C-B7FB-DD6BFF808B4F}">
  <sheetPr codeName="Sheet3">
    <pageSetUpPr fitToPage="1"/>
  </sheetPr>
  <dimension ref="C2:S220"/>
  <sheetViews>
    <sheetView showGridLines="0" view="pageBreakPreview" zoomScaleNormal="70" zoomScaleSheetLayoutView="100" workbookViewId="0">
      <pane ySplit="7" topLeftCell="A8" activePane="bottomLeft" state="frozen"/>
      <selection pane="bottomLeft" activeCell="F12" sqref="F12"/>
    </sheetView>
  </sheetViews>
  <sheetFormatPr defaultColWidth="9.109375" defaultRowHeight="14.4" x14ac:dyDescent="0.3"/>
  <cols>
    <col min="1" max="2" width="2.6640625" customWidth="1"/>
    <col min="3" max="3" width="8.33203125" style="329" customWidth="1"/>
    <col min="4" max="6" width="20.6640625" customWidth="1"/>
    <col min="7" max="7" width="20.6640625" style="329" customWidth="1"/>
    <col min="8" max="8" width="20.6640625" style="274" customWidth="1"/>
    <col min="9" max="9" width="1.5546875" customWidth="1"/>
    <col min="10" max="12" width="20.6640625" customWidth="1"/>
    <col min="13" max="13" width="20.6640625" style="300" customWidth="1"/>
    <col min="14" max="14" width="20.6640625" style="274" customWidth="1"/>
    <col min="17" max="17" width="9.109375" customWidth="1"/>
    <col min="18" max="18" width="6.44140625" hidden="1" customWidth="1"/>
    <col min="19" max="19" width="6.44140625" style="299" hidden="1" customWidth="1"/>
  </cols>
  <sheetData>
    <row r="2" spans="3:19" ht="17.25" customHeight="1" x14ac:dyDescent="0.3">
      <c r="C2" s="528" t="s">
        <v>1823</v>
      </c>
      <c r="D2" s="529"/>
      <c r="E2" s="529"/>
      <c r="F2" s="295"/>
      <c r="G2" s="538" t="s">
        <v>1824</v>
      </c>
      <c r="H2" s="538"/>
      <c r="I2" s="538"/>
      <c r="J2" s="538"/>
      <c r="K2" s="538"/>
      <c r="L2" s="296"/>
      <c r="M2" s="297"/>
      <c r="N2" s="298"/>
    </row>
    <row r="3" spans="3:19" ht="4.5" customHeight="1" x14ac:dyDescent="0.3">
      <c r="C3" s="530" t="str">
        <f>RiskRegister!E5</f>
        <v>Long Term East Line 1</v>
      </c>
      <c r="D3" s="531"/>
      <c r="E3" s="531"/>
      <c r="F3" s="531"/>
      <c r="G3" s="539"/>
      <c r="H3" s="539"/>
      <c r="I3" s="539"/>
      <c r="J3" s="539"/>
      <c r="K3" s="539"/>
      <c r="N3" s="301"/>
    </row>
    <row r="4" spans="3:19" ht="14.25" customHeight="1" x14ac:dyDescent="0.3">
      <c r="C4" s="530"/>
      <c r="D4" s="531"/>
      <c r="E4" s="531"/>
      <c r="F4" s="531"/>
      <c r="G4" s="539"/>
      <c r="H4" s="539"/>
      <c r="I4" s="539"/>
      <c r="J4" s="539"/>
      <c r="K4" s="539"/>
      <c r="N4" s="301"/>
    </row>
    <row r="5" spans="3:19" ht="6.75" customHeight="1" x14ac:dyDescent="0.3">
      <c r="C5" s="532"/>
      <c r="D5" s="533"/>
      <c r="E5" s="533"/>
      <c r="F5" s="533"/>
      <c r="G5" s="540"/>
      <c r="H5" s="540"/>
      <c r="I5" s="540"/>
      <c r="J5" s="540"/>
      <c r="K5" s="540"/>
      <c r="L5" s="40"/>
      <c r="M5" s="302"/>
      <c r="N5" s="303"/>
    </row>
    <row r="6" spans="3:19" s="10" customFormat="1" ht="15" customHeight="1" x14ac:dyDescent="0.25">
      <c r="C6" s="534" t="s">
        <v>1825</v>
      </c>
      <c r="D6" s="534" t="s">
        <v>1826</v>
      </c>
      <c r="E6" s="534"/>
      <c r="F6" s="536"/>
      <c r="G6" s="304" t="s">
        <v>1827</v>
      </c>
      <c r="H6" s="305" t="str">
        <f>RiskRegister!D9</f>
        <v>P90</v>
      </c>
      <c r="I6" s="306"/>
      <c r="J6" s="537" t="s">
        <v>1828</v>
      </c>
      <c r="K6" s="534"/>
      <c r="L6" s="534"/>
      <c r="M6" s="307" t="s">
        <v>1827</v>
      </c>
      <c r="N6" s="308" t="str">
        <f>RiskRegister!D10</f>
        <v>P90</v>
      </c>
      <c r="S6" s="309"/>
    </row>
    <row r="7" spans="3:19" s="10" customFormat="1" ht="13.8" x14ac:dyDescent="0.25">
      <c r="C7" s="535"/>
      <c r="D7" s="310" t="s">
        <v>78</v>
      </c>
      <c r="E7" s="310" t="s">
        <v>1829</v>
      </c>
      <c r="F7" s="311" t="s">
        <v>76</v>
      </c>
      <c r="G7" s="312"/>
      <c r="H7" s="313">
        <f>VLOOKUP($H$6,$R$7:$S106,2)</f>
        <v>0.9</v>
      </c>
      <c r="I7" s="306"/>
      <c r="J7" s="314" t="s">
        <v>78</v>
      </c>
      <c r="K7" s="310" t="s">
        <v>1829</v>
      </c>
      <c r="L7" s="310" t="s">
        <v>76</v>
      </c>
      <c r="M7" s="315"/>
      <c r="N7" s="316">
        <f>VLOOKUP($N$6,$R$7:$S106,2)</f>
        <v>0.9</v>
      </c>
      <c r="R7" s="10" t="s">
        <v>1830</v>
      </c>
      <c r="S7" s="309">
        <v>0.01</v>
      </c>
    </row>
    <row r="8" spans="3:19" s="10" customFormat="1" ht="18" customHeight="1" x14ac:dyDescent="0.25">
      <c r="C8" s="317">
        <v>1</v>
      </c>
      <c r="D8" s="273">
        <f>E8*0.7</f>
        <v>0</v>
      </c>
      <c r="E8" s="318">
        <f>RiskRegister!S16</f>
        <v>0</v>
      </c>
      <c r="F8" s="284">
        <f>E8*1.35</f>
        <v>0</v>
      </c>
      <c r="G8" s="330">
        <f>_xll.RtaTRIANGULAR(D8,E8,F8)</f>
        <v>0</v>
      </c>
      <c r="H8" s="331">
        <f>_xll.OpPERCENTILE(G8,$H$7)</f>
        <v>0</v>
      </c>
      <c r="I8" s="319"/>
      <c r="J8" s="273">
        <f>K8*0.8</f>
        <v>28000000</v>
      </c>
      <c r="K8" s="318">
        <f>RiskRegister!AB16</f>
        <v>35000000</v>
      </c>
      <c r="L8" s="273">
        <f>K8*1.6</f>
        <v>56000000</v>
      </c>
      <c r="M8" s="318">
        <f>_xll.RtaTRIANGULAR(J8,K8,L8)</f>
        <v>28581486.581500813</v>
      </c>
      <c r="N8" s="332">
        <f>_xll.OpPERCENTILE(M8,$N$7)</f>
        <v>48218083.322384335</v>
      </c>
      <c r="R8" s="10" t="s">
        <v>1831</v>
      </c>
      <c r="S8" s="309">
        <v>0.02</v>
      </c>
    </row>
    <row r="9" spans="3:19" s="10" customFormat="1" ht="18" customHeight="1" x14ac:dyDescent="0.25">
      <c r="C9" s="317">
        <v>2</v>
      </c>
      <c r="D9" s="273">
        <f t="shared" ref="D9:D72" si="0">E9*0.7</f>
        <v>0</v>
      </c>
      <c r="E9" s="318">
        <f>RiskRegister!S17</f>
        <v>0</v>
      </c>
      <c r="F9" s="284">
        <f t="shared" ref="F9:F72" si="1">E9*1.35</f>
        <v>0</v>
      </c>
      <c r="G9" s="330">
        <f>_xll.RtaTRIANGULAR(D9,E9,F9)</f>
        <v>0</v>
      </c>
      <c r="H9" s="331">
        <f>_xll.OpPERCENTILE(G9,$H$7)</f>
        <v>0</v>
      </c>
      <c r="I9" s="31"/>
      <c r="J9" s="273">
        <f t="shared" ref="J9:J72" si="2">K9*0.8</f>
        <v>0</v>
      </c>
      <c r="K9" s="318">
        <f>RiskRegister!AB17</f>
        <v>0</v>
      </c>
      <c r="L9" s="273">
        <f t="shared" ref="L9:L72" si="3">K9*1.6</f>
        <v>0</v>
      </c>
      <c r="M9" s="318">
        <f>_xll.RtaTRIANGULAR(J9,K9,L9)</f>
        <v>0</v>
      </c>
      <c r="N9" s="332">
        <f>_xll.OpPERCENTILE(M9,$N$7)</f>
        <v>0</v>
      </c>
      <c r="R9" s="10" t="s">
        <v>1832</v>
      </c>
      <c r="S9" s="309">
        <v>0.03</v>
      </c>
    </row>
    <row r="10" spans="3:19" s="10" customFormat="1" ht="18" customHeight="1" x14ac:dyDescent="0.25">
      <c r="C10" s="317">
        <v>3</v>
      </c>
      <c r="D10" s="273">
        <f t="shared" si="0"/>
        <v>0</v>
      </c>
      <c r="E10" s="318">
        <f>RiskRegister!S18</f>
        <v>0</v>
      </c>
      <c r="F10" s="284">
        <f t="shared" si="1"/>
        <v>0</v>
      </c>
      <c r="G10" s="330">
        <f>_xll.RtaTRIANGULAR(D10,E10,F10)</f>
        <v>0</v>
      </c>
      <c r="H10" s="331">
        <f>_xll.OpPERCENTILE(G10,$H$7)</f>
        <v>0</v>
      </c>
      <c r="I10" s="31"/>
      <c r="J10" s="273">
        <f t="shared" si="2"/>
        <v>0</v>
      </c>
      <c r="K10" s="318">
        <f>RiskRegister!AB18</f>
        <v>0</v>
      </c>
      <c r="L10" s="273">
        <f t="shared" si="3"/>
        <v>0</v>
      </c>
      <c r="M10" s="318">
        <f>_xll.RtaTRIANGULAR(J10,K10,L10)</f>
        <v>0</v>
      </c>
      <c r="N10" s="332">
        <f>_xll.OpPERCENTILE(M10,$N$7)</f>
        <v>0</v>
      </c>
      <c r="R10" s="10" t="s">
        <v>1833</v>
      </c>
      <c r="S10" s="309">
        <v>0.04</v>
      </c>
    </row>
    <row r="11" spans="3:19" s="10" customFormat="1" ht="18" customHeight="1" x14ac:dyDescent="0.25">
      <c r="C11" s="317">
        <v>4</v>
      </c>
      <c r="D11" s="273">
        <f t="shared" si="0"/>
        <v>4200000</v>
      </c>
      <c r="E11" s="318">
        <f>RiskRegister!S19</f>
        <v>6000000</v>
      </c>
      <c r="F11" s="284">
        <f t="shared" si="1"/>
        <v>8100000.0000000009</v>
      </c>
      <c r="G11" s="330">
        <f>_xll.RtaTRIANGULAR(D11,E11,F11)</f>
        <v>7656844.5566550419</v>
      </c>
      <c r="H11" s="331">
        <f>_xll.OpPERCENTILE(G11,$H$7)</f>
        <v>7221440.0252754381</v>
      </c>
      <c r="I11" s="31"/>
      <c r="J11" s="273">
        <f t="shared" si="2"/>
        <v>0</v>
      </c>
      <c r="K11" s="318">
        <f>RiskRegister!AB19</f>
        <v>0</v>
      </c>
      <c r="L11" s="273">
        <f t="shared" si="3"/>
        <v>0</v>
      </c>
      <c r="M11" s="318">
        <f>_xll.RtaTRIANGULAR(J11,K11,L11)</f>
        <v>0</v>
      </c>
      <c r="N11" s="332">
        <f>_xll.OpPERCENTILE(M11,$N$7)</f>
        <v>0</v>
      </c>
      <c r="R11" s="10" t="s">
        <v>1834</v>
      </c>
      <c r="S11" s="309">
        <v>0.05</v>
      </c>
    </row>
    <row r="12" spans="3:19" s="10" customFormat="1" ht="18" customHeight="1" x14ac:dyDescent="0.25">
      <c r="C12" s="317">
        <v>5</v>
      </c>
      <c r="D12" s="273">
        <f t="shared" si="0"/>
        <v>105000000</v>
      </c>
      <c r="E12" s="318">
        <f>RiskRegister!S20</f>
        <v>150000000</v>
      </c>
      <c r="F12" s="284">
        <f t="shared" si="1"/>
        <v>202500000</v>
      </c>
      <c r="G12" s="330">
        <f>_xll.RtaTRIANGULAR(D12,E12,F12)</f>
        <v>164881547.77650627</v>
      </c>
      <c r="H12" s="331">
        <f>_xll.OpPERCENTILE(G12,$H$7)</f>
        <v>179551330.69457713</v>
      </c>
      <c r="I12" s="31"/>
      <c r="J12" s="273">
        <f t="shared" si="2"/>
        <v>20000000</v>
      </c>
      <c r="K12" s="318">
        <f>RiskRegister!AB20</f>
        <v>25000000</v>
      </c>
      <c r="L12" s="273">
        <f t="shared" si="3"/>
        <v>40000000</v>
      </c>
      <c r="M12" s="318">
        <f>_xll.RtaTRIANGULAR(J12,K12,L12)</f>
        <v>29736150.551887408</v>
      </c>
      <c r="N12" s="332">
        <f>_xll.OpPERCENTILE(M12,$N$7)</f>
        <v>34549361.194229886</v>
      </c>
      <c r="R12" s="10" t="s">
        <v>1835</v>
      </c>
      <c r="S12" s="309">
        <v>0.06</v>
      </c>
    </row>
    <row r="13" spans="3:19" s="10" customFormat="1" ht="18" customHeight="1" x14ac:dyDescent="0.25">
      <c r="C13" s="317">
        <v>6</v>
      </c>
      <c r="D13" s="273">
        <f t="shared" si="0"/>
        <v>0</v>
      </c>
      <c r="E13" s="318">
        <f>RiskRegister!S22</f>
        <v>0</v>
      </c>
      <c r="F13" s="284">
        <f t="shared" si="1"/>
        <v>0</v>
      </c>
      <c r="G13" s="330">
        <f>_xll.RtaTRIANGULAR(D13,E13,F13)</f>
        <v>0</v>
      </c>
      <c r="H13" s="331">
        <f>_xll.OpPERCENTILE(G13,$H$7)</f>
        <v>0</v>
      </c>
      <c r="I13" s="31"/>
      <c r="J13" s="273">
        <f t="shared" si="2"/>
        <v>0</v>
      </c>
      <c r="K13" s="318">
        <f>RiskRegister!AB21</f>
        <v>0</v>
      </c>
      <c r="L13" s="273">
        <f t="shared" si="3"/>
        <v>0</v>
      </c>
      <c r="M13" s="318">
        <f>_xll.RtaTRIANGULAR(J13,K13,L13)</f>
        <v>0</v>
      </c>
      <c r="N13" s="332">
        <f>_xll.OpPERCENTILE(M13,$N$7)</f>
        <v>0</v>
      </c>
      <c r="R13" s="10" t="s">
        <v>1836</v>
      </c>
      <c r="S13" s="309">
        <v>7.0000000000000007E-2</v>
      </c>
    </row>
    <row r="14" spans="3:19" s="10" customFormat="1" ht="18" customHeight="1" x14ac:dyDescent="0.25">
      <c r="C14" s="317">
        <v>7</v>
      </c>
      <c r="D14" s="273" t="e">
        <f t="shared" si="0"/>
        <v>#REF!</v>
      </c>
      <c r="E14" s="318" t="e">
        <f>RiskRegister!#REF!</f>
        <v>#REF!</v>
      </c>
      <c r="F14" s="284" t="e">
        <f t="shared" si="1"/>
        <v>#REF!</v>
      </c>
      <c r="G14" s="330" t="e">
        <f>_xll.RtaTRIANGULAR(D14,E14,F14)</f>
        <v>#VALUE!</v>
      </c>
      <c r="H14" s="331" t="e">
        <f>_xll.OpPERCENTILE(G14,$H$7)</f>
        <v>#VALUE!</v>
      </c>
      <c r="I14" s="31"/>
      <c r="J14" s="273">
        <f t="shared" si="2"/>
        <v>0</v>
      </c>
      <c r="K14" s="318">
        <f>RiskRegister!AB22</f>
        <v>0</v>
      </c>
      <c r="L14" s="273">
        <f t="shared" si="3"/>
        <v>0</v>
      </c>
      <c r="M14" s="318">
        <f>_xll.RtaTRIANGULAR(J14,K14,L14)</f>
        <v>0</v>
      </c>
      <c r="N14" s="332">
        <f>_xll.OpPERCENTILE(M14,$N$7)</f>
        <v>0</v>
      </c>
      <c r="R14" s="10" t="s">
        <v>1837</v>
      </c>
      <c r="S14" s="309">
        <v>0.08</v>
      </c>
    </row>
    <row r="15" spans="3:19" s="10" customFormat="1" ht="18" customHeight="1" x14ac:dyDescent="0.25">
      <c r="C15" s="317">
        <v>8</v>
      </c>
      <c r="D15" s="273">
        <f t="shared" si="0"/>
        <v>0</v>
      </c>
      <c r="E15" s="318">
        <f>RiskRegister!S23</f>
        <v>0</v>
      </c>
      <c r="F15" s="284">
        <f t="shared" si="1"/>
        <v>0</v>
      </c>
      <c r="G15" s="330">
        <f>_xll.RtaTRIANGULAR(D15,E15,F15)</f>
        <v>0</v>
      </c>
      <c r="H15" s="331">
        <f>_xll.OpPERCENTILE(G15,$H$7)</f>
        <v>0</v>
      </c>
      <c r="I15" s="31"/>
      <c r="J15" s="273">
        <f t="shared" si="2"/>
        <v>0</v>
      </c>
      <c r="K15" s="318">
        <f>RiskRegister!AB23</f>
        <v>0</v>
      </c>
      <c r="L15" s="273">
        <f t="shared" si="3"/>
        <v>0</v>
      </c>
      <c r="M15" s="318">
        <f>_xll.RtaTRIANGULAR(J15,K15,L15)</f>
        <v>0</v>
      </c>
      <c r="N15" s="332">
        <f>_xll.OpPERCENTILE(M15,$N$7)</f>
        <v>0</v>
      </c>
      <c r="R15" s="10" t="s">
        <v>1838</v>
      </c>
      <c r="S15" s="309">
        <v>0.09</v>
      </c>
    </row>
    <row r="16" spans="3:19" s="10" customFormat="1" ht="18" customHeight="1" x14ac:dyDescent="0.25">
      <c r="C16" s="317">
        <v>9</v>
      </c>
      <c r="D16" s="273">
        <f t="shared" si="0"/>
        <v>0</v>
      </c>
      <c r="E16" s="318">
        <f>RiskRegister!S24</f>
        <v>0</v>
      </c>
      <c r="F16" s="284">
        <f t="shared" si="1"/>
        <v>0</v>
      </c>
      <c r="G16" s="330">
        <f>_xll.RtaTRIANGULAR(D16,E16,F16)</f>
        <v>0</v>
      </c>
      <c r="H16" s="331">
        <f>_xll.OpPERCENTILE(G16,$H$7)</f>
        <v>0</v>
      </c>
      <c r="I16" s="31"/>
      <c r="J16" s="273">
        <f t="shared" si="2"/>
        <v>0</v>
      </c>
      <c r="K16" s="318">
        <f>RiskRegister!AB24</f>
        <v>0</v>
      </c>
      <c r="L16" s="273">
        <f t="shared" si="3"/>
        <v>0</v>
      </c>
      <c r="M16" s="318">
        <f>_xll.RtaTRIANGULAR(J16,K16,L16)</f>
        <v>0</v>
      </c>
      <c r="N16" s="332">
        <f>_xll.OpPERCENTILE(M16,$N$7)</f>
        <v>0</v>
      </c>
      <c r="R16" s="10" t="s">
        <v>1839</v>
      </c>
      <c r="S16" s="309">
        <v>0.1</v>
      </c>
    </row>
    <row r="17" spans="3:19" s="10" customFormat="1" ht="18" customHeight="1" x14ac:dyDescent="0.25">
      <c r="C17" s="317">
        <v>10</v>
      </c>
      <c r="D17" s="273">
        <f t="shared" si="0"/>
        <v>0</v>
      </c>
      <c r="E17" s="318">
        <f>RiskRegister!S25</f>
        <v>0</v>
      </c>
      <c r="F17" s="284">
        <f t="shared" si="1"/>
        <v>0</v>
      </c>
      <c r="G17" s="330">
        <f>_xll.RtaTRIANGULAR(D17,E17,F17)</f>
        <v>0</v>
      </c>
      <c r="H17" s="331">
        <f>_xll.OpPERCENTILE(G17,$H$7)</f>
        <v>0</v>
      </c>
      <c r="I17" s="31"/>
      <c r="J17" s="273">
        <f t="shared" si="2"/>
        <v>0</v>
      </c>
      <c r="K17" s="318">
        <f>RiskRegister!AB25</f>
        <v>0</v>
      </c>
      <c r="L17" s="273">
        <f t="shared" si="3"/>
        <v>0</v>
      </c>
      <c r="M17" s="318">
        <f>_xll.RtaTRIANGULAR(J17,K17,L17)</f>
        <v>0</v>
      </c>
      <c r="N17" s="332">
        <f>_xll.OpPERCENTILE(M17,$N$7)</f>
        <v>0</v>
      </c>
      <c r="R17" s="10" t="s">
        <v>1840</v>
      </c>
      <c r="S17" s="309">
        <v>0.11</v>
      </c>
    </row>
    <row r="18" spans="3:19" s="10" customFormat="1" ht="18" customHeight="1" x14ac:dyDescent="0.25">
      <c r="C18" s="317">
        <v>11</v>
      </c>
      <c r="D18" s="273">
        <f t="shared" si="0"/>
        <v>0</v>
      </c>
      <c r="E18" s="318">
        <f>RiskRegister!S26</f>
        <v>0</v>
      </c>
      <c r="F18" s="284">
        <f t="shared" si="1"/>
        <v>0</v>
      </c>
      <c r="G18" s="330">
        <f>_xll.RtaTRIANGULAR(D18,E18,F18)</f>
        <v>0</v>
      </c>
      <c r="H18" s="331">
        <f>_xll.OpPERCENTILE(G18,$H$7)</f>
        <v>0</v>
      </c>
      <c r="I18" s="31"/>
      <c r="J18" s="273">
        <f t="shared" si="2"/>
        <v>0</v>
      </c>
      <c r="K18" s="318">
        <f>RiskRegister!AB26</f>
        <v>0</v>
      </c>
      <c r="L18" s="273">
        <f t="shared" si="3"/>
        <v>0</v>
      </c>
      <c r="M18" s="318">
        <f>_xll.RtaTRIANGULAR(J18,K18,L18)</f>
        <v>0</v>
      </c>
      <c r="N18" s="332">
        <f>_xll.OpPERCENTILE(M18,$N$7)</f>
        <v>0</v>
      </c>
      <c r="R18" s="10" t="s">
        <v>1841</v>
      </c>
      <c r="S18" s="309">
        <v>0.12</v>
      </c>
    </row>
    <row r="19" spans="3:19" s="10" customFormat="1" ht="18" customHeight="1" x14ac:dyDescent="0.25">
      <c r="C19" s="317">
        <v>12</v>
      </c>
      <c r="D19" s="273">
        <f t="shared" si="0"/>
        <v>0</v>
      </c>
      <c r="E19" s="318">
        <f>RiskRegister!S27</f>
        <v>0</v>
      </c>
      <c r="F19" s="284">
        <f t="shared" si="1"/>
        <v>0</v>
      </c>
      <c r="G19" s="330">
        <f>_xll.RtaTRIANGULAR(D19,E19,F19)</f>
        <v>0</v>
      </c>
      <c r="H19" s="331">
        <f>_xll.OpPERCENTILE(G19,$H$7)</f>
        <v>0</v>
      </c>
      <c r="I19" s="31"/>
      <c r="J19" s="273">
        <f t="shared" si="2"/>
        <v>0</v>
      </c>
      <c r="K19" s="318">
        <f>RiskRegister!AB27</f>
        <v>0</v>
      </c>
      <c r="L19" s="273">
        <f t="shared" si="3"/>
        <v>0</v>
      </c>
      <c r="M19" s="318">
        <f>_xll.RtaTRIANGULAR(J19,K19,L19)</f>
        <v>0</v>
      </c>
      <c r="N19" s="332">
        <f>_xll.OpPERCENTILE(M19,$N$7)</f>
        <v>0</v>
      </c>
      <c r="R19" s="10" t="s">
        <v>1842</v>
      </c>
      <c r="S19" s="309">
        <v>0.13</v>
      </c>
    </row>
    <row r="20" spans="3:19" s="10" customFormat="1" ht="18" customHeight="1" x14ac:dyDescent="0.25">
      <c r="C20" s="317">
        <v>13</v>
      </c>
      <c r="D20" s="273">
        <f t="shared" si="0"/>
        <v>0</v>
      </c>
      <c r="E20" s="318">
        <f>RiskRegister!S28</f>
        <v>0</v>
      </c>
      <c r="F20" s="284">
        <f t="shared" si="1"/>
        <v>0</v>
      </c>
      <c r="G20" s="330">
        <f>_xll.RtaTRIANGULAR(D20,E20,F20)</f>
        <v>0</v>
      </c>
      <c r="H20" s="331">
        <f>_xll.OpPERCENTILE(G20,$H$7)</f>
        <v>0</v>
      </c>
      <c r="I20" s="31"/>
      <c r="J20" s="273">
        <f t="shared" si="2"/>
        <v>0</v>
      </c>
      <c r="K20" s="318">
        <f>RiskRegister!AB28</f>
        <v>0</v>
      </c>
      <c r="L20" s="273">
        <f t="shared" si="3"/>
        <v>0</v>
      </c>
      <c r="M20" s="318">
        <f>_xll.RtaTRIANGULAR(J20,K20,L20)</f>
        <v>0</v>
      </c>
      <c r="N20" s="332">
        <f>_xll.OpPERCENTILE(M20,$N$7)</f>
        <v>0</v>
      </c>
      <c r="R20" s="10" t="s">
        <v>1843</v>
      </c>
      <c r="S20" s="309">
        <v>0.14000000000000001</v>
      </c>
    </row>
    <row r="21" spans="3:19" s="10" customFormat="1" ht="18" customHeight="1" x14ac:dyDescent="0.25">
      <c r="C21" s="317">
        <v>14</v>
      </c>
      <c r="D21" s="273">
        <f t="shared" si="0"/>
        <v>0</v>
      </c>
      <c r="E21" s="318">
        <f>RiskRegister!S29</f>
        <v>0</v>
      </c>
      <c r="F21" s="284">
        <f t="shared" si="1"/>
        <v>0</v>
      </c>
      <c r="G21" s="330">
        <f>_xll.RtaTRIANGULAR(D21,E21,F21)</f>
        <v>0</v>
      </c>
      <c r="H21" s="331">
        <f>_xll.OpPERCENTILE(G21,$H$7)</f>
        <v>0</v>
      </c>
      <c r="I21" s="31"/>
      <c r="J21" s="273">
        <f t="shared" si="2"/>
        <v>0</v>
      </c>
      <c r="K21" s="318">
        <f>RiskRegister!AB29</f>
        <v>0</v>
      </c>
      <c r="L21" s="273">
        <f t="shared" si="3"/>
        <v>0</v>
      </c>
      <c r="M21" s="318">
        <f>_xll.RtaTRIANGULAR(J21,K21,L21)</f>
        <v>0</v>
      </c>
      <c r="N21" s="332">
        <f>_xll.OpPERCENTILE(M21,$N$7)</f>
        <v>0</v>
      </c>
      <c r="R21" s="10" t="s">
        <v>1844</v>
      </c>
      <c r="S21" s="309">
        <v>0.15</v>
      </c>
    </row>
    <row r="22" spans="3:19" s="10" customFormat="1" ht="18" customHeight="1" x14ac:dyDescent="0.25">
      <c r="C22" s="317">
        <v>15</v>
      </c>
      <c r="D22" s="273">
        <f t="shared" si="0"/>
        <v>0</v>
      </c>
      <c r="E22" s="318">
        <f>RiskRegister!S30</f>
        <v>0</v>
      </c>
      <c r="F22" s="284">
        <f t="shared" si="1"/>
        <v>0</v>
      </c>
      <c r="G22" s="330">
        <f>_xll.RtaTRIANGULAR(D22,E22,F22)</f>
        <v>0</v>
      </c>
      <c r="H22" s="331">
        <f>_xll.OpPERCENTILE(G22,$H$7)</f>
        <v>0</v>
      </c>
      <c r="I22" s="31"/>
      <c r="J22" s="273">
        <f t="shared" si="2"/>
        <v>0</v>
      </c>
      <c r="K22" s="318">
        <f>RiskRegister!AB30</f>
        <v>0</v>
      </c>
      <c r="L22" s="273">
        <f t="shared" si="3"/>
        <v>0</v>
      </c>
      <c r="M22" s="318">
        <f>_xll.RtaTRIANGULAR(J22,K22,L22)</f>
        <v>0</v>
      </c>
      <c r="N22" s="332">
        <f>_xll.OpPERCENTILE(M22,$N$7)</f>
        <v>0</v>
      </c>
      <c r="R22" s="10" t="s">
        <v>1845</v>
      </c>
      <c r="S22" s="309">
        <v>0.16</v>
      </c>
    </row>
    <row r="23" spans="3:19" s="10" customFormat="1" ht="18" customHeight="1" x14ac:dyDescent="0.25">
      <c r="C23" s="317">
        <v>16</v>
      </c>
      <c r="D23" s="273">
        <f t="shared" si="0"/>
        <v>0</v>
      </c>
      <c r="E23" s="318">
        <f>RiskRegister!S31</f>
        <v>0</v>
      </c>
      <c r="F23" s="284">
        <f t="shared" si="1"/>
        <v>0</v>
      </c>
      <c r="G23" s="330">
        <f>_xll.RtaTRIANGULAR(D23,E23,F23)</f>
        <v>0</v>
      </c>
      <c r="H23" s="331">
        <f>_xll.OpPERCENTILE(G23,$H$7)</f>
        <v>0</v>
      </c>
      <c r="I23" s="31"/>
      <c r="J23" s="273">
        <f t="shared" si="2"/>
        <v>0</v>
      </c>
      <c r="K23" s="318">
        <f>RiskRegister!AB31</f>
        <v>0</v>
      </c>
      <c r="L23" s="273">
        <f t="shared" si="3"/>
        <v>0</v>
      </c>
      <c r="M23" s="318">
        <f>_xll.RtaTRIANGULAR(J23,K23,L23)</f>
        <v>0</v>
      </c>
      <c r="N23" s="332">
        <f>_xll.OpPERCENTILE(M23,$N$7)</f>
        <v>0</v>
      </c>
      <c r="R23" s="10" t="s">
        <v>1846</v>
      </c>
      <c r="S23" s="309">
        <v>0.17</v>
      </c>
    </row>
    <row r="24" spans="3:19" s="10" customFormat="1" ht="18" customHeight="1" x14ac:dyDescent="0.25">
      <c r="C24" s="317">
        <v>17</v>
      </c>
      <c r="D24" s="273">
        <f t="shared" si="0"/>
        <v>0</v>
      </c>
      <c r="E24" s="318">
        <f>RiskRegister!S32</f>
        <v>0</v>
      </c>
      <c r="F24" s="284">
        <f t="shared" si="1"/>
        <v>0</v>
      </c>
      <c r="G24" s="330">
        <f>_xll.RtaTRIANGULAR(D24,E24,F24)</f>
        <v>0</v>
      </c>
      <c r="H24" s="331">
        <f>_xll.OpPERCENTILE(G24,$H$7)</f>
        <v>0</v>
      </c>
      <c r="I24" s="31"/>
      <c r="J24" s="273">
        <f t="shared" si="2"/>
        <v>0</v>
      </c>
      <c r="K24" s="318">
        <f>RiskRegister!AB32</f>
        <v>0</v>
      </c>
      <c r="L24" s="273">
        <f t="shared" si="3"/>
        <v>0</v>
      </c>
      <c r="M24" s="318">
        <f>_xll.RtaTRIANGULAR(J24,K24,L24)</f>
        <v>0</v>
      </c>
      <c r="N24" s="332">
        <f>_xll.OpPERCENTILE(M24,$N$7)</f>
        <v>0</v>
      </c>
      <c r="R24" s="10" t="s">
        <v>1847</v>
      </c>
      <c r="S24" s="309">
        <v>0.18</v>
      </c>
    </row>
    <row r="25" spans="3:19" s="10" customFormat="1" ht="18" customHeight="1" x14ac:dyDescent="0.25">
      <c r="C25" s="317">
        <v>18</v>
      </c>
      <c r="D25" s="273">
        <f t="shared" si="0"/>
        <v>0</v>
      </c>
      <c r="E25" s="318">
        <f>RiskRegister!S33</f>
        <v>0</v>
      </c>
      <c r="F25" s="284">
        <f t="shared" si="1"/>
        <v>0</v>
      </c>
      <c r="G25" s="330">
        <f>_xll.RtaTRIANGULAR(D25,E25,F25)</f>
        <v>0</v>
      </c>
      <c r="H25" s="331">
        <f>_xll.OpPERCENTILE(G25,$H$7)</f>
        <v>0</v>
      </c>
      <c r="I25" s="31"/>
      <c r="J25" s="273">
        <f t="shared" si="2"/>
        <v>0</v>
      </c>
      <c r="K25" s="318">
        <f>RiskRegister!AB33</f>
        <v>0</v>
      </c>
      <c r="L25" s="273">
        <f t="shared" si="3"/>
        <v>0</v>
      </c>
      <c r="M25" s="318">
        <f>_xll.RtaTRIANGULAR(J25,K25,L25)</f>
        <v>0</v>
      </c>
      <c r="N25" s="332">
        <f>_xll.OpPERCENTILE(M25,$N$7)</f>
        <v>0</v>
      </c>
      <c r="R25" s="10" t="s">
        <v>1848</v>
      </c>
      <c r="S25" s="309">
        <v>0.19</v>
      </c>
    </row>
    <row r="26" spans="3:19" s="10" customFormat="1" ht="18" customHeight="1" x14ac:dyDescent="0.25">
      <c r="C26" s="317">
        <v>19</v>
      </c>
      <c r="D26" s="273">
        <f t="shared" si="0"/>
        <v>0</v>
      </c>
      <c r="E26" s="318">
        <f>RiskRegister!S34</f>
        <v>0</v>
      </c>
      <c r="F26" s="284">
        <f t="shared" si="1"/>
        <v>0</v>
      </c>
      <c r="G26" s="330">
        <f>_xll.RtaTRIANGULAR(D26,E26,F26)</f>
        <v>0</v>
      </c>
      <c r="H26" s="331">
        <f>_xll.OpPERCENTILE(G26,$H$7)</f>
        <v>0</v>
      </c>
      <c r="I26" s="31"/>
      <c r="J26" s="273">
        <f t="shared" si="2"/>
        <v>0</v>
      </c>
      <c r="K26" s="318">
        <f>RiskRegister!AB34</f>
        <v>0</v>
      </c>
      <c r="L26" s="273">
        <f t="shared" si="3"/>
        <v>0</v>
      </c>
      <c r="M26" s="318">
        <f>_xll.RtaTRIANGULAR(J26,K26,L26)</f>
        <v>0</v>
      </c>
      <c r="N26" s="332">
        <f>_xll.OpPERCENTILE(M26,$N$7)</f>
        <v>0</v>
      </c>
      <c r="R26" s="10" t="s">
        <v>1849</v>
      </c>
      <c r="S26" s="309">
        <v>0.2</v>
      </c>
    </row>
    <row r="27" spans="3:19" s="10" customFormat="1" ht="18" customHeight="1" x14ac:dyDescent="0.25">
      <c r="C27" s="317">
        <v>20</v>
      </c>
      <c r="D27" s="273">
        <f t="shared" si="0"/>
        <v>0</v>
      </c>
      <c r="E27" s="318">
        <f>RiskRegister!S35</f>
        <v>0</v>
      </c>
      <c r="F27" s="284">
        <f t="shared" si="1"/>
        <v>0</v>
      </c>
      <c r="G27" s="330">
        <f>_xll.RtaTRIANGULAR(D27,E27,F27)</f>
        <v>0</v>
      </c>
      <c r="H27" s="331">
        <f>_xll.OpPERCENTILE(G27,$H$7)</f>
        <v>0</v>
      </c>
      <c r="I27" s="31"/>
      <c r="J27" s="273">
        <f t="shared" si="2"/>
        <v>0</v>
      </c>
      <c r="K27" s="318">
        <f>RiskRegister!AB35</f>
        <v>0</v>
      </c>
      <c r="L27" s="273">
        <f t="shared" si="3"/>
        <v>0</v>
      </c>
      <c r="M27" s="318">
        <f>_xll.RtaTRIANGULAR(J27,K27,L27)</f>
        <v>0</v>
      </c>
      <c r="N27" s="332">
        <f>_xll.OpPERCENTILE(M27,$N$7)</f>
        <v>0</v>
      </c>
      <c r="R27" s="10" t="s">
        <v>1850</v>
      </c>
      <c r="S27" s="309">
        <v>0.21</v>
      </c>
    </row>
    <row r="28" spans="3:19" s="10" customFormat="1" ht="18" customHeight="1" x14ac:dyDescent="0.25">
      <c r="C28" s="317">
        <v>21</v>
      </c>
      <c r="D28" s="273">
        <f t="shared" si="0"/>
        <v>0</v>
      </c>
      <c r="E28" s="318">
        <f>RiskRegister!S36</f>
        <v>0</v>
      </c>
      <c r="F28" s="284">
        <f t="shared" si="1"/>
        <v>0</v>
      </c>
      <c r="G28" s="330">
        <f>_xll.RtaTRIANGULAR(D28,E28,F28)</f>
        <v>0</v>
      </c>
      <c r="H28" s="331">
        <f>_xll.OpPERCENTILE(G28,$H$7)</f>
        <v>0</v>
      </c>
      <c r="I28" s="31"/>
      <c r="J28" s="273">
        <f t="shared" si="2"/>
        <v>0</v>
      </c>
      <c r="K28" s="318">
        <f>RiskRegister!AB36</f>
        <v>0</v>
      </c>
      <c r="L28" s="273">
        <f t="shared" si="3"/>
        <v>0</v>
      </c>
      <c r="M28" s="318">
        <f>_xll.RtaTRIANGULAR(J28,K28,L28)</f>
        <v>0</v>
      </c>
      <c r="N28" s="332">
        <f>_xll.OpPERCENTILE(M28,$N$7)</f>
        <v>0</v>
      </c>
      <c r="R28" s="10" t="s">
        <v>1851</v>
      </c>
      <c r="S28" s="309">
        <v>0.22</v>
      </c>
    </row>
    <row r="29" spans="3:19" s="10" customFormat="1" ht="18" customHeight="1" x14ac:dyDescent="0.25">
      <c r="C29" s="317">
        <v>22</v>
      </c>
      <c r="D29" s="273">
        <f t="shared" si="0"/>
        <v>0</v>
      </c>
      <c r="E29" s="318">
        <f>RiskRegister!S37</f>
        <v>0</v>
      </c>
      <c r="F29" s="284">
        <f t="shared" si="1"/>
        <v>0</v>
      </c>
      <c r="G29" s="330">
        <f>_xll.RtaTRIANGULAR(D29,E29,F29)</f>
        <v>0</v>
      </c>
      <c r="H29" s="331">
        <f>_xll.OpPERCENTILE(G29,$H$7)</f>
        <v>0</v>
      </c>
      <c r="I29" s="31"/>
      <c r="J29" s="273">
        <f t="shared" si="2"/>
        <v>0</v>
      </c>
      <c r="K29" s="318">
        <f>RiskRegister!AB37</f>
        <v>0</v>
      </c>
      <c r="L29" s="273">
        <f t="shared" si="3"/>
        <v>0</v>
      </c>
      <c r="M29" s="318">
        <f>_xll.RtaTRIANGULAR(J29,K29,L29)</f>
        <v>0</v>
      </c>
      <c r="N29" s="332">
        <f>_xll.OpPERCENTILE(M29,$N$7)</f>
        <v>0</v>
      </c>
      <c r="R29" s="10" t="s">
        <v>1852</v>
      </c>
      <c r="S29" s="309">
        <v>0.23</v>
      </c>
    </row>
    <row r="30" spans="3:19" s="10" customFormat="1" ht="18" customHeight="1" x14ac:dyDescent="0.25">
      <c r="C30" s="317">
        <v>23</v>
      </c>
      <c r="D30" s="273">
        <f t="shared" si="0"/>
        <v>0</v>
      </c>
      <c r="E30" s="318">
        <f>RiskRegister!S38</f>
        <v>0</v>
      </c>
      <c r="F30" s="284">
        <f t="shared" si="1"/>
        <v>0</v>
      </c>
      <c r="G30" s="330">
        <f>_xll.RtaTRIANGULAR(D30,E30,F30)</f>
        <v>0</v>
      </c>
      <c r="H30" s="331">
        <f>_xll.OpPERCENTILE(G30,$H$7)</f>
        <v>0</v>
      </c>
      <c r="I30" s="31"/>
      <c r="J30" s="273">
        <f t="shared" si="2"/>
        <v>0</v>
      </c>
      <c r="K30" s="318">
        <f>RiskRegister!AB38</f>
        <v>0</v>
      </c>
      <c r="L30" s="273">
        <f t="shared" si="3"/>
        <v>0</v>
      </c>
      <c r="M30" s="318">
        <f>_xll.RtaTRIANGULAR(J30,K30,L30)</f>
        <v>0</v>
      </c>
      <c r="N30" s="332">
        <f>_xll.OpPERCENTILE(M30,$N$7)</f>
        <v>0</v>
      </c>
      <c r="R30" s="10" t="s">
        <v>1853</v>
      </c>
      <c r="S30" s="309">
        <v>0.24</v>
      </c>
    </row>
    <row r="31" spans="3:19" s="10" customFormat="1" ht="18" customHeight="1" x14ac:dyDescent="0.25">
      <c r="C31" s="317">
        <v>24</v>
      </c>
      <c r="D31" s="273">
        <f t="shared" si="0"/>
        <v>0</v>
      </c>
      <c r="E31" s="318">
        <f>RiskRegister!S39</f>
        <v>0</v>
      </c>
      <c r="F31" s="284">
        <f t="shared" si="1"/>
        <v>0</v>
      </c>
      <c r="G31" s="330">
        <f>_xll.RtaTRIANGULAR(D31,E31,F31)</f>
        <v>0</v>
      </c>
      <c r="H31" s="331">
        <f>_xll.OpPERCENTILE(G31,$H$7)</f>
        <v>0</v>
      </c>
      <c r="I31" s="31"/>
      <c r="J31" s="273">
        <f t="shared" si="2"/>
        <v>0</v>
      </c>
      <c r="K31" s="318">
        <f>RiskRegister!AB39</f>
        <v>0</v>
      </c>
      <c r="L31" s="273">
        <f t="shared" si="3"/>
        <v>0</v>
      </c>
      <c r="M31" s="318">
        <f>_xll.RtaTRIANGULAR(J31,K31,L31)</f>
        <v>0</v>
      </c>
      <c r="N31" s="332">
        <f>_xll.OpPERCENTILE(M31,$N$7)</f>
        <v>0</v>
      </c>
      <c r="R31" s="10" t="s">
        <v>1854</v>
      </c>
      <c r="S31" s="309">
        <v>0.25</v>
      </c>
    </row>
    <row r="32" spans="3:19" s="10" customFormat="1" ht="18" customHeight="1" x14ac:dyDescent="0.25">
      <c r="C32" s="317">
        <v>25</v>
      </c>
      <c r="D32" s="273">
        <f t="shared" si="0"/>
        <v>0</v>
      </c>
      <c r="E32" s="318">
        <f>RiskRegister!S40</f>
        <v>0</v>
      </c>
      <c r="F32" s="284">
        <f t="shared" si="1"/>
        <v>0</v>
      </c>
      <c r="G32" s="330">
        <f>_xll.RtaTRIANGULAR(D32,E32,F32)</f>
        <v>0</v>
      </c>
      <c r="H32" s="331">
        <f>_xll.OpPERCENTILE(G32,$H$7)</f>
        <v>0</v>
      </c>
      <c r="I32" s="31"/>
      <c r="J32" s="273">
        <f t="shared" si="2"/>
        <v>0</v>
      </c>
      <c r="K32" s="318">
        <f>RiskRegister!AB40</f>
        <v>0</v>
      </c>
      <c r="L32" s="273">
        <f t="shared" si="3"/>
        <v>0</v>
      </c>
      <c r="M32" s="318">
        <f>_xll.RtaTRIANGULAR(J32,K32,L32)</f>
        <v>0</v>
      </c>
      <c r="N32" s="332">
        <f>_xll.OpPERCENTILE(M32,$N$7)</f>
        <v>0</v>
      </c>
      <c r="R32" s="10" t="s">
        <v>1855</v>
      </c>
      <c r="S32" s="309">
        <v>0.26</v>
      </c>
    </row>
    <row r="33" spans="3:19" s="10" customFormat="1" ht="18" customHeight="1" x14ac:dyDescent="0.25">
      <c r="C33" s="317">
        <v>26</v>
      </c>
      <c r="D33" s="273">
        <f t="shared" si="0"/>
        <v>0</v>
      </c>
      <c r="E33" s="318">
        <f>RiskRegister!S41</f>
        <v>0</v>
      </c>
      <c r="F33" s="284">
        <f t="shared" si="1"/>
        <v>0</v>
      </c>
      <c r="G33" s="330">
        <f>_xll.RtaTRIANGULAR(D33,E33,F33)</f>
        <v>0</v>
      </c>
      <c r="H33" s="331">
        <f>_xll.OpPERCENTILE(G33,$H$7)</f>
        <v>0</v>
      </c>
      <c r="I33" s="31"/>
      <c r="J33" s="273">
        <f t="shared" si="2"/>
        <v>0</v>
      </c>
      <c r="K33" s="318">
        <f>RiskRegister!AB41</f>
        <v>0</v>
      </c>
      <c r="L33" s="273">
        <f t="shared" si="3"/>
        <v>0</v>
      </c>
      <c r="M33" s="318">
        <f>_xll.RtaTRIANGULAR(J33,K33,L33)</f>
        <v>0</v>
      </c>
      <c r="N33" s="332">
        <f>_xll.OpPERCENTILE(M33,$N$7)</f>
        <v>0</v>
      </c>
      <c r="R33" s="10" t="s">
        <v>1856</v>
      </c>
      <c r="S33" s="309">
        <v>0.27</v>
      </c>
    </row>
    <row r="34" spans="3:19" s="10" customFormat="1" ht="18" customHeight="1" x14ac:dyDescent="0.25">
      <c r="C34" s="317">
        <v>27</v>
      </c>
      <c r="D34" s="273">
        <f t="shared" si="0"/>
        <v>0</v>
      </c>
      <c r="E34" s="318">
        <f>RiskRegister!S42</f>
        <v>0</v>
      </c>
      <c r="F34" s="284">
        <f t="shared" si="1"/>
        <v>0</v>
      </c>
      <c r="G34" s="330">
        <f>_xll.RtaTRIANGULAR(D34,E34,F34)</f>
        <v>0</v>
      </c>
      <c r="H34" s="331">
        <f>_xll.OpPERCENTILE(G34,$H$7)</f>
        <v>0</v>
      </c>
      <c r="I34" s="31"/>
      <c r="J34" s="273">
        <f t="shared" si="2"/>
        <v>0</v>
      </c>
      <c r="K34" s="318">
        <f>RiskRegister!AB42</f>
        <v>0</v>
      </c>
      <c r="L34" s="273">
        <f t="shared" si="3"/>
        <v>0</v>
      </c>
      <c r="M34" s="318">
        <f>_xll.RtaTRIANGULAR(J34,K34,L34)</f>
        <v>0</v>
      </c>
      <c r="N34" s="332">
        <f>_xll.OpPERCENTILE(M34,$N$7)</f>
        <v>0</v>
      </c>
      <c r="R34" s="10" t="s">
        <v>1857</v>
      </c>
      <c r="S34" s="309">
        <v>0.28000000000000003</v>
      </c>
    </row>
    <row r="35" spans="3:19" s="10" customFormat="1" ht="18" customHeight="1" x14ac:dyDescent="0.25">
      <c r="C35" s="317">
        <v>28</v>
      </c>
      <c r="D35" s="273">
        <f t="shared" si="0"/>
        <v>0</v>
      </c>
      <c r="E35" s="318">
        <f>RiskRegister!S43</f>
        <v>0</v>
      </c>
      <c r="F35" s="284">
        <f t="shared" si="1"/>
        <v>0</v>
      </c>
      <c r="G35" s="330">
        <f>_xll.RtaTRIANGULAR(D35,E35,F35)</f>
        <v>0</v>
      </c>
      <c r="H35" s="331">
        <f>_xll.OpPERCENTILE(G35,$H$7)</f>
        <v>0</v>
      </c>
      <c r="I35" s="31"/>
      <c r="J35" s="273">
        <f t="shared" si="2"/>
        <v>0</v>
      </c>
      <c r="K35" s="318">
        <f>RiskRegister!AB43</f>
        <v>0</v>
      </c>
      <c r="L35" s="273">
        <f t="shared" si="3"/>
        <v>0</v>
      </c>
      <c r="M35" s="318">
        <f>_xll.RtaTRIANGULAR(J35,K35,L35)</f>
        <v>0</v>
      </c>
      <c r="N35" s="332">
        <f>_xll.OpPERCENTILE(M35,$N$7)</f>
        <v>0</v>
      </c>
      <c r="R35" s="10" t="s">
        <v>1858</v>
      </c>
      <c r="S35" s="309">
        <v>0.28999999999999998</v>
      </c>
    </row>
    <row r="36" spans="3:19" s="10" customFormat="1" ht="18" customHeight="1" x14ac:dyDescent="0.25">
      <c r="C36" s="317">
        <v>29</v>
      </c>
      <c r="D36" s="273">
        <f t="shared" si="0"/>
        <v>0</v>
      </c>
      <c r="E36" s="318">
        <f>RiskRegister!S44</f>
        <v>0</v>
      </c>
      <c r="F36" s="284">
        <f t="shared" si="1"/>
        <v>0</v>
      </c>
      <c r="G36" s="330">
        <f>_xll.RtaTRIANGULAR(D36,E36,F36)</f>
        <v>0</v>
      </c>
      <c r="H36" s="331">
        <f>_xll.OpPERCENTILE(G36,$H$7)</f>
        <v>0</v>
      </c>
      <c r="I36" s="31"/>
      <c r="J36" s="273">
        <f t="shared" si="2"/>
        <v>0</v>
      </c>
      <c r="K36" s="318">
        <f>RiskRegister!AB44</f>
        <v>0</v>
      </c>
      <c r="L36" s="273">
        <f t="shared" si="3"/>
        <v>0</v>
      </c>
      <c r="M36" s="318">
        <f>_xll.RtaTRIANGULAR(J36,K36,L36)</f>
        <v>0</v>
      </c>
      <c r="N36" s="332">
        <f>_xll.OpPERCENTILE(M36,$N$7)</f>
        <v>0</v>
      </c>
      <c r="R36" s="10" t="s">
        <v>1859</v>
      </c>
      <c r="S36" s="309">
        <v>0.3</v>
      </c>
    </row>
    <row r="37" spans="3:19" s="10" customFormat="1" ht="18" customHeight="1" x14ac:dyDescent="0.25">
      <c r="C37" s="317">
        <v>30</v>
      </c>
      <c r="D37" s="273">
        <f t="shared" si="0"/>
        <v>0</v>
      </c>
      <c r="E37" s="318">
        <f>RiskRegister!S45</f>
        <v>0</v>
      </c>
      <c r="F37" s="284">
        <f t="shared" si="1"/>
        <v>0</v>
      </c>
      <c r="G37" s="330">
        <f>_xll.RtaTRIANGULAR(D37,E37,F37)</f>
        <v>0</v>
      </c>
      <c r="H37" s="331">
        <f>_xll.OpPERCENTILE(G37,$H$7)</f>
        <v>0</v>
      </c>
      <c r="I37" s="31"/>
      <c r="J37" s="273">
        <f t="shared" si="2"/>
        <v>0</v>
      </c>
      <c r="K37" s="318">
        <f>RiskRegister!AB45</f>
        <v>0</v>
      </c>
      <c r="L37" s="273">
        <f t="shared" si="3"/>
        <v>0</v>
      </c>
      <c r="M37" s="318">
        <f>_xll.RtaTRIANGULAR(J37,K37,L37)</f>
        <v>0</v>
      </c>
      <c r="N37" s="332">
        <f>_xll.OpPERCENTILE(M37,$N$7)</f>
        <v>0</v>
      </c>
      <c r="R37" s="10" t="s">
        <v>1860</v>
      </c>
      <c r="S37" s="309">
        <v>0.31</v>
      </c>
    </row>
    <row r="38" spans="3:19" s="10" customFormat="1" ht="18" customHeight="1" x14ac:dyDescent="0.25">
      <c r="C38" s="317">
        <v>31</v>
      </c>
      <c r="D38" s="273">
        <f t="shared" si="0"/>
        <v>0</v>
      </c>
      <c r="E38" s="318">
        <f>RiskRegister!S46</f>
        <v>0</v>
      </c>
      <c r="F38" s="284">
        <f t="shared" si="1"/>
        <v>0</v>
      </c>
      <c r="G38" s="330">
        <f>_xll.RtaTRIANGULAR(D38,E38,F38)</f>
        <v>0</v>
      </c>
      <c r="H38" s="331">
        <f>_xll.OpPERCENTILE(G38,$H$7)</f>
        <v>0</v>
      </c>
      <c r="I38" s="31"/>
      <c r="J38" s="273">
        <f t="shared" si="2"/>
        <v>0</v>
      </c>
      <c r="K38" s="318">
        <f>RiskRegister!AB46</f>
        <v>0</v>
      </c>
      <c r="L38" s="273">
        <f t="shared" si="3"/>
        <v>0</v>
      </c>
      <c r="M38" s="318">
        <f>_xll.RtaTRIANGULAR(J38,K38,L38)</f>
        <v>0</v>
      </c>
      <c r="N38" s="332">
        <f>_xll.OpPERCENTILE(M38,$N$7)</f>
        <v>0</v>
      </c>
      <c r="R38" s="10" t="s">
        <v>1861</v>
      </c>
      <c r="S38" s="309">
        <v>0.32</v>
      </c>
    </row>
    <row r="39" spans="3:19" s="10" customFormat="1" ht="18" customHeight="1" x14ac:dyDescent="0.25">
      <c r="C39" s="317">
        <v>32</v>
      </c>
      <c r="D39" s="273">
        <f t="shared" si="0"/>
        <v>0</v>
      </c>
      <c r="E39" s="318">
        <f>RiskRegister!S47</f>
        <v>0</v>
      </c>
      <c r="F39" s="284">
        <f t="shared" si="1"/>
        <v>0</v>
      </c>
      <c r="G39" s="330">
        <f>_xll.RtaTRIANGULAR(D39,E39,F39)</f>
        <v>0</v>
      </c>
      <c r="H39" s="331">
        <f>_xll.OpPERCENTILE(G39,$H$7)</f>
        <v>0</v>
      </c>
      <c r="I39" s="31"/>
      <c r="J39" s="273">
        <f t="shared" si="2"/>
        <v>0</v>
      </c>
      <c r="K39" s="318">
        <f>RiskRegister!AB47</f>
        <v>0</v>
      </c>
      <c r="L39" s="273">
        <f t="shared" si="3"/>
        <v>0</v>
      </c>
      <c r="M39" s="318">
        <f>_xll.RtaTRIANGULAR(J39,K39,L39)</f>
        <v>0</v>
      </c>
      <c r="N39" s="332">
        <f>_xll.OpPERCENTILE(M39,$N$7)</f>
        <v>0</v>
      </c>
      <c r="R39" s="10" t="s">
        <v>1862</v>
      </c>
      <c r="S39" s="309">
        <v>0.33</v>
      </c>
    </row>
    <row r="40" spans="3:19" s="10" customFormat="1" ht="18" customHeight="1" x14ac:dyDescent="0.25">
      <c r="C40" s="317">
        <v>33</v>
      </c>
      <c r="D40" s="273">
        <f t="shared" si="0"/>
        <v>0</v>
      </c>
      <c r="E40" s="318">
        <f>RiskRegister!S48</f>
        <v>0</v>
      </c>
      <c r="F40" s="284">
        <f t="shared" si="1"/>
        <v>0</v>
      </c>
      <c r="G40" s="330">
        <f>_xll.RtaTRIANGULAR(D40,E40,F40)</f>
        <v>0</v>
      </c>
      <c r="H40" s="331">
        <f>_xll.OpPERCENTILE(G40,$H$7)</f>
        <v>0</v>
      </c>
      <c r="I40" s="31"/>
      <c r="J40" s="273">
        <f t="shared" si="2"/>
        <v>0</v>
      </c>
      <c r="K40" s="318">
        <f>RiskRegister!AB48</f>
        <v>0</v>
      </c>
      <c r="L40" s="273">
        <f t="shared" si="3"/>
        <v>0</v>
      </c>
      <c r="M40" s="318">
        <f>_xll.RtaTRIANGULAR(J40,K40,L40)</f>
        <v>0</v>
      </c>
      <c r="N40" s="332">
        <f>_xll.OpPERCENTILE(M40,$N$7)</f>
        <v>0</v>
      </c>
      <c r="R40" s="10" t="s">
        <v>1863</v>
      </c>
      <c r="S40" s="309">
        <v>0.34</v>
      </c>
    </row>
    <row r="41" spans="3:19" s="10" customFormat="1" ht="18" customHeight="1" x14ac:dyDescent="0.25">
      <c r="C41" s="317">
        <v>34</v>
      </c>
      <c r="D41" s="273">
        <f t="shared" si="0"/>
        <v>0</v>
      </c>
      <c r="E41" s="318">
        <f>RiskRegister!S49</f>
        <v>0</v>
      </c>
      <c r="F41" s="284">
        <f t="shared" si="1"/>
        <v>0</v>
      </c>
      <c r="G41" s="330">
        <f>_xll.RtaTRIANGULAR(D41,E41,F41)</f>
        <v>0</v>
      </c>
      <c r="H41" s="331">
        <f>_xll.OpPERCENTILE(G41,$H$7)</f>
        <v>0</v>
      </c>
      <c r="I41" s="31"/>
      <c r="J41" s="273">
        <f t="shared" si="2"/>
        <v>0</v>
      </c>
      <c r="K41" s="318">
        <f>RiskRegister!AB49</f>
        <v>0</v>
      </c>
      <c r="L41" s="273">
        <f t="shared" si="3"/>
        <v>0</v>
      </c>
      <c r="M41" s="318">
        <f>_xll.RtaTRIANGULAR(J41,K41,L41)</f>
        <v>0</v>
      </c>
      <c r="N41" s="332">
        <f>_xll.OpPERCENTILE(M41,$N$7)</f>
        <v>0</v>
      </c>
      <c r="R41" s="10" t="s">
        <v>1864</v>
      </c>
      <c r="S41" s="309">
        <v>0.35</v>
      </c>
    </row>
    <row r="42" spans="3:19" s="10" customFormat="1" ht="18" customHeight="1" x14ac:dyDescent="0.25">
      <c r="C42" s="317">
        <v>35</v>
      </c>
      <c r="D42" s="273">
        <f t="shared" si="0"/>
        <v>0</v>
      </c>
      <c r="E42" s="318">
        <f>RiskRegister!S50</f>
        <v>0</v>
      </c>
      <c r="F42" s="284">
        <f t="shared" si="1"/>
        <v>0</v>
      </c>
      <c r="G42" s="330">
        <f>_xll.RtaTRIANGULAR(D42,E42,F42)</f>
        <v>0</v>
      </c>
      <c r="H42" s="331">
        <f>_xll.OpPERCENTILE(G42,$H$7)</f>
        <v>0</v>
      </c>
      <c r="I42" s="31"/>
      <c r="J42" s="273">
        <f t="shared" si="2"/>
        <v>0</v>
      </c>
      <c r="K42" s="318">
        <f>RiskRegister!AB50</f>
        <v>0</v>
      </c>
      <c r="L42" s="273">
        <f t="shared" si="3"/>
        <v>0</v>
      </c>
      <c r="M42" s="318">
        <f>_xll.RtaTRIANGULAR(J42,K42,L42)</f>
        <v>0</v>
      </c>
      <c r="N42" s="332">
        <f>_xll.OpPERCENTILE(M42,$N$7)</f>
        <v>0</v>
      </c>
      <c r="R42" s="10" t="s">
        <v>1865</v>
      </c>
      <c r="S42" s="309">
        <v>0.36</v>
      </c>
    </row>
    <row r="43" spans="3:19" s="10" customFormat="1" ht="18" customHeight="1" x14ac:dyDescent="0.25">
      <c r="C43" s="317">
        <v>36</v>
      </c>
      <c r="D43" s="273">
        <f t="shared" si="0"/>
        <v>0</v>
      </c>
      <c r="E43" s="318">
        <f>RiskRegister!S51</f>
        <v>0</v>
      </c>
      <c r="F43" s="284">
        <f t="shared" si="1"/>
        <v>0</v>
      </c>
      <c r="G43" s="330">
        <f>_xll.RtaTRIANGULAR(D43,E43,F43)</f>
        <v>0</v>
      </c>
      <c r="H43" s="331">
        <f>_xll.OpPERCENTILE(G43,$H$7)</f>
        <v>0</v>
      </c>
      <c r="I43" s="31"/>
      <c r="J43" s="273">
        <f t="shared" si="2"/>
        <v>0</v>
      </c>
      <c r="K43" s="318">
        <f>RiskRegister!AB51</f>
        <v>0</v>
      </c>
      <c r="L43" s="273">
        <f t="shared" si="3"/>
        <v>0</v>
      </c>
      <c r="M43" s="318">
        <f>_xll.RtaTRIANGULAR(J43,K43,L43)</f>
        <v>0</v>
      </c>
      <c r="N43" s="332">
        <f>_xll.OpPERCENTILE(M43,$N$7)</f>
        <v>0</v>
      </c>
      <c r="R43" s="10" t="s">
        <v>1866</v>
      </c>
      <c r="S43" s="309">
        <v>0.37</v>
      </c>
    </row>
    <row r="44" spans="3:19" s="10" customFormat="1" ht="18" customHeight="1" x14ac:dyDescent="0.25">
      <c r="C44" s="317">
        <v>37</v>
      </c>
      <c r="D44" s="273">
        <f t="shared" si="0"/>
        <v>0</v>
      </c>
      <c r="E44" s="318">
        <f>RiskRegister!S52</f>
        <v>0</v>
      </c>
      <c r="F44" s="284">
        <f t="shared" si="1"/>
        <v>0</v>
      </c>
      <c r="G44" s="330">
        <f>_xll.RtaTRIANGULAR(D44,E44,F44)</f>
        <v>0</v>
      </c>
      <c r="H44" s="331">
        <f>_xll.OpPERCENTILE(G44,$H$7)</f>
        <v>0</v>
      </c>
      <c r="I44" s="31"/>
      <c r="J44" s="273">
        <f t="shared" si="2"/>
        <v>0</v>
      </c>
      <c r="K44" s="318">
        <f>RiskRegister!AB52</f>
        <v>0</v>
      </c>
      <c r="L44" s="273">
        <f t="shared" si="3"/>
        <v>0</v>
      </c>
      <c r="M44" s="318">
        <f>_xll.RtaTRIANGULAR(J44,K44,L44)</f>
        <v>0</v>
      </c>
      <c r="N44" s="332">
        <f>_xll.OpPERCENTILE(M44,$N$7)</f>
        <v>0</v>
      </c>
      <c r="R44" s="10" t="s">
        <v>1867</v>
      </c>
      <c r="S44" s="309">
        <v>0.38</v>
      </c>
    </row>
    <row r="45" spans="3:19" s="10" customFormat="1" ht="18" customHeight="1" x14ac:dyDescent="0.25">
      <c r="C45" s="317">
        <v>38</v>
      </c>
      <c r="D45" s="273">
        <f t="shared" si="0"/>
        <v>0</v>
      </c>
      <c r="E45" s="318">
        <f>RiskRegister!S53</f>
        <v>0</v>
      </c>
      <c r="F45" s="284">
        <f t="shared" si="1"/>
        <v>0</v>
      </c>
      <c r="G45" s="330">
        <f>_xll.RtaTRIANGULAR(D45,E45,F45)</f>
        <v>0</v>
      </c>
      <c r="H45" s="331">
        <f>_xll.OpPERCENTILE(G45,$H$7)</f>
        <v>0</v>
      </c>
      <c r="I45" s="31"/>
      <c r="J45" s="273">
        <f t="shared" si="2"/>
        <v>0</v>
      </c>
      <c r="K45" s="318">
        <f>RiskRegister!AB53</f>
        <v>0</v>
      </c>
      <c r="L45" s="273">
        <f t="shared" si="3"/>
        <v>0</v>
      </c>
      <c r="M45" s="318">
        <f>_xll.RtaTRIANGULAR(J45,K45,L45)</f>
        <v>0</v>
      </c>
      <c r="N45" s="332">
        <f>_xll.OpPERCENTILE(M45,$N$7)</f>
        <v>0</v>
      </c>
      <c r="R45" s="10" t="s">
        <v>1868</v>
      </c>
      <c r="S45" s="309">
        <v>0.39</v>
      </c>
    </row>
    <row r="46" spans="3:19" s="10" customFormat="1" ht="18" customHeight="1" x14ac:dyDescent="0.25">
      <c r="C46" s="317">
        <v>39</v>
      </c>
      <c r="D46" s="273">
        <f t="shared" si="0"/>
        <v>0</v>
      </c>
      <c r="E46" s="318">
        <f>RiskRegister!S54</f>
        <v>0</v>
      </c>
      <c r="F46" s="284">
        <f t="shared" si="1"/>
        <v>0</v>
      </c>
      <c r="G46" s="330">
        <f>_xll.RtaTRIANGULAR(D46,E46,F46)</f>
        <v>0</v>
      </c>
      <c r="H46" s="331">
        <f>_xll.OpPERCENTILE(G46,$H$7)</f>
        <v>0</v>
      </c>
      <c r="I46" s="31"/>
      <c r="J46" s="273">
        <f t="shared" si="2"/>
        <v>0</v>
      </c>
      <c r="K46" s="318">
        <f>RiskRegister!AB54</f>
        <v>0</v>
      </c>
      <c r="L46" s="273">
        <f t="shared" si="3"/>
        <v>0</v>
      </c>
      <c r="M46" s="318">
        <f>_xll.RtaTRIANGULAR(J46,K46,L46)</f>
        <v>0</v>
      </c>
      <c r="N46" s="332">
        <f>_xll.OpPERCENTILE(M46,$N$7)</f>
        <v>0</v>
      </c>
      <c r="R46" s="10" t="s">
        <v>1869</v>
      </c>
      <c r="S46" s="309">
        <v>0.4</v>
      </c>
    </row>
    <row r="47" spans="3:19" s="10" customFormat="1" ht="18" customHeight="1" x14ac:dyDescent="0.25">
      <c r="C47" s="317">
        <v>40</v>
      </c>
      <c r="D47" s="273">
        <f t="shared" si="0"/>
        <v>0</v>
      </c>
      <c r="E47" s="318">
        <f>RiskRegister!S55</f>
        <v>0</v>
      </c>
      <c r="F47" s="284">
        <f t="shared" si="1"/>
        <v>0</v>
      </c>
      <c r="G47" s="330">
        <f>_xll.RtaTRIANGULAR(D47,E47,F47)</f>
        <v>0</v>
      </c>
      <c r="H47" s="331">
        <f>_xll.OpPERCENTILE(G47,$H$7)</f>
        <v>0</v>
      </c>
      <c r="I47" s="31"/>
      <c r="J47" s="273">
        <f t="shared" si="2"/>
        <v>0</v>
      </c>
      <c r="K47" s="318">
        <f>RiskRegister!AB55</f>
        <v>0</v>
      </c>
      <c r="L47" s="273">
        <f t="shared" si="3"/>
        <v>0</v>
      </c>
      <c r="M47" s="318">
        <f>_xll.RtaTRIANGULAR(J47,K47,L47)</f>
        <v>0</v>
      </c>
      <c r="N47" s="332">
        <f>_xll.OpPERCENTILE(M47,$N$7)</f>
        <v>0</v>
      </c>
      <c r="R47" s="10" t="s">
        <v>1870</v>
      </c>
      <c r="S47" s="309">
        <v>0.41</v>
      </c>
    </row>
    <row r="48" spans="3:19" s="10" customFormat="1" ht="18" customHeight="1" x14ac:dyDescent="0.25">
      <c r="C48" s="317">
        <v>41</v>
      </c>
      <c r="D48" s="273">
        <f t="shared" si="0"/>
        <v>0</v>
      </c>
      <c r="E48" s="318">
        <f>RiskRegister!S56</f>
        <v>0</v>
      </c>
      <c r="F48" s="284">
        <f t="shared" si="1"/>
        <v>0</v>
      </c>
      <c r="G48" s="330">
        <f>_xll.RtaTRIANGULAR(D48,E48,F48)</f>
        <v>0</v>
      </c>
      <c r="H48" s="331">
        <f>_xll.OpPERCENTILE(G48,$H$7)</f>
        <v>0</v>
      </c>
      <c r="I48" s="31"/>
      <c r="J48" s="273">
        <f t="shared" si="2"/>
        <v>0</v>
      </c>
      <c r="K48" s="318">
        <f>RiskRegister!AB56</f>
        <v>0</v>
      </c>
      <c r="L48" s="273">
        <f t="shared" si="3"/>
        <v>0</v>
      </c>
      <c r="M48" s="318">
        <f>_xll.RtaTRIANGULAR(J48,K48,L48)</f>
        <v>0</v>
      </c>
      <c r="N48" s="332">
        <f>_xll.OpPERCENTILE(M48,$N$7)</f>
        <v>0</v>
      </c>
      <c r="R48" s="10" t="s">
        <v>1871</v>
      </c>
      <c r="S48" s="309">
        <v>0.42</v>
      </c>
    </row>
    <row r="49" spans="3:19" s="10" customFormat="1" ht="18" customHeight="1" x14ac:dyDescent="0.25">
      <c r="C49" s="317">
        <v>42</v>
      </c>
      <c r="D49" s="273">
        <f t="shared" si="0"/>
        <v>0</v>
      </c>
      <c r="E49" s="318">
        <f>RiskRegister!S57</f>
        <v>0</v>
      </c>
      <c r="F49" s="284">
        <f t="shared" si="1"/>
        <v>0</v>
      </c>
      <c r="G49" s="330">
        <f>_xll.RtaTRIANGULAR(D49,E49,F49)</f>
        <v>0</v>
      </c>
      <c r="H49" s="331">
        <f>_xll.OpPERCENTILE(G49,$H$7)</f>
        <v>0</v>
      </c>
      <c r="I49" s="31"/>
      <c r="J49" s="273">
        <f t="shared" si="2"/>
        <v>0</v>
      </c>
      <c r="K49" s="318">
        <f>RiskRegister!AB57</f>
        <v>0</v>
      </c>
      <c r="L49" s="273">
        <f t="shared" si="3"/>
        <v>0</v>
      </c>
      <c r="M49" s="318">
        <f>_xll.RtaTRIANGULAR(J49,K49,L49)</f>
        <v>0</v>
      </c>
      <c r="N49" s="332">
        <f>_xll.OpPERCENTILE(M49,$N$7)</f>
        <v>0</v>
      </c>
      <c r="R49" s="10" t="s">
        <v>1872</v>
      </c>
      <c r="S49" s="309">
        <v>0.43</v>
      </c>
    </row>
    <row r="50" spans="3:19" s="10" customFormat="1" ht="18" customHeight="1" x14ac:dyDescent="0.25">
      <c r="C50" s="317">
        <v>43</v>
      </c>
      <c r="D50" s="273">
        <f t="shared" si="0"/>
        <v>0</v>
      </c>
      <c r="E50" s="318">
        <f>RiskRegister!S58</f>
        <v>0</v>
      </c>
      <c r="F50" s="284">
        <f t="shared" si="1"/>
        <v>0</v>
      </c>
      <c r="G50" s="330">
        <f>_xll.RtaTRIANGULAR(D50,E50,F50)</f>
        <v>0</v>
      </c>
      <c r="H50" s="331">
        <f>_xll.OpPERCENTILE(G50,$H$7)</f>
        <v>0</v>
      </c>
      <c r="I50" s="31"/>
      <c r="J50" s="273">
        <f t="shared" si="2"/>
        <v>0</v>
      </c>
      <c r="K50" s="318">
        <f>RiskRegister!AB58</f>
        <v>0</v>
      </c>
      <c r="L50" s="273">
        <f t="shared" si="3"/>
        <v>0</v>
      </c>
      <c r="M50" s="318">
        <f>_xll.RtaTRIANGULAR(J50,K50,L50)</f>
        <v>0</v>
      </c>
      <c r="N50" s="332">
        <f>_xll.OpPERCENTILE(M50,$N$7)</f>
        <v>0</v>
      </c>
      <c r="R50" s="10" t="s">
        <v>1873</v>
      </c>
      <c r="S50" s="309">
        <v>0.44</v>
      </c>
    </row>
    <row r="51" spans="3:19" s="10" customFormat="1" ht="18" customHeight="1" x14ac:dyDescent="0.25">
      <c r="C51" s="317">
        <v>44</v>
      </c>
      <c r="D51" s="273">
        <f t="shared" si="0"/>
        <v>0</v>
      </c>
      <c r="E51" s="318">
        <f>RiskRegister!S59</f>
        <v>0</v>
      </c>
      <c r="F51" s="284">
        <f t="shared" si="1"/>
        <v>0</v>
      </c>
      <c r="G51" s="330">
        <f>_xll.RtaTRIANGULAR(D51,E51,F51)</f>
        <v>0</v>
      </c>
      <c r="H51" s="331">
        <f>_xll.OpPERCENTILE(G51,$H$7)</f>
        <v>0</v>
      </c>
      <c r="I51" s="31"/>
      <c r="J51" s="273">
        <f t="shared" si="2"/>
        <v>0</v>
      </c>
      <c r="K51" s="318">
        <f>RiskRegister!AB59</f>
        <v>0</v>
      </c>
      <c r="L51" s="273">
        <f t="shared" si="3"/>
        <v>0</v>
      </c>
      <c r="M51" s="318">
        <f>_xll.RtaTRIANGULAR(J51,K51,L51)</f>
        <v>0</v>
      </c>
      <c r="N51" s="332">
        <f>_xll.OpPERCENTILE(M51,$N$7)</f>
        <v>0</v>
      </c>
      <c r="R51" s="10" t="s">
        <v>1874</v>
      </c>
      <c r="S51" s="309">
        <v>0.45</v>
      </c>
    </row>
    <row r="52" spans="3:19" s="10" customFormat="1" ht="18" customHeight="1" x14ac:dyDescent="0.25">
      <c r="C52" s="317">
        <v>45</v>
      </c>
      <c r="D52" s="273">
        <f t="shared" si="0"/>
        <v>0</v>
      </c>
      <c r="E52" s="318">
        <f>RiskRegister!S60</f>
        <v>0</v>
      </c>
      <c r="F52" s="284">
        <f t="shared" si="1"/>
        <v>0</v>
      </c>
      <c r="G52" s="330">
        <f>_xll.RtaTRIANGULAR(D52,E52,F52)</f>
        <v>0</v>
      </c>
      <c r="H52" s="331">
        <f>_xll.OpPERCENTILE(G52,$H$7)</f>
        <v>0</v>
      </c>
      <c r="I52" s="31"/>
      <c r="J52" s="273">
        <f t="shared" si="2"/>
        <v>0</v>
      </c>
      <c r="K52" s="318">
        <f>RiskRegister!AB60</f>
        <v>0</v>
      </c>
      <c r="L52" s="273">
        <f t="shared" si="3"/>
        <v>0</v>
      </c>
      <c r="M52" s="318">
        <f>_xll.RtaTRIANGULAR(J52,K52,L52)</f>
        <v>0</v>
      </c>
      <c r="N52" s="332">
        <f>_xll.OpPERCENTILE(M52,$N$7)</f>
        <v>0</v>
      </c>
      <c r="R52" s="10" t="s">
        <v>1875</v>
      </c>
      <c r="S52" s="309">
        <v>0.46</v>
      </c>
    </row>
    <row r="53" spans="3:19" s="10" customFormat="1" ht="18" customHeight="1" x14ac:dyDescent="0.25">
      <c r="C53" s="317">
        <v>46</v>
      </c>
      <c r="D53" s="273">
        <f t="shared" si="0"/>
        <v>0</v>
      </c>
      <c r="E53" s="318">
        <f>RiskRegister!S61</f>
        <v>0</v>
      </c>
      <c r="F53" s="284">
        <f t="shared" si="1"/>
        <v>0</v>
      </c>
      <c r="G53" s="330">
        <f>_xll.RtaTRIANGULAR(D53,E53,F53)</f>
        <v>0</v>
      </c>
      <c r="H53" s="331">
        <f>_xll.OpPERCENTILE(G53,$H$7)</f>
        <v>0</v>
      </c>
      <c r="I53" s="31"/>
      <c r="J53" s="273">
        <f t="shared" si="2"/>
        <v>0</v>
      </c>
      <c r="K53" s="318">
        <f>RiskRegister!AB61</f>
        <v>0</v>
      </c>
      <c r="L53" s="273">
        <f t="shared" si="3"/>
        <v>0</v>
      </c>
      <c r="M53" s="318">
        <f>_xll.RtaTRIANGULAR(J53,K53,L53)</f>
        <v>0</v>
      </c>
      <c r="N53" s="332">
        <f>_xll.OpPERCENTILE(M53,$N$7)</f>
        <v>0</v>
      </c>
      <c r="R53" s="10" t="s">
        <v>1876</v>
      </c>
      <c r="S53" s="309">
        <v>0.47</v>
      </c>
    </row>
    <row r="54" spans="3:19" s="10" customFormat="1" ht="18" customHeight="1" x14ac:dyDescent="0.25">
      <c r="C54" s="317">
        <v>47</v>
      </c>
      <c r="D54" s="273">
        <f t="shared" si="0"/>
        <v>0</v>
      </c>
      <c r="E54" s="318">
        <f>RiskRegister!S62</f>
        <v>0</v>
      </c>
      <c r="F54" s="284">
        <f t="shared" si="1"/>
        <v>0</v>
      </c>
      <c r="G54" s="330">
        <f>_xll.RtaTRIANGULAR(D54,E54,F54)</f>
        <v>0</v>
      </c>
      <c r="H54" s="331">
        <f>_xll.OpPERCENTILE(G54,$H$7)</f>
        <v>0</v>
      </c>
      <c r="I54" s="31"/>
      <c r="J54" s="273">
        <f t="shared" si="2"/>
        <v>0</v>
      </c>
      <c r="K54" s="318">
        <f>RiskRegister!AB62</f>
        <v>0</v>
      </c>
      <c r="L54" s="273">
        <f t="shared" si="3"/>
        <v>0</v>
      </c>
      <c r="M54" s="318">
        <f>_xll.RtaTRIANGULAR(J54,K54,L54)</f>
        <v>0</v>
      </c>
      <c r="N54" s="332">
        <f>_xll.OpPERCENTILE(M54,$N$7)</f>
        <v>0</v>
      </c>
      <c r="R54" s="10" t="s">
        <v>1877</v>
      </c>
      <c r="S54" s="309">
        <v>0.48</v>
      </c>
    </row>
    <row r="55" spans="3:19" s="10" customFormat="1" ht="18" customHeight="1" x14ac:dyDescent="0.25">
      <c r="C55" s="317">
        <v>48</v>
      </c>
      <c r="D55" s="273">
        <f t="shared" si="0"/>
        <v>0</v>
      </c>
      <c r="E55" s="318">
        <f>RiskRegister!S63</f>
        <v>0</v>
      </c>
      <c r="F55" s="284">
        <f t="shared" si="1"/>
        <v>0</v>
      </c>
      <c r="G55" s="330">
        <f>_xll.RtaTRIANGULAR(D55,E55,F55)</f>
        <v>0</v>
      </c>
      <c r="H55" s="331">
        <f>_xll.OpPERCENTILE(G55,$H$7)</f>
        <v>0</v>
      </c>
      <c r="I55" s="31"/>
      <c r="J55" s="273">
        <f t="shared" si="2"/>
        <v>0</v>
      </c>
      <c r="K55" s="318">
        <f>RiskRegister!AB63</f>
        <v>0</v>
      </c>
      <c r="L55" s="273">
        <f t="shared" si="3"/>
        <v>0</v>
      </c>
      <c r="M55" s="318">
        <f>_xll.RtaTRIANGULAR(J55,K55,L55)</f>
        <v>0</v>
      </c>
      <c r="N55" s="332">
        <f>_xll.OpPERCENTILE(M55,$N$7)</f>
        <v>0</v>
      </c>
      <c r="R55" s="10" t="s">
        <v>1878</v>
      </c>
      <c r="S55" s="309">
        <v>0.49</v>
      </c>
    </row>
    <row r="56" spans="3:19" s="10" customFormat="1" ht="18" customHeight="1" x14ac:dyDescent="0.25">
      <c r="C56" s="317">
        <v>49</v>
      </c>
      <c r="D56" s="273">
        <f t="shared" si="0"/>
        <v>0</v>
      </c>
      <c r="E56" s="318">
        <f>RiskRegister!S64</f>
        <v>0</v>
      </c>
      <c r="F56" s="284">
        <f t="shared" si="1"/>
        <v>0</v>
      </c>
      <c r="G56" s="330">
        <f>_xll.RtaTRIANGULAR(D56,E56,F56)</f>
        <v>0</v>
      </c>
      <c r="H56" s="331">
        <f>_xll.OpPERCENTILE(G56,$H$7)</f>
        <v>0</v>
      </c>
      <c r="I56" s="31"/>
      <c r="J56" s="273">
        <f t="shared" si="2"/>
        <v>0</v>
      </c>
      <c r="K56" s="318">
        <f>RiskRegister!AB64</f>
        <v>0</v>
      </c>
      <c r="L56" s="273">
        <f t="shared" si="3"/>
        <v>0</v>
      </c>
      <c r="M56" s="318">
        <f>_xll.RtaTRIANGULAR(J56,K56,L56)</f>
        <v>0</v>
      </c>
      <c r="N56" s="332">
        <f>_xll.OpPERCENTILE(M56,$N$7)</f>
        <v>0</v>
      </c>
      <c r="R56" s="10" t="s">
        <v>1879</v>
      </c>
      <c r="S56" s="309">
        <v>0.5</v>
      </c>
    </row>
    <row r="57" spans="3:19" s="10" customFormat="1" ht="18" customHeight="1" x14ac:dyDescent="0.25">
      <c r="C57" s="317">
        <v>50</v>
      </c>
      <c r="D57" s="273">
        <f t="shared" si="0"/>
        <v>0</v>
      </c>
      <c r="E57" s="318">
        <f>RiskRegister!S65</f>
        <v>0</v>
      </c>
      <c r="F57" s="284">
        <f t="shared" si="1"/>
        <v>0</v>
      </c>
      <c r="G57" s="330">
        <f>_xll.RtaTRIANGULAR(D57,E57,F57)</f>
        <v>0</v>
      </c>
      <c r="H57" s="331">
        <f>_xll.OpPERCENTILE(G57,$H$7)</f>
        <v>0</v>
      </c>
      <c r="I57" s="31"/>
      <c r="J57" s="273">
        <f t="shared" si="2"/>
        <v>0</v>
      </c>
      <c r="K57" s="318">
        <f>RiskRegister!AB65</f>
        <v>0</v>
      </c>
      <c r="L57" s="273">
        <f t="shared" si="3"/>
        <v>0</v>
      </c>
      <c r="M57" s="318">
        <f>_xll.RtaTRIANGULAR(J57,K57,L57)</f>
        <v>0</v>
      </c>
      <c r="N57" s="332">
        <f>_xll.OpPERCENTILE(M57,$N$7)</f>
        <v>0</v>
      </c>
      <c r="R57" s="10" t="s">
        <v>1880</v>
      </c>
      <c r="S57" s="309">
        <v>0.51</v>
      </c>
    </row>
    <row r="58" spans="3:19" s="10" customFormat="1" ht="18" customHeight="1" x14ac:dyDescent="0.25">
      <c r="C58" s="317">
        <v>51</v>
      </c>
      <c r="D58" s="273">
        <f t="shared" si="0"/>
        <v>0</v>
      </c>
      <c r="E58" s="318">
        <f>RiskRegister!S66</f>
        <v>0</v>
      </c>
      <c r="F58" s="284">
        <f t="shared" si="1"/>
        <v>0</v>
      </c>
      <c r="G58" s="330">
        <f>_xll.RtaTRIANGULAR(D58,E58,F58)</f>
        <v>0</v>
      </c>
      <c r="H58" s="331">
        <f>_xll.OpPERCENTILE(G58,$H$7)</f>
        <v>0</v>
      </c>
      <c r="I58" s="31"/>
      <c r="J58" s="273">
        <f t="shared" si="2"/>
        <v>0</v>
      </c>
      <c r="K58" s="318">
        <f>RiskRegister!AB66</f>
        <v>0</v>
      </c>
      <c r="L58" s="273">
        <f t="shared" si="3"/>
        <v>0</v>
      </c>
      <c r="M58" s="318">
        <f>_xll.RtaTRIANGULAR(J58,K58,L58)</f>
        <v>0</v>
      </c>
      <c r="N58" s="332">
        <f>_xll.OpPERCENTILE(M58,$N$7)</f>
        <v>0</v>
      </c>
      <c r="R58" s="10" t="s">
        <v>1881</v>
      </c>
      <c r="S58" s="309">
        <v>0.52</v>
      </c>
    </row>
    <row r="59" spans="3:19" s="10" customFormat="1" ht="18" customHeight="1" x14ac:dyDescent="0.25">
      <c r="C59" s="317">
        <v>52</v>
      </c>
      <c r="D59" s="273">
        <f t="shared" si="0"/>
        <v>0</v>
      </c>
      <c r="E59" s="318">
        <f>RiskRegister!S67</f>
        <v>0</v>
      </c>
      <c r="F59" s="284">
        <f t="shared" si="1"/>
        <v>0</v>
      </c>
      <c r="G59" s="330">
        <f>_xll.RtaTRIANGULAR(D59,E59,F59)</f>
        <v>0</v>
      </c>
      <c r="H59" s="331">
        <f>_xll.OpPERCENTILE(G59,$H$7)</f>
        <v>0</v>
      </c>
      <c r="I59" s="31"/>
      <c r="J59" s="273">
        <f t="shared" si="2"/>
        <v>0</v>
      </c>
      <c r="K59" s="318">
        <f>RiskRegister!AB67</f>
        <v>0</v>
      </c>
      <c r="L59" s="273">
        <f t="shared" si="3"/>
        <v>0</v>
      </c>
      <c r="M59" s="318">
        <f>_xll.RtaTRIANGULAR(J59,K59,L59)</f>
        <v>0</v>
      </c>
      <c r="N59" s="332">
        <f>_xll.OpPERCENTILE(M59,$N$7)</f>
        <v>0</v>
      </c>
      <c r="R59" s="10" t="s">
        <v>1882</v>
      </c>
      <c r="S59" s="309">
        <v>0.53</v>
      </c>
    </row>
    <row r="60" spans="3:19" s="10" customFormat="1" ht="18" customHeight="1" x14ac:dyDescent="0.25">
      <c r="C60" s="317">
        <v>53</v>
      </c>
      <c r="D60" s="273">
        <f t="shared" si="0"/>
        <v>0</v>
      </c>
      <c r="E60" s="318">
        <f>RiskRegister!S68</f>
        <v>0</v>
      </c>
      <c r="F60" s="284">
        <f t="shared" si="1"/>
        <v>0</v>
      </c>
      <c r="G60" s="330">
        <f>_xll.RtaTRIANGULAR(D60,E60,F60)</f>
        <v>0</v>
      </c>
      <c r="H60" s="331">
        <f>_xll.OpPERCENTILE(G60,$H$7)</f>
        <v>0</v>
      </c>
      <c r="I60" s="31"/>
      <c r="J60" s="273">
        <f t="shared" si="2"/>
        <v>0</v>
      </c>
      <c r="K60" s="318">
        <f>RiskRegister!AB68</f>
        <v>0</v>
      </c>
      <c r="L60" s="273">
        <f t="shared" si="3"/>
        <v>0</v>
      </c>
      <c r="M60" s="318">
        <f>_xll.RtaTRIANGULAR(J60,K60,L60)</f>
        <v>0</v>
      </c>
      <c r="N60" s="332">
        <f>_xll.OpPERCENTILE(M60,$N$7)</f>
        <v>0</v>
      </c>
      <c r="R60" s="10" t="s">
        <v>1883</v>
      </c>
      <c r="S60" s="309">
        <v>0.54</v>
      </c>
    </row>
    <row r="61" spans="3:19" s="10" customFormat="1" ht="18" customHeight="1" x14ac:dyDescent="0.25">
      <c r="C61" s="317">
        <v>54</v>
      </c>
      <c r="D61" s="273">
        <f t="shared" si="0"/>
        <v>0</v>
      </c>
      <c r="E61" s="318">
        <f>RiskRegister!S69</f>
        <v>0</v>
      </c>
      <c r="F61" s="284">
        <f t="shared" si="1"/>
        <v>0</v>
      </c>
      <c r="G61" s="330">
        <f>_xll.RtaTRIANGULAR(D61,E61,F61)</f>
        <v>0</v>
      </c>
      <c r="H61" s="331">
        <f>_xll.OpPERCENTILE(G61,$H$7)</f>
        <v>0</v>
      </c>
      <c r="I61" s="31"/>
      <c r="J61" s="273">
        <f t="shared" si="2"/>
        <v>0</v>
      </c>
      <c r="K61" s="318">
        <f>RiskRegister!AB69</f>
        <v>0</v>
      </c>
      <c r="L61" s="273">
        <f t="shared" si="3"/>
        <v>0</v>
      </c>
      <c r="M61" s="318">
        <f>_xll.RtaTRIANGULAR(J61,K61,L61)</f>
        <v>0</v>
      </c>
      <c r="N61" s="332">
        <f>_xll.OpPERCENTILE(M61,$N$7)</f>
        <v>0</v>
      </c>
      <c r="R61" s="10" t="s">
        <v>1884</v>
      </c>
      <c r="S61" s="309">
        <v>0.55000000000000004</v>
      </c>
    </row>
    <row r="62" spans="3:19" s="10" customFormat="1" ht="18" customHeight="1" x14ac:dyDescent="0.25">
      <c r="C62" s="317">
        <v>55</v>
      </c>
      <c r="D62" s="273">
        <f t="shared" si="0"/>
        <v>0</v>
      </c>
      <c r="E62" s="318">
        <f>RiskRegister!S70</f>
        <v>0</v>
      </c>
      <c r="F62" s="284">
        <f t="shared" si="1"/>
        <v>0</v>
      </c>
      <c r="G62" s="330">
        <f>_xll.RtaTRIANGULAR(D62,E62,F62)</f>
        <v>0</v>
      </c>
      <c r="H62" s="331">
        <f>_xll.OpPERCENTILE(G62,$H$7)</f>
        <v>0</v>
      </c>
      <c r="I62" s="31"/>
      <c r="J62" s="273">
        <f t="shared" si="2"/>
        <v>0</v>
      </c>
      <c r="K62" s="318">
        <f>RiskRegister!AB70</f>
        <v>0</v>
      </c>
      <c r="L62" s="273">
        <f t="shared" si="3"/>
        <v>0</v>
      </c>
      <c r="M62" s="318">
        <f>_xll.RtaTRIANGULAR(J62,K62,L62)</f>
        <v>0</v>
      </c>
      <c r="N62" s="332">
        <f>_xll.OpPERCENTILE(M62,$N$7)</f>
        <v>0</v>
      </c>
      <c r="R62" s="10" t="s">
        <v>1885</v>
      </c>
      <c r="S62" s="309">
        <v>0.56000000000000005</v>
      </c>
    </row>
    <row r="63" spans="3:19" s="10" customFormat="1" ht="18" customHeight="1" x14ac:dyDescent="0.25">
      <c r="C63" s="317">
        <v>56</v>
      </c>
      <c r="D63" s="273">
        <f t="shared" si="0"/>
        <v>0</v>
      </c>
      <c r="E63" s="318">
        <f>RiskRegister!S71</f>
        <v>0</v>
      </c>
      <c r="F63" s="284">
        <f t="shared" si="1"/>
        <v>0</v>
      </c>
      <c r="G63" s="330">
        <f>_xll.RtaTRIANGULAR(D63,E63,F63)</f>
        <v>0</v>
      </c>
      <c r="H63" s="331">
        <f>_xll.OpPERCENTILE(G63,$H$7)</f>
        <v>0</v>
      </c>
      <c r="I63" s="31"/>
      <c r="J63" s="273">
        <f t="shared" si="2"/>
        <v>0</v>
      </c>
      <c r="K63" s="318">
        <f>RiskRegister!AB71</f>
        <v>0</v>
      </c>
      <c r="L63" s="273">
        <f t="shared" si="3"/>
        <v>0</v>
      </c>
      <c r="M63" s="318">
        <f>_xll.RtaTRIANGULAR(J63,K63,L63)</f>
        <v>0</v>
      </c>
      <c r="N63" s="332">
        <f>_xll.OpPERCENTILE(M63,$N$7)</f>
        <v>0</v>
      </c>
      <c r="R63" s="10" t="s">
        <v>1886</v>
      </c>
      <c r="S63" s="309">
        <v>0.56999999999999995</v>
      </c>
    </row>
    <row r="64" spans="3:19" s="10" customFormat="1" ht="18" customHeight="1" x14ac:dyDescent="0.25">
      <c r="C64" s="317">
        <v>57</v>
      </c>
      <c r="D64" s="273">
        <f t="shared" si="0"/>
        <v>0</v>
      </c>
      <c r="E64" s="318">
        <f>RiskRegister!S72</f>
        <v>0</v>
      </c>
      <c r="F64" s="284">
        <f t="shared" si="1"/>
        <v>0</v>
      </c>
      <c r="G64" s="330">
        <f>_xll.RtaTRIANGULAR(D64,E64,F64)</f>
        <v>0</v>
      </c>
      <c r="H64" s="331">
        <f>_xll.OpPERCENTILE(G64,$H$7)</f>
        <v>0</v>
      </c>
      <c r="I64" s="31"/>
      <c r="J64" s="273">
        <f t="shared" si="2"/>
        <v>0</v>
      </c>
      <c r="K64" s="318">
        <f>RiskRegister!AB72</f>
        <v>0</v>
      </c>
      <c r="L64" s="273">
        <f t="shared" si="3"/>
        <v>0</v>
      </c>
      <c r="M64" s="318">
        <f>_xll.RtaTRIANGULAR(J64,K64,L64)</f>
        <v>0</v>
      </c>
      <c r="N64" s="332">
        <f>_xll.OpPERCENTILE(M64,$N$7)</f>
        <v>0</v>
      </c>
      <c r="R64" s="10" t="s">
        <v>1887</v>
      </c>
      <c r="S64" s="309">
        <v>0.57999999999999996</v>
      </c>
    </row>
    <row r="65" spans="3:19" s="10" customFormat="1" ht="18" customHeight="1" x14ac:dyDescent="0.25">
      <c r="C65" s="317">
        <v>58</v>
      </c>
      <c r="D65" s="273">
        <f t="shared" si="0"/>
        <v>0</v>
      </c>
      <c r="E65" s="318">
        <f>RiskRegister!S73</f>
        <v>0</v>
      </c>
      <c r="F65" s="284">
        <f t="shared" si="1"/>
        <v>0</v>
      </c>
      <c r="G65" s="330">
        <f>_xll.RtaTRIANGULAR(D65,E65,F65)</f>
        <v>0</v>
      </c>
      <c r="H65" s="331">
        <f>_xll.OpPERCENTILE(G65,$H$7)</f>
        <v>0</v>
      </c>
      <c r="I65" s="31"/>
      <c r="J65" s="273">
        <f t="shared" si="2"/>
        <v>0</v>
      </c>
      <c r="K65" s="318">
        <f>RiskRegister!AB73</f>
        <v>0</v>
      </c>
      <c r="L65" s="273">
        <f t="shared" si="3"/>
        <v>0</v>
      </c>
      <c r="M65" s="318">
        <f>_xll.RtaTRIANGULAR(J65,K65,L65)</f>
        <v>0</v>
      </c>
      <c r="N65" s="332">
        <f>_xll.OpPERCENTILE(M65,$N$7)</f>
        <v>0</v>
      </c>
      <c r="R65" s="10" t="s">
        <v>1888</v>
      </c>
      <c r="S65" s="309">
        <v>0.59</v>
      </c>
    </row>
    <row r="66" spans="3:19" s="10" customFormat="1" ht="18" customHeight="1" x14ac:dyDescent="0.25">
      <c r="C66" s="317">
        <v>59</v>
      </c>
      <c r="D66" s="273">
        <f t="shared" si="0"/>
        <v>0</v>
      </c>
      <c r="E66" s="318">
        <f>RiskRegister!S74</f>
        <v>0</v>
      </c>
      <c r="F66" s="284">
        <f t="shared" si="1"/>
        <v>0</v>
      </c>
      <c r="G66" s="330">
        <f>_xll.RtaTRIANGULAR(D66,E66,F66)</f>
        <v>0</v>
      </c>
      <c r="H66" s="331">
        <f>_xll.OpPERCENTILE(G66,$H$7)</f>
        <v>0</v>
      </c>
      <c r="I66" s="31"/>
      <c r="J66" s="273">
        <f t="shared" si="2"/>
        <v>0</v>
      </c>
      <c r="K66" s="318">
        <f>RiskRegister!AB74</f>
        <v>0</v>
      </c>
      <c r="L66" s="273">
        <f t="shared" si="3"/>
        <v>0</v>
      </c>
      <c r="M66" s="318">
        <f>_xll.RtaTRIANGULAR(J66,K66,L66)</f>
        <v>0</v>
      </c>
      <c r="N66" s="332">
        <f>_xll.OpPERCENTILE(M66,$N$7)</f>
        <v>0</v>
      </c>
      <c r="R66" s="10" t="s">
        <v>1889</v>
      </c>
      <c r="S66" s="309">
        <v>0.6</v>
      </c>
    </row>
    <row r="67" spans="3:19" s="10" customFormat="1" ht="18" customHeight="1" x14ac:dyDescent="0.25">
      <c r="C67" s="317">
        <v>60</v>
      </c>
      <c r="D67" s="273">
        <f t="shared" si="0"/>
        <v>0</v>
      </c>
      <c r="E67" s="318">
        <f>RiskRegister!S75</f>
        <v>0</v>
      </c>
      <c r="F67" s="284">
        <f t="shared" si="1"/>
        <v>0</v>
      </c>
      <c r="G67" s="330">
        <f>_xll.RtaTRIANGULAR(D67,E67,F67)</f>
        <v>0</v>
      </c>
      <c r="H67" s="331">
        <f>_xll.OpPERCENTILE(G67,$H$7)</f>
        <v>0</v>
      </c>
      <c r="I67" s="31"/>
      <c r="J67" s="273">
        <f t="shared" si="2"/>
        <v>0</v>
      </c>
      <c r="K67" s="318">
        <f>RiskRegister!AB75</f>
        <v>0</v>
      </c>
      <c r="L67" s="273">
        <f t="shared" si="3"/>
        <v>0</v>
      </c>
      <c r="M67" s="318">
        <f>_xll.RtaTRIANGULAR(J67,K67,L67)</f>
        <v>0</v>
      </c>
      <c r="N67" s="332">
        <f>_xll.OpPERCENTILE(M67,$N$7)</f>
        <v>0</v>
      </c>
      <c r="R67" s="10" t="s">
        <v>1890</v>
      </c>
      <c r="S67" s="309">
        <v>0.61</v>
      </c>
    </row>
    <row r="68" spans="3:19" s="10" customFormat="1" ht="18" customHeight="1" x14ac:dyDescent="0.25">
      <c r="C68" s="317">
        <v>61</v>
      </c>
      <c r="D68" s="273">
        <f t="shared" si="0"/>
        <v>0</v>
      </c>
      <c r="E68" s="318">
        <f>RiskRegister!S76</f>
        <v>0</v>
      </c>
      <c r="F68" s="284">
        <f t="shared" si="1"/>
        <v>0</v>
      </c>
      <c r="G68" s="330">
        <f>_xll.RtaTRIANGULAR(D68,E68,F68)</f>
        <v>0</v>
      </c>
      <c r="H68" s="331">
        <f>_xll.OpPERCENTILE(G68,$H$7)</f>
        <v>0</v>
      </c>
      <c r="I68" s="31"/>
      <c r="J68" s="273">
        <f t="shared" si="2"/>
        <v>0</v>
      </c>
      <c r="K68" s="318">
        <f>RiskRegister!AB76</f>
        <v>0</v>
      </c>
      <c r="L68" s="273">
        <f t="shared" si="3"/>
        <v>0</v>
      </c>
      <c r="M68" s="318">
        <f>_xll.RtaTRIANGULAR(J68,K68,L68)</f>
        <v>0</v>
      </c>
      <c r="N68" s="332">
        <f>_xll.OpPERCENTILE(M68,$N$7)</f>
        <v>0</v>
      </c>
      <c r="R68" s="10" t="s">
        <v>1891</v>
      </c>
      <c r="S68" s="309">
        <v>0.62</v>
      </c>
    </row>
    <row r="69" spans="3:19" s="10" customFormat="1" ht="18" customHeight="1" x14ac:dyDescent="0.25">
      <c r="C69" s="317">
        <v>62</v>
      </c>
      <c r="D69" s="273">
        <f t="shared" si="0"/>
        <v>0</v>
      </c>
      <c r="E69" s="318">
        <f>RiskRegister!S77</f>
        <v>0</v>
      </c>
      <c r="F69" s="284">
        <f t="shared" si="1"/>
        <v>0</v>
      </c>
      <c r="G69" s="330">
        <f>_xll.RtaTRIANGULAR(D69,E69,F69)</f>
        <v>0</v>
      </c>
      <c r="H69" s="331">
        <f>_xll.OpPERCENTILE(G69,$H$7)</f>
        <v>0</v>
      </c>
      <c r="I69" s="31"/>
      <c r="J69" s="273">
        <f t="shared" si="2"/>
        <v>0</v>
      </c>
      <c r="K69" s="318">
        <f>RiskRegister!AB77</f>
        <v>0</v>
      </c>
      <c r="L69" s="273">
        <f t="shared" si="3"/>
        <v>0</v>
      </c>
      <c r="M69" s="318">
        <f>_xll.RtaTRIANGULAR(J69,K69,L69)</f>
        <v>0</v>
      </c>
      <c r="N69" s="332">
        <f>_xll.OpPERCENTILE(M69,$N$7)</f>
        <v>0</v>
      </c>
      <c r="R69" s="10" t="s">
        <v>1892</v>
      </c>
      <c r="S69" s="309">
        <v>0.63</v>
      </c>
    </row>
    <row r="70" spans="3:19" s="10" customFormat="1" ht="18" customHeight="1" x14ac:dyDescent="0.25">
      <c r="C70" s="317">
        <v>63</v>
      </c>
      <c r="D70" s="273">
        <f t="shared" si="0"/>
        <v>0</v>
      </c>
      <c r="E70" s="318">
        <f>RiskRegister!S78</f>
        <v>0</v>
      </c>
      <c r="F70" s="284">
        <f t="shared" si="1"/>
        <v>0</v>
      </c>
      <c r="G70" s="330">
        <f>_xll.RtaTRIANGULAR(D70,E70,F70)</f>
        <v>0</v>
      </c>
      <c r="H70" s="331">
        <f>_xll.OpPERCENTILE(G70,$H$7)</f>
        <v>0</v>
      </c>
      <c r="I70" s="31"/>
      <c r="J70" s="273">
        <f t="shared" si="2"/>
        <v>0</v>
      </c>
      <c r="K70" s="318">
        <f>RiskRegister!AB78</f>
        <v>0</v>
      </c>
      <c r="L70" s="273">
        <f t="shared" si="3"/>
        <v>0</v>
      </c>
      <c r="M70" s="318">
        <f>_xll.RtaTRIANGULAR(J70,K70,L70)</f>
        <v>0</v>
      </c>
      <c r="N70" s="332">
        <f>_xll.OpPERCENTILE(M70,$N$7)</f>
        <v>0</v>
      </c>
      <c r="R70" s="10" t="s">
        <v>1893</v>
      </c>
      <c r="S70" s="309">
        <v>0.64</v>
      </c>
    </row>
    <row r="71" spans="3:19" s="10" customFormat="1" ht="18" customHeight="1" x14ac:dyDescent="0.25">
      <c r="C71" s="317">
        <v>64</v>
      </c>
      <c r="D71" s="273">
        <f t="shared" si="0"/>
        <v>0</v>
      </c>
      <c r="E71" s="318">
        <f>RiskRegister!S79</f>
        <v>0</v>
      </c>
      <c r="F71" s="284">
        <f t="shared" si="1"/>
        <v>0</v>
      </c>
      <c r="G71" s="330">
        <f>_xll.RtaTRIANGULAR(D71,E71,F71)</f>
        <v>0</v>
      </c>
      <c r="H71" s="331">
        <f>_xll.OpPERCENTILE(G71,$H$7)</f>
        <v>0</v>
      </c>
      <c r="I71" s="31"/>
      <c r="J71" s="273">
        <f t="shared" si="2"/>
        <v>0</v>
      </c>
      <c r="K71" s="318">
        <f>RiskRegister!AB79</f>
        <v>0</v>
      </c>
      <c r="L71" s="273">
        <f t="shared" si="3"/>
        <v>0</v>
      </c>
      <c r="M71" s="318">
        <f>_xll.RtaTRIANGULAR(J71,K71,L71)</f>
        <v>0</v>
      </c>
      <c r="N71" s="332">
        <f>_xll.OpPERCENTILE(M71,$N$7)</f>
        <v>0</v>
      </c>
      <c r="R71" s="10" t="s">
        <v>1894</v>
      </c>
      <c r="S71" s="309">
        <v>0.65</v>
      </c>
    </row>
    <row r="72" spans="3:19" s="10" customFormat="1" ht="18" customHeight="1" x14ac:dyDescent="0.25">
      <c r="C72" s="317">
        <v>65</v>
      </c>
      <c r="D72" s="273">
        <f t="shared" si="0"/>
        <v>0</v>
      </c>
      <c r="E72" s="318">
        <f>RiskRegister!S80</f>
        <v>0</v>
      </c>
      <c r="F72" s="284">
        <f t="shared" si="1"/>
        <v>0</v>
      </c>
      <c r="G72" s="330">
        <f>_xll.RtaTRIANGULAR(D72,E72,F72)</f>
        <v>0</v>
      </c>
      <c r="H72" s="331">
        <f>_xll.OpPERCENTILE(G72,$H$7)</f>
        <v>0</v>
      </c>
      <c r="I72" s="31"/>
      <c r="J72" s="273">
        <f t="shared" si="2"/>
        <v>0</v>
      </c>
      <c r="K72" s="318">
        <f>RiskRegister!AB80</f>
        <v>0</v>
      </c>
      <c r="L72" s="273">
        <f t="shared" si="3"/>
        <v>0</v>
      </c>
      <c r="M72" s="318">
        <f>_xll.RtaTRIANGULAR(J72,K72,L72)</f>
        <v>0</v>
      </c>
      <c r="N72" s="332">
        <f>_xll.OpPERCENTILE(M72,$N$7)</f>
        <v>0</v>
      </c>
      <c r="R72" s="10" t="s">
        <v>1895</v>
      </c>
      <c r="S72" s="309">
        <v>0.66</v>
      </c>
    </row>
    <row r="73" spans="3:19" s="10" customFormat="1" ht="18" customHeight="1" x14ac:dyDescent="0.25">
      <c r="C73" s="317">
        <v>66</v>
      </c>
      <c r="D73" s="273">
        <f t="shared" ref="D73:D136" si="4">E73*0.7</f>
        <v>0</v>
      </c>
      <c r="E73" s="318">
        <f>RiskRegister!S81</f>
        <v>0</v>
      </c>
      <c r="F73" s="284">
        <f t="shared" ref="F73:F136" si="5">E73*1.35</f>
        <v>0</v>
      </c>
      <c r="G73" s="330">
        <f>_xll.RtaTRIANGULAR(D73,E73,F73)</f>
        <v>0</v>
      </c>
      <c r="H73" s="331">
        <f>_xll.OpPERCENTILE(G73,$H$7)</f>
        <v>0</v>
      </c>
      <c r="I73" s="31"/>
      <c r="J73" s="273">
        <f t="shared" ref="J73:J136" si="6">K73*0.8</f>
        <v>0</v>
      </c>
      <c r="K73" s="318">
        <f>RiskRegister!AB81</f>
        <v>0</v>
      </c>
      <c r="L73" s="273">
        <f t="shared" ref="L73:L136" si="7">K73*1.6</f>
        <v>0</v>
      </c>
      <c r="M73" s="318">
        <f>_xll.RtaTRIANGULAR(J73,K73,L73)</f>
        <v>0</v>
      </c>
      <c r="N73" s="332">
        <f>_xll.OpPERCENTILE(M73,$N$7)</f>
        <v>0</v>
      </c>
      <c r="R73" s="10" t="s">
        <v>1896</v>
      </c>
      <c r="S73" s="309">
        <v>0.67</v>
      </c>
    </row>
    <row r="74" spans="3:19" s="10" customFormat="1" ht="18" customHeight="1" x14ac:dyDescent="0.25">
      <c r="C74" s="317">
        <v>67</v>
      </c>
      <c r="D74" s="273">
        <f t="shared" si="4"/>
        <v>0</v>
      </c>
      <c r="E74" s="318">
        <f>RiskRegister!S82</f>
        <v>0</v>
      </c>
      <c r="F74" s="284">
        <f t="shared" si="5"/>
        <v>0</v>
      </c>
      <c r="G74" s="330">
        <f>_xll.RtaTRIANGULAR(D74,E74,F74)</f>
        <v>0</v>
      </c>
      <c r="H74" s="331">
        <f>_xll.OpPERCENTILE(G74,$H$7)</f>
        <v>0</v>
      </c>
      <c r="I74" s="31"/>
      <c r="J74" s="273">
        <f t="shared" si="6"/>
        <v>0</v>
      </c>
      <c r="K74" s="318">
        <f>RiskRegister!AB82</f>
        <v>0</v>
      </c>
      <c r="L74" s="273">
        <f t="shared" si="7"/>
        <v>0</v>
      </c>
      <c r="M74" s="318">
        <f>_xll.RtaTRIANGULAR(J74,K74,L74)</f>
        <v>0</v>
      </c>
      <c r="N74" s="332">
        <f>_xll.OpPERCENTILE(M74,$N$7)</f>
        <v>0</v>
      </c>
      <c r="R74" s="10" t="s">
        <v>1897</v>
      </c>
      <c r="S74" s="309">
        <v>0.68</v>
      </c>
    </row>
    <row r="75" spans="3:19" s="10" customFormat="1" ht="18" customHeight="1" x14ac:dyDescent="0.25">
      <c r="C75" s="317">
        <v>68</v>
      </c>
      <c r="D75" s="273">
        <f t="shared" si="4"/>
        <v>0</v>
      </c>
      <c r="E75" s="318">
        <f>RiskRegister!S83</f>
        <v>0</v>
      </c>
      <c r="F75" s="284">
        <f t="shared" si="5"/>
        <v>0</v>
      </c>
      <c r="G75" s="330">
        <f>_xll.RtaTRIANGULAR(D75,E75,F75)</f>
        <v>0</v>
      </c>
      <c r="H75" s="331">
        <f>_xll.OpPERCENTILE(G75,$H$7)</f>
        <v>0</v>
      </c>
      <c r="I75" s="31"/>
      <c r="J75" s="273">
        <f t="shared" si="6"/>
        <v>0</v>
      </c>
      <c r="K75" s="318">
        <f>RiskRegister!AB83</f>
        <v>0</v>
      </c>
      <c r="L75" s="273">
        <f t="shared" si="7"/>
        <v>0</v>
      </c>
      <c r="M75" s="318">
        <f>_xll.RtaTRIANGULAR(J75,K75,L75)</f>
        <v>0</v>
      </c>
      <c r="N75" s="332">
        <f>_xll.OpPERCENTILE(M75,$N$7)</f>
        <v>0</v>
      </c>
      <c r="R75" s="10" t="s">
        <v>1898</v>
      </c>
      <c r="S75" s="309">
        <v>0.69</v>
      </c>
    </row>
    <row r="76" spans="3:19" s="10" customFormat="1" ht="18" customHeight="1" x14ac:dyDescent="0.25">
      <c r="C76" s="317">
        <v>69</v>
      </c>
      <c r="D76" s="273">
        <f t="shared" si="4"/>
        <v>0</v>
      </c>
      <c r="E76" s="318">
        <f>RiskRegister!S84</f>
        <v>0</v>
      </c>
      <c r="F76" s="284">
        <f t="shared" si="5"/>
        <v>0</v>
      </c>
      <c r="G76" s="330">
        <f>_xll.RtaTRIANGULAR(D76,E76,F76)</f>
        <v>0</v>
      </c>
      <c r="H76" s="331">
        <f>_xll.OpPERCENTILE(G76,$H$7)</f>
        <v>0</v>
      </c>
      <c r="I76" s="31"/>
      <c r="J76" s="273">
        <f t="shared" si="6"/>
        <v>0</v>
      </c>
      <c r="K76" s="318">
        <f>RiskRegister!AB84</f>
        <v>0</v>
      </c>
      <c r="L76" s="273">
        <f t="shared" si="7"/>
        <v>0</v>
      </c>
      <c r="M76" s="318">
        <f>_xll.RtaTRIANGULAR(J76,K76,L76)</f>
        <v>0</v>
      </c>
      <c r="N76" s="332">
        <f>_xll.OpPERCENTILE(M76,$N$7)</f>
        <v>0</v>
      </c>
      <c r="R76" s="10" t="s">
        <v>1899</v>
      </c>
      <c r="S76" s="309">
        <v>0.7</v>
      </c>
    </row>
    <row r="77" spans="3:19" s="10" customFormat="1" ht="18" customHeight="1" x14ac:dyDescent="0.25">
      <c r="C77" s="317">
        <v>70</v>
      </c>
      <c r="D77" s="273">
        <f t="shared" si="4"/>
        <v>0</v>
      </c>
      <c r="E77" s="318">
        <f>RiskRegister!S85</f>
        <v>0</v>
      </c>
      <c r="F77" s="284">
        <f t="shared" si="5"/>
        <v>0</v>
      </c>
      <c r="G77" s="330">
        <f>_xll.RtaTRIANGULAR(D77,E77,F77)</f>
        <v>0</v>
      </c>
      <c r="H77" s="331">
        <f>_xll.OpPERCENTILE(G77,$H$7)</f>
        <v>0</v>
      </c>
      <c r="I77" s="31"/>
      <c r="J77" s="273">
        <f t="shared" si="6"/>
        <v>0</v>
      </c>
      <c r="K77" s="318">
        <f>RiskRegister!AB85</f>
        <v>0</v>
      </c>
      <c r="L77" s="273">
        <f t="shared" si="7"/>
        <v>0</v>
      </c>
      <c r="M77" s="318">
        <f>_xll.RtaTRIANGULAR(J77,K77,L77)</f>
        <v>0</v>
      </c>
      <c r="N77" s="332">
        <f>_xll.OpPERCENTILE(M77,$N$7)</f>
        <v>0</v>
      </c>
      <c r="R77" s="10" t="s">
        <v>1900</v>
      </c>
      <c r="S77" s="309">
        <v>0.71</v>
      </c>
    </row>
    <row r="78" spans="3:19" s="10" customFormat="1" ht="18" customHeight="1" x14ac:dyDescent="0.25">
      <c r="C78" s="317">
        <v>71</v>
      </c>
      <c r="D78" s="273">
        <f t="shared" si="4"/>
        <v>0</v>
      </c>
      <c r="E78" s="318">
        <f>RiskRegister!S86</f>
        <v>0</v>
      </c>
      <c r="F78" s="284">
        <f t="shared" si="5"/>
        <v>0</v>
      </c>
      <c r="G78" s="330">
        <f>_xll.RtaTRIANGULAR(D78,E78,F78)</f>
        <v>0</v>
      </c>
      <c r="H78" s="331">
        <f>_xll.OpPERCENTILE(G78,$H$7)</f>
        <v>0</v>
      </c>
      <c r="I78" s="31"/>
      <c r="J78" s="273">
        <f t="shared" si="6"/>
        <v>0</v>
      </c>
      <c r="K78" s="318">
        <f>RiskRegister!AB86</f>
        <v>0</v>
      </c>
      <c r="L78" s="273">
        <f t="shared" si="7"/>
        <v>0</v>
      </c>
      <c r="M78" s="318">
        <f>_xll.RtaTRIANGULAR(J78,K78,L78)</f>
        <v>0</v>
      </c>
      <c r="N78" s="332">
        <f>_xll.OpPERCENTILE(M78,$N$7)</f>
        <v>0</v>
      </c>
      <c r="R78" s="10" t="s">
        <v>1901</v>
      </c>
      <c r="S78" s="309">
        <v>0.72</v>
      </c>
    </row>
    <row r="79" spans="3:19" s="10" customFormat="1" ht="18" customHeight="1" x14ac:dyDescent="0.25">
      <c r="C79" s="317">
        <v>72</v>
      </c>
      <c r="D79" s="273">
        <f t="shared" si="4"/>
        <v>0</v>
      </c>
      <c r="E79" s="318">
        <f>RiskRegister!S87</f>
        <v>0</v>
      </c>
      <c r="F79" s="284">
        <f t="shared" si="5"/>
        <v>0</v>
      </c>
      <c r="G79" s="330">
        <f>_xll.RtaTRIANGULAR(D79,E79,F79)</f>
        <v>0</v>
      </c>
      <c r="H79" s="331">
        <f>_xll.OpPERCENTILE(G79,$H$7)</f>
        <v>0</v>
      </c>
      <c r="I79" s="31"/>
      <c r="J79" s="273">
        <f t="shared" si="6"/>
        <v>0</v>
      </c>
      <c r="K79" s="318">
        <f>RiskRegister!AB87</f>
        <v>0</v>
      </c>
      <c r="L79" s="273">
        <f t="shared" si="7"/>
        <v>0</v>
      </c>
      <c r="M79" s="318">
        <f>_xll.RtaTRIANGULAR(J79,K79,L79)</f>
        <v>0</v>
      </c>
      <c r="N79" s="332">
        <f>_xll.OpPERCENTILE(M79,$N$7)</f>
        <v>0</v>
      </c>
      <c r="R79" s="10" t="s">
        <v>1902</v>
      </c>
      <c r="S79" s="309">
        <v>0.73</v>
      </c>
    </row>
    <row r="80" spans="3:19" s="10" customFormat="1" ht="18" customHeight="1" x14ac:dyDescent="0.25">
      <c r="C80" s="317">
        <v>73</v>
      </c>
      <c r="D80" s="273">
        <f t="shared" si="4"/>
        <v>0</v>
      </c>
      <c r="E80" s="318">
        <f>RiskRegister!S88</f>
        <v>0</v>
      </c>
      <c r="F80" s="284">
        <f t="shared" si="5"/>
        <v>0</v>
      </c>
      <c r="G80" s="330">
        <f>_xll.RtaTRIANGULAR(D80,E80,F80)</f>
        <v>0</v>
      </c>
      <c r="H80" s="331">
        <f>_xll.OpPERCENTILE(G80,$H$7)</f>
        <v>0</v>
      </c>
      <c r="I80" s="31"/>
      <c r="J80" s="273">
        <f t="shared" si="6"/>
        <v>0</v>
      </c>
      <c r="K80" s="318">
        <f>RiskRegister!AB88</f>
        <v>0</v>
      </c>
      <c r="L80" s="273">
        <f t="shared" si="7"/>
        <v>0</v>
      </c>
      <c r="M80" s="318">
        <f>_xll.RtaTRIANGULAR(J80,K80,L80)</f>
        <v>0</v>
      </c>
      <c r="N80" s="332">
        <f>_xll.OpPERCENTILE(M80,$N$7)</f>
        <v>0</v>
      </c>
      <c r="R80" s="10" t="s">
        <v>1903</v>
      </c>
      <c r="S80" s="309">
        <v>0.74</v>
      </c>
    </row>
    <row r="81" spans="3:19" s="10" customFormat="1" ht="18" customHeight="1" x14ac:dyDescent="0.25">
      <c r="C81" s="317">
        <v>74</v>
      </c>
      <c r="D81" s="273">
        <f t="shared" si="4"/>
        <v>0</v>
      </c>
      <c r="E81" s="318">
        <f>RiskRegister!S89</f>
        <v>0</v>
      </c>
      <c r="F81" s="284">
        <f t="shared" si="5"/>
        <v>0</v>
      </c>
      <c r="G81" s="330">
        <f>_xll.RtaTRIANGULAR(D81,E81,F81)</f>
        <v>0</v>
      </c>
      <c r="H81" s="331">
        <f>_xll.OpPERCENTILE(G81,$H$7)</f>
        <v>0</v>
      </c>
      <c r="I81" s="31"/>
      <c r="J81" s="273">
        <f t="shared" si="6"/>
        <v>0</v>
      </c>
      <c r="K81" s="318">
        <f>RiskRegister!AB89</f>
        <v>0</v>
      </c>
      <c r="L81" s="273">
        <f t="shared" si="7"/>
        <v>0</v>
      </c>
      <c r="M81" s="318">
        <f>_xll.RtaTRIANGULAR(J81,K81,L81)</f>
        <v>0</v>
      </c>
      <c r="N81" s="332">
        <f>_xll.OpPERCENTILE(M81,$N$7)</f>
        <v>0</v>
      </c>
      <c r="R81" s="10" t="s">
        <v>1904</v>
      </c>
      <c r="S81" s="309">
        <v>0.75</v>
      </c>
    </row>
    <row r="82" spans="3:19" s="10" customFormat="1" ht="18" customHeight="1" x14ac:dyDescent="0.25">
      <c r="C82" s="317">
        <v>75</v>
      </c>
      <c r="D82" s="273">
        <f t="shared" si="4"/>
        <v>0</v>
      </c>
      <c r="E82" s="318">
        <f>RiskRegister!S90</f>
        <v>0</v>
      </c>
      <c r="F82" s="284">
        <f t="shared" si="5"/>
        <v>0</v>
      </c>
      <c r="G82" s="330">
        <f>_xll.RtaTRIANGULAR(D82,E82,F82)</f>
        <v>0</v>
      </c>
      <c r="H82" s="331">
        <f>_xll.OpPERCENTILE(G82,$H$7)</f>
        <v>0</v>
      </c>
      <c r="I82" s="31"/>
      <c r="J82" s="273">
        <f t="shared" si="6"/>
        <v>0</v>
      </c>
      <c r="K82" s="318">
        <f>RiskRegister!AB90</f>
        <v>0</v>
      </c>
      <c r="L82" s="273">
        <f t="shared" si="7"/>
        <v>0</v>
      </c>
      <c r="M82" s="318">
        <f>_xll.RtaTRIANGULAR(J82,K82,L82)</f>
        <v>0</v>
      </c>
      <c r="N82" s="332">
        <f>_xll.OpPERCENTILE(M82,$N$7)</f>
        <v>0</v>
      </c>
      <c r="R82" s="10" t="s">
        <v>1905</v>
      </c>
      <c r="S82" s="309">
        <v>0.76</v>
      </c>
    </row>
    <row r="83" spans="3:19" s="10" customFormat="1" ht="18" customHeight="1" x14ac:dyDescent="0.25">
      <c r="C83" s="317">
        <v>76</v>
      </c>
      <c r="D83" s="273">
        <f t="shared" si="4"/>
        <v>0</v>
      </c>
      <c r="E83" s="318">
        <f>RiskRegister!S91</f>
        <v>0</v>
      </c>
      <c r="F83" s="284">
        <f t="shared" si="5"/>
        <v>0</v>
      </c>
      <c r="G83" s="330">
        <f>_xll.RtaTRIANGULAR(D83,E83,F83)</f>
        <v>0</v>
      </c>
      <c r="H83" s="331">
        <f>_xll.OpPERCENTILE(G83,$H$7)</f>
        <v>0</v>
      </c>
      <c r="I83" s="31"/>
      <c r="J83" s="273">
        <f t="shared" si="6"/>
        <v>0</v>
      </c>
      <c r="K83" s="318">
        <f>RiskRegister!AB91</f>
        <v>0</v>
      </c>
      <c r="L83" s="273">
        <f t="shared" si="7"/>
        <v>0</v>
      </c>
      <c r="M83" s="318">
        <f>_xll.RtaTRIANGULAR(J83,K83,L83)</f>
        <v>0</v>
      </c>
      <c r="N83" s="332">
        <f>_xll.OpPERCENTILE(M83,$N$7)</f>
        <v>0</v>
      </c>
      <c r="R83" s="10" t="s">
        <v>1906</v>
      </c>
      <c r="S83" s="309">
        <v>0.77</v>
      </c>
    </row>
    <row r="84" spans="3:19" s="10" customFormat="1" ht="18" customHeight="1" x14ac:dyDescent="0.25">
      <c r="C84" s="317">
        <v>77</v>
      </c>
      <c r="D84" s="273">
        <f t="shared" si="4"/>
        <v>0</v>
      </c>
      <c r="E84" s="318">
        <f>RiskRegister!S92</f>
        <v>0</v>
      </c>
      <c r="F84" s="284">
        <f t="shared" si="5"/>
        <v>0</v>
      </c>
      <c r="G84" s="330">
        <f>_xll.RtaTRIANGULAR(D84,E84,F84)</f>
        <v>0</v>
      </c>
      <c r="H84" s="331">
        <f>_xll.OpPERCENTILE(G84,$H$7)</f>
        <v>0</v>
      </c>
      <c r="I84" s="31"/>
      <c r="J84" s="273">
        <f t="shared" si="6"/>
        <v>0</v>
      </c>
      <c r="K84" s="318">
        <f>RiskRegister!AB92</f>
        <v>0</v>
      </c>
      <c r="L84" s="273">
        <f t="shared" si="7"/>
        <v>0</v>
      </c>
      <c r="M84" s="318">
        <f>_xll.RtaTRIANGULAR(J84,K84,L84)</f>
        <v>0</v>
      </c>
      <c r="N84" s="332">
        <f>_xll.OpPERCENTILE(M84,$N$7)</f>
        <v>0</v>
      </c>
      <c r="R84" s="10" t="s">
        <v>1907</v>
      </c>
      <c r="S84" s="309">
        <v>0.78</v>
      </c>
    </row>
    <row r="85" spans="3:19" s="10" customFormat="1" ht="18" customHeight="1" x14ac:dyDescent="0.25">
      <c r="C85" s="317">
        <v>78</v>
      </c>
      <c r="D85" s="273">
        <f t="shared" si="4"/>
        <v>0</v>
      </c>
      <c r="E85" s="318">
        <f>RiskRegister!S93</f>
        <v>0</v>
      </c>
      <c r="F85" s="284">
        <f t="shared" si="5"/>
        <v>0</v>
      </c>
      <c r="G85" s="330">
        <f>_xll.RtaTRIANGULAR(D85,E85,F85)</f>
        <v>0</v>
      </c>
      <c r="H85" s="331">
        <f>_xll.OpPERCENTILE(G85,$H$7)</f>
        <v>0</v>
      </c>
      <c r="I85" s="31"/>
      <c r="J85" s="273">
        <f t="shared" si="6"/>
        <v>0</v>
      </c>
      <c r="K85" s="318">
        <f>RiskRegister!AB93</f>
        <v>0</v>
      </c>
      <c r="L85" s="273">
        <f t="shared" si="7"/>
        <v>0</v>
      </c>
      <c r="M85" s="318">
        <f>_xll.RtaTRIANGULAR(J85,K85,L85)</f>
        <v>0</v>
      </c>
      <c r="N85" s="332">
        <f>_xll.OpPERCENTILE(M85,$N$7)</f>
        <v>0</v>
      </c>
      <c r="R85" s="10" t="s">
        <v>1908</v>
      </c>
      <c r="S85" s="309">
        <v>0.79</v>
      </c>
    </row>
    <row r="86" spans="3:19" s="10" customFormat="1" ht="18" customHeight="1" x14ac:dyDescent="0.25">
      <c r="C86" s="317">
        <v>79</v>
      </c>
      <c r="D86" s="273">
        <f t="shared" si="4"/>
        <v>0</v>
      </c>
      <c r="E86" s="318">
        <f>RiskRegister!S94</f>
        <v>0</v>
      </c>
      <c r="F86" s="284">
        <f t="shared" si="5"/>
        <v>0</v>
      </c>
      <c r="G86" s="330">
        <f>_xll.RtaTRIANGULAR(D86,E86,F86)</f>
        <v>0</v>
      </c>
      <c r="H86" s="331">
        <f>_xll.OpPERCENTILE(G86,$H$7)</f>
        <v>0</v>
      </c>
      <c r="I86" s="31"/>
      <c r="J86" s="273">
        <f t="shared" si="6"/>
        <v>0</v>
      </c>
      <c r="K86" s="318">
        <f>RiskRegister!AB94</f>
        <v>0</v>
      </c>
      <c r="L86" s="273">
        <f t="shared" si="7"/>
        <v>0</v>
      </c>
      <c r="M86" s="318">
        <f>_xll.RtaTRIANGULAR(J86,K86,L86)</f>
        <v>0</v>
      </c>
      <c r="N86" s="332">
        <f>_xll.OpPERCENTILE(M86,$N$7)</f>
        <v>0</v>
      </c>
      <c r="R86" s="10" t="s">
        <v>1909</v>
      </c>
      <c r="S86" s="309">
        <v>0.8</v>
      </c>
    </row>
    <row r="87" spans="3:19" s="10" customFormat="1" ht="18" customHeight="1" x14ac:dyDescent="0.25">
      <c r="C87" s="317">
        <v>80</v>
      </c>
      <c r="D87" s="273">
        <f t="shared" si="4"/>
        <v>0</v>
      </c>
      <c r="E87" s="318">
        <f>RiskRegister!S95</f>
        <v>0</v>
      </c>
      <c r="F87" s="284">
        <f t="shared" si="5"/>
        <v>0</v>
      </c>
      <c r="G87" s="330">
        <f>_xll.RtaTRIANGULAR(D87,E87,F87)</f>
        <v>0</v>
      </c>
      <c r="H87" s="331">
        <f>_xll.OpPERCENTILE(G87,$H$7)</f>
        <v>0</v>
      </c>
      <c r="I87" s="31"/>
      <c r="J87" s="273">
        <f t="shared" si="6"/>
        <v>0</v>
      </c>
      <c r="K87" s="318">
        <f>RiskRegister!AB95</f>
        <v>0</v>
      </c>
      <c r="L87" s="273">
        <f t="shared" si="7"/>
        <v>0</v>
      </c>
      <c r="M87" s="318">
        <f>_xll.RtaTRIANGULAR(J87,K87,L87)</f>
        <v>0</v>
      </c>
      <c r="N87" s="332">
        <f>_xll.OpPERCENTILE(M87,$N$7)</f>
        <v>0</v>
      </c>
      <c r="R87" s="10" t="s">
        <v>1910</v>
      </c>
      <c r="S87" s="309">
        <v>0.81</v>
      </c>
    </row>
    <row r="88" spans="3:19" s="10" customFormat="1" ht="18" customHeight="1" x14ac:dyDescent="0.25">
      <c r="C88" s="317">
        <v>81</v>
      </c>
      <c r="D88" s="273">
        <f t="shared" si="4"/>
        <v>0</v>
      </c>
      <c r="E88" s="318">
        <f>RiskRegister!S96</f>
        <v>0</v>
      </c>
      <c r="F88" s="284">
        <f t="shared" si="5"/>
        <v>0</v>
      </c>
      <c r="G88" s="330">
        <f>_xll.RtaTRIANGULAR(D88,E88,F88)</f>
        <v>0</v>
      </c>
      <c r="H88" s="331">
        <f>_xll.OpPERCENTILE(G88,$H$7)</f>
        <v>0</v>
      </c>
      <c r="I88" s="31"/>
      <c r="J88" s="273">
        <f t="shared" si="6"/>
        <v>0</v>
      </c>
      <c r="K88" s="318">
        <f>RiskRegister!AB96</f>
        <v>0</v>
      </c>
      <c r="L88" s="273">
        <f t="shared" si="7"/>
        <v>0</v>
      </c>
      <c r="M88" s="318">
        <f>_xll.RtaTRIANGULAR(J88,K88,L88)</f>
        <v>0</v>
      </c>
      <c r="N88" s="332">
        <f>_xll.OpPERCENTILE(M88,$N$7)</f>
        <v>0</v>
      </c>
      <c r="R88" s="10" t="s">
        <v>1911</v>
      </c>
      <c r="S88" s="309">
        <v>0.82</v>
      </c>
    </row>
    <row r="89" spans="3:19" s="10" customFormat="1" ht="18" customHeight="1" x14ac:dyDescent="0.25">
      <c r="C89" s="317">
        <v>82</v>
      </c>
      <c r="D89" s="273">
        <f t="shared" si="4"/>
        <v>0</v>
      </c>
      <c r="E89" s="318">
        <f>RiskRegister!S97</f>
        <v>0</v>
      </c>
      <c r="F89" s="284">
        <f t="shared" si="5"/>
        <v>0</v>
      </c>
      <c r="G89" s="330">
        <f>_xll.RtaTRIANGULAR(D89,E89,F89)</f>
        <v>0</v>
      </c>
      <c r="H89" s="331">
        <f>_xll.OpPERCENTILE(G89,$H$7)</f>
        <v>0</v>
      </c>
      <c r="I89" s="31"/>
      <c r="J89" s="273">
        <f t="shared" si="6"/>
        <v>0</v>
      </c>
      <c r="K89" s="318">
        <f>RiskRegister!AB97</f>
        <v>0</v>
      </c>
      <c r="L89" s="273">
        <f t="shared" si="7"/>
        <v>0</v>
      </c>
      <c r="M89" s="318">
        <f>_xll.RtaTRIANGULAR(J89,K89,L89)</f>
        <v>0</v>
      </c>
      <c r="N89" s="332">
        <f>_xll.OpPERCENTILE(M89,$N$7)</f>
        <v>0</v>
      </c>
      <c r="R89" s="10" t="s">
        <v>1912</v>
      </c>
      <c r="S89" s="309">
        <v>0.83</v>
      </c>
    </row>
    <row r="90" spans="3:19" s="10" customFormat="1" ht="18" customHeight="1" x14ac:dyDescent="0.25">
      <c r="C90" s="317">
        <v>83</v>
      </c>
      <c r="D90" s="273">
        <f t="shared" si="4"/>
        <v>0</v>
      </c>
      <c r="E90" s="318">
        <f>RiskRegister!S98</f>
        <v>0</v>
      </c>
      <c r="F90" s="284">
        <f t="shared" si="5"/>
        <v>0</v>
      </c>
      <c r="G90" s="330">
        <f>_xll.RtaTRIANGULAR(D90,E90,F90)</f>
        <v>0</v>
      </c>
      <c r="H90" s="331">
        <f>_xll.OpPERCENTILE(G90,$H$7)</f>
        <v>0</v>
      </c>
      <c r="I90" s="31"/>
      <c r="J90" s="273">
        <f t="shared" si="6"/>
        <v>0</v>
      </c>
      <c r="K90" s="318">
        <f>RiskRegister!AB98</f>
        <v>0</v>
      </c>
      <c r="L90" s="273">
        <f t="shared" si="7"/>
        <v>0</v>
      </c>
      <c r="M90" s="318">
        <f>_xll.RtaTRIANGULAR(J90,K90,L90)</f>
        <v>0</v>
      </c>
      <c r="N90" s="332">
        <f>_xll.OpPERCENTILE(M90,$N$7)</f>
        <v>0</v>
      </c>
      <c r="R90" s="10" t="s">
        <v>1913</v>
      </c>
      <c r="S90" s="309">
        <v>0.84</v>
      </c>
    </row>
    <row r="91" spans="3:19" s="10" customFormat="1" ht="18" customHeight="1" x14ac:dyDescent="0.25">
      <c r="C91" s="317">
        <v>84</v>
      </c>
      <c r="D91" s="273">
        <f t="shared" si="4"/>
        <v>0</v>
      </c>
      <c r="E91" s="318">
        <f>RiskRegister!S99</f>
        <v>0</v>
      </c>
      <c r="F91" s="284">
        <f t="shared" si="5"/>
        <v>0</v>
      </c>
      <c r="G91" s="330">
        <f>_xll.RtaTRIANGULAR(D91,E91,F91)</f>
        <v>0</v>
      </c>
      <c r="H91" s="331">
        <f>_xll.OpPERCENTILE(G91,$H$7)</f>
        <v>0</v>
      </c>
      <c r="I91" s="31"/>
      <c r="J91" s="273">
        <f t="shared" si="6"/>
        <v>0</v>
      </c>
      <c r="K91" s="318">
        <f>RiskRegister!AB99</f>
        <v>0</v>
      </c>
      <c r="L91" s="273">
        <f t="shared" si="7"/>
        <v>0</v>
      </c>
      <c r="M91" s="318">
        <f>_xll.RtaTRIANGULAR(J91,K91,L91)</f>
        <v>0</v>
      </c>
      <c r="N91" s="332">
        <f>_xll.OpPERCENTILE(M91,$N$7)</f>
        <v>0</v>
      </c>
      <c r="R91" s="10" t="s">
        <v>1914</v>
      </c>
      <c r="S91" s="309">
        <v>0.85</v>
      </c>
    </row>
    <row r="92" spans="3:19" s="10" customFormat="1" ht="18" customHeight="1" x14ac:dyDescent="0.25">
      <c r="C92" s="317">
        <v>85</v>
      </c>
      <c r="D92" s="273">
        <f t="shared" si="4"/>
        <v>0</v>
      </c>
      <c r="E92" s="318">
        <f>RiskRegister!S100</f>
        <v>0</v>
      </c>
      <c r="F92" s="284">
        <f t="shared" si="5"/>
        <v>0</v>
      </c>
      <c r="G92" s="330">
        <f>_xll.RtaTRIANGULAR(D92,E92,F92)</f>
        <v>0</v>
      </c>
      <c r="H92" s="331">
        <f>_xll.OpPERCENTILE(G92,$H$7)</f>
        <v>0</v>
      </c>
      <c r="I92" s="31"/>
      <c r="J92" s="273">
        <f t="shared" si="6"/>
        <v>0</v>
      </c>
      <c r="K92" s="318">
        <f>RiskRegister!AB100</f>
        <v>0</v>
      </c>
      <c r="L92" s="273">
        <f t="shared" si="7"/>
        <v>0</v>
      </c>
      <c r="M92" s="318">
        <f>_xll.RtaTRIANGULAR(J92,K92,L92)</f>
        <v>0</v>
      </c>
      <c r="N92" s="332">
        <f>_xll.OpPERCENTILE(M92,$N$7)</f>
        <v>0</v>
      </c>
      <c r="R92" s="10" t="s">
        <v>1915</v>
      </c>
      <c r="S92" s="309">
        <v>0.86</v>
      </c>
    </row>
    <row r="93" spans="3:19" s="10" customFormat="1" ht="18" customHeight="1" x14ac:dyDescent="0.25">
      <c r="C93" s="317">
        <v>86</v>
      </c>
      <c r="D93" s="273">
        <f t="shared" si="4"/>
        <v>0</v>
      </c>
      <c r="E93" s="318">
        <f>RiskRegister!S101</f>
        <v>0</v>
      </c>
      <c r="F93" s="284">
        <f t="shared" si="5"/>
        <v>0</v>
      </c>
      <c r="G93" s="330">
        <f>_xll.RtaTRIANGULAR(D93,E93,F93)</f>
        <v>0</v>
      </c>
      <c r="H93" s="331">
        <f>_xll.OpPERCENTILE(G93,$H$7)</f>
        <v>0</v>
      </c>
      <c r="I93" s="31"/>
      <c r="J93" s="273">
        <f t="shared" si="6"/>
        <v>0</v>
      </c>
      <c r="K93" s="318">
        <f>RiskRegister!AB101</f>
        <v>0</v>
      </c>
      <c r="L93" s="273">
        <f t="shared" si="7"/>
        <v>0</v>
      </c>
      <c r="M93" s="318">
        <f>_xll.RtaTRIANGULAR(J93,K93,L93)</f>
        <v>0</v>
      </c>
      <c r="N93" s="332">
        <f>_xll.OpPERCENTILE(M93,$N$7)</f>
        <v>0</v>
      </c>
      <c r="R93" s="10" t="s">
        <v>1916</v>
      </c>
      <c r="S93" s="309">
        <v>0.87</v>
      </c>
    </row>
    <row r="94" spans="3:19" s="10" customFormat="1" ht="18" customHeight="1" x14ac:dyDescent="0.25">
      <c r="C94" s="317">
        <v>87</v>
      </c>
      <c r="D94" s="273">
        <f t="shared" si="4"/>
        <v>0</v>
      </c>
      <c r="E94" s="318">
        <f>RiskRegister!S102</f>
        <v>0</v>
      </c>
      <c r="F94" s="284">
        <f t="shared" si="5"/>
        <v>0</v>
      </c>
      <c r="G94" s="330">
        <f>_xll.RtaTRIANGULAR(D94,E94,F94)</f>
        <v>0</v>
      </c>
      <c r="H94" s="331">
        <f>_xll.OpPERCENTILE(G94,$H$7)</f>
        <v>0</v>
      </c>
      <c r="I94" s="31"/>
      <c r="J94" s="273">
        <f t="shared" si="6"/>
        <v>0</v>
      </c>
      <c r="K94" s="318">
        <f>RiskRegister!AB102</f>
        <v>0</v>
      </c>
      <c r="L94" s="273">
        <f t="shared" si="7"/>
        <v>0</v>
      </c>
      <c r="M94" s="318">
        <f>_xll.RtaTRIANGULAR(J94,K94,L94)</f>
        <v>0</v>
      </c>
      <c r="N94" s="332">
        <f>_xll.OpPERCENTILE(M94,$N$7)</f>
        <v>0</v>
      </c>
      <c r="R94" s="10" t="s">
        <v>1917</v>
      </c>
      <c r="S94" s="309">
        <v>0.88</v>
      </c>
    </row>
    <row r="95" spans="3:19" s="10" customFormat="1" ht="18" customHeight="1" x14ac:dyDescent="0.25">
      <c r="C95" s="317">
        <v>88</v>
      </c>
      <c r="D95" s="273">
        <f t="shared" si="4"/>
        <v>0</v>
      </c>
      <c r="E95" s="318">
        <f>RiskRegister!S103</f>
        <v>0</v>
      </c>
      <c r="F95" s="284">
        <f t="shared" si="5"/>
        <v>0</v>
      </c>
      <c r="G95" s="330">
        <f>_xll.RtaTRIANGULAR(D95,E95,F95)</f>
        <v>0</v>
      </c>
      <c r="H95" s="331">
        <f>_xll.OpPERCENTILE(G95,$H$7)</f>
        <v>0</v>
      </c>
      <c r="I95" s="31"/>
      <c r="J95" s="273">
        <f t="shared" si="6"/>
        <v>0</v>
      </c>
      <c r="K95" s="318">
        <f>RiskRegister!AB103</f>
        <v>0</v>
      </c>
      <c r="L95" s="273">
        <f t="shared" si="7"/>
        <v>0</v>
      </c>
      <c r="M95" s="318">
        <f>_xll.RtaTRIANGULAR(J95,K95,L95)</f>
        <v>0</v>
      </c>
      <c r="N95" s="332">
        <f>_xll.OpPERCENTILE(M95,$N$7)</f>
        <v>0</v>
      </c>
      <c r="R95" s="10" t="s">
        <v>1918</v>
      </c>
      <c r="S95" s="309">
        <v>0.89</v>
      </c>
    </row>
    <row r="96" spans="3:19" s="10" customFormat="1" ht="18" customHeight="1" x14ac:dyDescent="0.25">
      <c r="C96" s="317">
        <v>89</v>
      </c>
      <c r="D96" s="273">
        <f t="shared" si="4"/>
        <v>0</v>
      </c>
      <c r="E96" s="318">
        <f>RiskRegister!S104</f>
        <v>0</v>
      </c>
      <c r="F96" s="284">
        <f t="shared" si="5"/>
        <v>0</v>
      </c>
      <c r="G96" s="330">
        <f>_xll.RtaTRIANGULAR(D96,E96,F96)</f>
        <v>0</v>
      </c>
      <c r="H96" s="331">
        <f>_xll.OpPERCENTILE(G96,$H$7)</f>
        <v>0</v>
      </c>
      <c r="I96" s="31"/>
      <c r="J96" s="273">
        <f t="shared" si="6"/>
        <v>0</v>
      </c>
      <c r="K96" s="318">
        <f>RiskRegister!AB104</f>
        <v>0</v>
      </c>
      <c r="L96" s="273">
        <f t="shared" si="7"/>
        <v>0</v>
      </c>
      <c r="M96" s="318">
        <f>_xll.RtaTRIANGULAR(J96,K96,L96)</f>
        <v>0</v>
      </c>
      <c r="N96" s="332">
        <f>_xll.OpPERCENTILE(M96,$N$7)</f>
        <v>0</v>
      </c>
      <c r="R96" s="10" t="s">
        <v>1674</v>
      </c>
      <c r="S96" s="309">
        <v>0.9</v>
      </c>
    </row>
    <row r="97" spans="3:19" s="10" customFormat="1" ht="18" customHeight="1" x14ac:dyDescent="0.25">
      <c r="C97" s="317">
        <v>90</v>
      </c>
      <c r="D97" s="273">
        <f t="shared" si="4"/>
        <v>0</v>
      </c>
      <c r="E97" s="318">
        <f>RiskRegister!S105</f>
        <v>0</v>
      </c>
      <c r="F97" s="284">
        <f t="shared" si="5"/>
        <v>0</v>
      </c>
      <c r="G97" s="330">
        <f>_xll.RtaTRIANGULAR(D97,E97,F97)</f>
        <v>0</v>
      </c>
      <c r="H97" s="331">
        <f>_xll.OpPERCENTILE(G97,$H$7)</f>
        <v>0</v>
      </c>
      <c r="I97" s="31"/>
      <c r="J97" s="273">
        <f t="shared" si="6"/>
        <v>0</v>
      </c>
      <c r="K97" s="318">
        <f>RiskRegister!AB105</f>
        <v>0</v>
      </c>
      <c r="L97" s="273">
        <f t="shared" si="7"/>
        <v>0</v>
      </c>
      <c r="M97" s="318">
        <f>_xll.RtaTRIANGULAR(J97,K97,L97)</f>
        <v>0</v>
      </c>
      <c r="N97" s="332">
        <f>_xll.OpPERCENTILE(M97,$N$7)</f>
        <v>0</v>
      </c>
      <c r="R97" s="10" t="s">
        <v>1919</v>
      </c>
      <c r="S97" s="309">
        <v>0.91</v>
      </c>
    </row>
    <row r="98" spans="3:19" s="10" customFormat="1" ht="18" customHeight="1" x14ac:dyDescent="0.25">
      <c r="C98" s="317">
        <v>91</v>
      </c>
      <c r="D98" s="273">
        <f t="shared" si="4"/>
        <v>0</v>
      </c>
      <c r="E98" s="318">
        <f>RiskRegister!S106</f>
        <v>0</v>
      </c>
      <c r="F98" s="284">
        <f t="shared" si="5"/>
        <v>0</v>
      </c>
      <c r="G98" s="330">
        <f>_xll.RtaTRIANGULAR(D98,E98,F98)</f>
        <v>0</v>
      </c>
      <c r="H98" s="331">
        <f>_xll.OpPERCENTILE(G98,$H$7)</f>
        <v>0</v>
      </c>
      <c r="I98" s="31"/>
      <c r="J98" s="273">
        <f t="shared" si="6"/>
        <v>0</v>
      </c>
      <c r="K98" s="318">
        <f>RiskRegister!AB106</f>
        <v>0</v>
      </c>
      <c r="L98" s="273">
        <f t="shared" si="7"/>
        <v>0</v>
      </c>
      <c r="M98" s="318">
        <f>_xll.RtaTRIANGULAR(J98,K98,L98)</f>
        <v>0</v>
      </c>
      <c r="N98" s="332">
        <f>_xll.OpPERCENTILE(M98,$N$7)</f>
        <v>0</v>
      </c>
      <c r="R98" s="10" t="s">
        <v>1920</v>
      </c>
      <c r="S98" s="309">
        <v>0.92</v>
      </c>
    </row>
    <row r="99" spans="3:19" s="10" customFormat="1" ht="18" customHeight="1" x14ac:dyDescent="0.25">
      <c r="C99" s="317">
        <v>92</v>
      </c>
      <c r="D99" s="273">
        <f t="shared" si="4"/>
        <v>0</v>
      </c>
      <c r="E99" s="318">
        <f>RiskRegister!S107</f>
        <v>0</v>
      </c>
      <c r="F99" s="284">
        <f t="shared" si="5"/>
        <v>0</v>
      </c>
      <c r="G99" s="330">
        <f>_xll.RtaTRIANGULAR(D99,E99,F99)</f>
        <v>0</v>
      </c>
      <c r="H99" s="331">
        <f>_xll.OpPERCENTILE(G99,$H$7)</f>
        <v>0</v>
      </c>
      <c r="I99" s="31"/>
      <c r="J99" s="273">
        <f t="shared" si="6"/>
        <v>0</v>
      </c>
      <c r="K99" s="318">
        <f>RiskRegister!AB107</f>
        <v>0</v>
      </c>
      <c r="L99" s="273">
        <f t="shared" si="7"/>
        <v>0</v>
      </c>
      <c r="M99" s="318">
        <f>_xll.RtaTRIANGULAR(J99,K99,L99)</f>
        <v>0</v>
      </c>
      <c r="N99" s="332">
        <f>_xll.OpPERCENTILE(M99,$N$7)</f>
        <v>0</v>
      </c>
      <c r="R99" s="10" t="s">
        <v>1921</v>
      </c>
      <c r="S99" s="309">
        <v>0.93</v>
      </c>
    </row>
    <row r="100" spans="3:19" s="10" customFormat="1" ht="18" customHeight="1" x14ac:dyDescent="0.25">
      <c r="C100" s="317">
        <v>93</v>
      </c>
      <c r="D100" s="273">
        <f t="shared" si="4"/>
        <v>0</v>
      </c>
      <c r="E100" s="318">
        <f>RiskRegister!S108</f>
        <v>0</v>
      </c>
      <c r="F100" s="284">
        <f t="shared" si="5"/>
        <v>0</v>
      </c>
      <c r="G100" s="330">
        <f>_xll.RtaTRIANGULAR(D100,E100,F100)</f>
        <v>0</v>
      </c>
      <c r="H100" s="331">
        <f>_xll.OpPERCENTILE(G100,$H$7)</f>
        <v>0</v>
      </c>
      <c r="I100" s="31"/>
      <c r="J100" s="273">
        <f t="shared" si="6"/>
        <v>0</v>
      </c>
      <c r="K100" s="318">
        <f>RiskRegister!AB108</f>
        <v>0</v>
      </c>
      <c r="L100" s="273">
        <f t="shared" si="7"/>
        <v>0</v>
      </c>
      <c r="M100" s="318">
        <f>_xll.RtaTRIANGULAR(J100,K100,L100)</f>
        <v>0</v>
      </c>
      <c r="N100" s="332">
        <f>_xll.OpPERCENTILE(M100,$N$7)</f>
        <v>0</v>
      </c>
      <c r="R100" s="10" t="s">
        <v>1922</v>
      </c>
      <c r="S100" s="309">
        <v>0.94</v>
      </c>
    </row>
    <row r="101" spans="3:19" s="10" customFormat="1" ht="18" customHeight="1" x14ac:dyDescent="0.25">
      <c r="C101" s="317">
        <v>94</v>
      </c>
      <c r="D101" s="273">
        <f t="shared" si="4"/>
        <v>0</v>
      </c>
      <c r="E101" s="318">
        <f>RiskRegister!S109</f>
        <v>0</v>
      </c>
      <c r="F101" s="284">
        <f t="shared" si="5"/>
        <v>0</v>
      </c>
      <c r="G101" s="330">
        <f>_xll.RtaTRIANGULAR(D101,E101,F101)</f>
        <v>0</v>
      </c>
      <c r="H101" s="331">
        <f>_xll.OpPERCENTILE(G101,$H$7)</f>
        <v>0</v>
      </c>
      <c r="I101" s="31"/>
      <c r="J101" s="273">
        <f t="shared" si="6"/>
        <v>0</v>
      </c>
      <c r="K101" s="318">
        <f>RiskRegister!AB109</f>
        <v>0</v>
      </c>
      <c r="L101" s="273">
        <f t="shared" si="7"/>
        <v>0</v>
      </c>
      <c r="M101" s="318">
        <f>_xll.RtaTRIANGULAR(J101,K101,L101)</f>
        <v>0</v>
      </c>
      <c r="N101" s="332">
        <f>_xll.OpPERCENTILE(M101,$N$7)</f>
        <v>0</v>
      </c>
      <c r="R101" s="10" t="s">
        <v>1923</v>
      </c>
      <c r="S101" s="309">
        <v>0.95</v>
      </c>
    </row>
    <row r="102" spans="3:19" s="10" customFormat="1" ht="18" customHeight="1" x14ac:dyDescent="0.25">
      <c r="C102" s="317">
        <v>95</v>
      </c>
      <c r="D102" s="273">
        <f t="shared" si="4"/>
        <v>0</v>
      </c>
      <c r="E102" s="318">
        <f>RiskRegister!S110</f>
        <v>0</v>
      </c>
      <c r="F102" s="284">
        <f t="shared" si="5"/>
        <v>0</v>
      </c>
      <c r="G102" s="330">
        <f>_xll.RtaTRIANGULAR(D102,E102,F102)</f>
        <v>0</v>
      </c>
      <c r="H102" s="331">
        <f>_xll.OpPERCENTILE(G102,$H$7)</f>
        <v>0</v>
      </c>
      <c r="I102" s="31"/>
      <c r="J102" s="273">
        <f t="shared" si="6"/>
        <v>0</v>
      </c>
      <c r="K102" s="318">
        <f>RiskRegister!AB110</f>
        <v>0</v>
      </c>
      <c r="L102" s="273">
        <f t="shared" si="7"/>
        <v>0</v>
      </c>
      <c r="M102" s="318">
        <f>_xll.RtaTRIANGULAR(J102,K102,L102)</f>
        <v>0</v>
      </c>
      <c r="N102" s="332">
        <f>_xll.OpPERCENTILE(M102,$N$7)</f>
        <v>0</v>
      </c>
      <c r="R102" s="10" t="s">
        <v>1924</v>
      </c>
      <c r="S102" s="309">
        <v>0.96</v>
      </c>
    </row>
    <row r="103" spans="3:19" s="10" customFormat="1" ht="18" customHeight="1" x14ac:dyDescent="0.25">
      <c r="C103" s="317">
        <v>96</v>
      </c>
      <c r="D103" s="273">
        <f t="shared" si="4"/>
        <v>0</v>
      </c>
      <c r="E103" s="318">
        <f>RiskRegister!S111</f>
        <v>0</v>
      </c>
      <c r="F103" s="284">
        <f t="shared" si="5"/>
        <v>0</v>
      </c>
      <c r="G103" s="330">
        <f>_xll.RtaTRIANGULAR(D103,E103,F103)</f>
        <v>0</v>
      </c>
      <c r="H103" s="331">
        <f>_xll.OpPERCENTILE(G103,$H$7)</f>
        <v>0</v>
      </c>
      <c r="I103" s="31"/>
      <c r="J103" s="273">
        <f t="shared" si="6"/>
        <v>0</v>
      </c>
      <c r="K103" s="318">
        <f>RiskRegister!AB111</f>
        <v>0</v>
      </c>
      <c r="L103" s="273">
        <f t="shared" si="7"/>
        <v>0</v>
      </c>
      <c r="M103" s="318">
        <f>_xll.RtaTRIANGULAR(J103,K103,L103)</f>
        <v>0</v>
      </c>
      <c r="N103" s="332">
        <f>_xll.OpPERCENTILE(M103,$N$7)</f>
        <v>0</v>
      </c>
      <c r="R103" s="10" t="s">
        <v>1925</v>
      </c>
      <c r="S103" s="309">
        <v>0.97</v>
      </c>
    </row>
    <row r="104" spans="3:19" s="10" customFormat="1" ht="18" customHeight="1" x14ac:dyDescent="0.25">
      <c r="C104" s="317">
        <v>97</v>
      </c>
      <c r="D104" s="273">
        <f t="shared" si="4"/>
        <v>0</v>
      </c>
      <c r="E104" s="318">
        <f>RiskRegister!S112</f>
        <v>0</v>
      </c>
      <c r="F104" s="284">
        <f t="shared" si="5"/>
        <v>0</v>
      </c>
      <c r="G104" s="330">
        <f>_xll.RtaTRIANGULAR(D104,E104,F104)</f>
        <v>0</v>
      </c>
      <c r="H104" s="331">
        <f>_xll.OpPERCENTILE(G104,$H$7)</f>
        <v>0</v>
      </c>
      <c r="I104" s="31"/>
      <c r="J104" s="273">
        <f t="shared" si="6"/>
        <v>0</v>
      </c>
      <c r="K104" s="318">
        <f>RiskRegister!AB112</f>
        <v>0</v>
      </c>
      <c r="L104" s="273">
        <f t="shared" si="7"/>
        <v>0</v>
      </c>
      <c r="M104" s="318">
        <f>_xll.RtaTRIANGULAR(J104,K104,L104)</f>
        <v>0</v>
      </c>
      <c r="N104" s="332">
        <f>_xll.OpPERCENTILE(M104,$N$7)</f>
        <v>0</v>
      </c>
      <c r="R104" s="10" t="s">
        <v>1926</v>
      </c>
      <c r="S104" s="309">
        <v>0.98</v>
      </c>
    </row>
    <row r="105" spans="3:19" s="10" customFormat="1" ht="18" customHeight="1" x14ac:dyDescent="0.25">
      <c r="C105" s="317">
        <v>98</v>
      </c>
      <c r="D105" s="273">
        <f t="shared" si="4"/>
        <v>0</v>
      </c>
      <c r="E105" s="318">
        <f>RiskRegister!S113</f>
        <v>0</v>
      </c>
      <c r="F105" s="284">
        <f t="shared" si="5"/>
        <v>0</v>
      </c>
      <c r="G105" s="330">
        <f>_xll.RtaTRIANGULAR(D105,E105,F105)</f>
        <v>0</v>
      </c>
      <c r="H105" s="331">
        <f>_xll.OpPERCENTILE(G105,$H$7)</f>
        <v>0</v>
      </c>
      <c r="I105" s="31"/>
      <c r="J105" s="273">
        <f t="shared" si="6"/>
        <v>0</v>
      </c>
      <c r="K105" s="318">
        <f>RiskRegister!AB113</f>
        <v>0</v>
      </c>
      <c r="L105" s="273">
        <f t="shared" si="7"/>
        <v>0</v>
      </c>
      <c r="M105" s="318">
        <f>_xll.RtaTRIANGULAR(J105,K105,L105)</f>
        <v>0</v>
      </c>
      <c r="N105" s="332">
        <f>_xll.OpPERCENTILE(M105,$N$7)</f>
        <v>0</v>
      </c>
      <c r="R105" s="10" t="s">
        <v>1927</v>
      </c>
      <c r="S105" s="309">
        <v>0.99</v>
      </c>
    </row>
    <row r="106" spans="3:19" s="10" customFormat="1" ht="18" customHeight="1" x14ac:dyDescent="0.25">
      <c r="C106" s="317">
        <v>99</v>
      </c>
      <c r="D106" s="273">
        <f t="shared" si="4"/>
        <v>0</v>
      </c>
      <c r="E106" s="318">
        <f>RiskRegister!S114</f>
        <v>0</v>
      </c>
      <c r="F106" s="284">
        <f t="shared" si="5"/>
        <v>0</v>
      </c>
      <c r="G106" s="330">
        <f>_xll.RtaTRIANGULAR(D106,E106,F106)</f>
        <v>0</v>
      </c>
      <c r="H106" s="331">
        <f>_xll.OpPERCENTILE(G106,$H$7)</f>
        <v>0</v>
      </c>
      <c r="I106" s="31"/>
      <c r="J106" s="273">
        <f t="shared" si="6"/>
        <v>0</v>
      </c>
      <c r="K106" s="318">
        <f>RiskRegister!AB114</f>
        <v>0</v>
      </c>
      <c r="L106" s="273">
        <f t="shared" si="7"/>
        <v>0</v>
      </c>
      <c r="M106" s="318">
        <f>_xll.RtaTRIANGULAR(J106,K106,L106)</f>
        <v>0</v>
      </c>
      <c r="N106" s="332">
        <f>_xll.OpPERCENTILE(M106,$N$7)</f>
        <v>0</v>
      </c>
      <c r="R106" s="10" t="s">
        <v>1928</v>
      </c>
      <c r="S106" s="309">
        <v>1</v>
      </c>
    </row>
    <row r="107" spans="3:19" s="10" customFormat="1" ht="18" customHeight="1" x14ac:dyDescent="0.25">
      <c r="C107" s="317">
        <v>100</v>
      </c>
      <c r="D107" s="273">
        <f t="shared" si="4"/>
        <v>0</v>
      </c>
      <c r="E107" s="318">
        <f>RiskRegister!S115</f>
        <v>0</v>
      </c>
      <c r="F107" s="284">
        <f t="shared" si="5"/>
        <v>0</v>
      </c>
      <c r="G107" s="330">
        <f>_xll.RtaTRIANGULAR(D107,E107,F107)</f>
        <v>0</v>
      </c>
      <c r="H107" s="331">
        <f>_xll.OpPERCENTILE(G107,$H$7)</f>
        <v>0</v>
      </c>
      <c r="I107" s="31"/>
      <c r="J107" s="273">
        <f t="shared" si="6"/>
        <v>0</v>
      </c>
      <c r="K107" s="318">
        <f>RiskRegister!AB115</f>
        <v>0</v>
      </c>
      <c r="L107" s="273">
        <f t="shared" si="7"/>
        <v>0</v>
      </c>
      <c r="M107" s="318">
        <f>_xll.RtaTRIANGULAR(J107,K107,L107)</f>
        <v>0</v>
      </c>
      <c r="N107" s="332">
        <f>_xll.OpPERCENTILE(M107,$N$7)</f>
        <v>0</v>
      </c>
      <c r="S107" s="309"/>
    </row>
    <row r="108" spans="3:19" s="10" customFormat="1" ht="18" customHeight="1" x14ac:dyDescent="0.25">
      <c r="C108" s="317">
        <v>101</v>
      </c>
      <c r="D108" s="273">
        <f t="shared" si="4"/>
        <v>0</v>
      </c>
      <c r="E108" s="318">
        <f>RiskRegister!S116</f>
        <v>0</v>
      </c>
      <c r="F108" s="284">
        <f t="shared" si="5"/>
        <v>0</v>
      </c>
      <c r="G108" s="330">
        <f>_xll.RtaTRIANGULAR(D108,E108,F108)</f>
        <v>0</v>
      </c>
      <c r="H108" s="331">
        <f>_xll.OpPERCENTILE(G108,$H$7)</f>
        <v>0</v>
      </c>
      <c r="I108" s="31"/>
      <c r="J108" s="273">
        <f t="shared" si="6"/>
        <v>0</v>
      </c>
      <c r="K108" s="318">
        <f>RiskRegister!AB116</f>
        <v>0</v>
      </c>
      <c r="L108" s="273">
        <f t="shared" si="7"/>
        <v>0</v>
      </c>
      <c r="M108" s="318">
        <f>_xll.RtaTRIANGULAR(J108,K108,L108)</f>
        <v>0</v>
      </c>
      <c r="N108" s="332">
        <f>_xll.OpPERCENTILE(M108,$N$7)</f>
        <v>0</v>
      </c>
      <c r="S108" s="309"/>
    </row>
    <row r="109" spans="3:19" s="10" customFormat="1" ht="18" customHeight="1" x14ac:dyDescent="0.25">
      <c r="C109" s="317">
        <v>102</v>
      </c>
      <c r="D109" s="273">
        <f t="shared" si="4"/>
        <v>0</v>
      </c>
      <c r="E109" s="318">
        <f>RiskRegister!S117</f>
        <v>0</v>
      </c>
      <c r="F109" s="284">
        <f t="shared" si="5"/>
        <v>0</v>
      </c>
      <c r="G109" s="330">
        <f>_xll.RtaTRIANGULAR(D109,E109,F109)</f>
        <v>0</v>
      </c>
      <c r="H109" s="331">
        <f>_xll.OpPERCENTILE(G109,$H$7)</f>
        <v>0</v>
      </c>
      <c r="I109" s="31"/>
      <c r="J109" s="273">
        <f t="shared" si="6"/>
        <v>0</v>
      </c>
      <c r="K109" s="318">
        <f>RiskRegister!AB117</f>
        <v>0</v>
      </c>
      <c r="L109" s="273">
        <f t="shared" si="7"/>
        <v>0</v>
      </c>
      <c r="M109" s="318">
        <f>_xll.RtaTRIANGULAR(J109,K109,L109)</f>
        <v>0</v>
      </c>
      <c r="N109" s="332">
        <f>_xll.OpPERCENTILE(M109,$N$7)</f>
        <v>0</v>
      </c>
      <c r="S109" s="309"/>
    </row>
    <row r="110" spans="3:19" s="10" customFormat="1" ht="18" customHeight="1" x14ac:dyDescent="0.25">
      <c r="C110" s="317">
        <v>103</v>
      </c>
      <c r="D110" s="273">
        <f t="shared" si="4"/>
        <v>0</v>
      </c>
      <c r="E110" s="318">
        <f>RiskRegister!S118</f>
        <v>0</v>
      </c>
      <c r="F110" s="284">
        <f t="shared" si="5"/>
        <v>0</v>
      </c>
      <c r="G110" s="330">
        <f>_xll.RtaTRIANGULAR(D110,E110,F110)</f>
        <v>0</v>
      </c>
      <c r="H110" s="331">
        <f>_xll.OpPERCENTILE(G110,$H$7)</f>
        <v>0</v>
      </c>
      <c r="I110" s="31"/>
      <c r="J110" s="273">
        <f t="shared" si="6"/>
        <v>0</v>
      </c>
      <c r="K110" s="318">
        <f>RiskRegister!AB118</f>
        <v>0</v>
      </c>
      <c r="L110" s="273">
        <f t="shared" si="7"/>
        <v>0</v>
      </c>
      <c r="M110" s="318">
        <f>_xll.RtaTRIANGULAR(J110,K110,L110)</f>
        <v>0</v>
      </c>
      <c r="N110" s="332">
        <f>_xll.OpPERCENTILE(M110,$N$7)</f>
        <v>0</v>
      </c>
      <c r="S110" s="309"/>
    </row>
    <row r="111" spans="3:19" s="10" customFormat="1" ht="18" customHeight="1" x14ac:dyDescent="0.25">
      <c r="C111" s="317">
        <v>104</v>
      </c>
      <c r="D111" s="273">
        <f t="shared" si="4"/>
        <v>0</v>
      </c>
      <c r="E111" s="318">
        <f>RiskRegister!S119</f>
        <v>0</v>
      </c>
      <c r="F111" s="284">
        <f t="shared" si="5"/>
        <v>0</v>
      </c>
      <c r="G111" s="330">
        <f>_xll.RtaTRIANGULAR(D111,E111,F111)</f>
        <v>0</v>
      </c>
      <c r="H111" s="331">
        <f>_xll.OpPERCENTILE(G111,$H$7)</f>
        <v>0</v>
      </c>
      <c r="I111" s="31"/>
      <c r="J111" s="273">
        <f t="shared" si="6"/>
        <v>0</v>
      </c>
      <c r="K111" s="318">
        <f>RiskRegister!AB119</f>
        <v>0</v>
      </c>
      <c r="L111" s="273">
        <f t="shared" si="7"/>
        <v>0</v>
      </c>
      <c r="M111" s="318">
        <f>_xll.RtaTRIANGULAR(J111,K111,L111)</f>
        <v>0</v>
      </c>
      <c r="N111" s="332">
        <f>_xll.OpPERCENTILE(M111,$N$7)</f>
        <v>0</v>
      </c>
      <c r="S111" s="309"/>
    </row>
    <row r="112" spans="3:19" s="10" customFormat="1" ht="18" customHeight="1" x14ac:dyDescent="0.25">
      <c r="C112" s="317">
        <v>105</v>
      </c>
      <c r="D112" s="273">
        <f t="shared" si="4"/>
        <v>0</v>
      </c>
      <c r="E112" s="318">
        <f>RiskRegister!S120</f>
        <v>0</v>
      </c>
      <c r="F112" s="284">
        <f t="shared" si="5"/>
        <v>0</v>
      </c>
      <c r="G112" s="330">
        <f>_xll.RtaTRIANGULAR(D112,E112,F112)</f>
        <v>0</v>
      </c>
      <c r="H112" s="331">
        <f>_xll.OpPERCENTILE(G112,$H$7)</f>
        <v>0</v>
      </c>
      <c r="I112" s="31"/>
      <c r="J112" s="273">
        <f t="shared" si="6"/>
        <v>0</v>
      </c>
      <c r="K112" s="318">
        <f>RiskRegister!AB120</f>
        <v>0</v>
      </c>
      <c r="L112" s="273">
        <f t="shared" si="7"/>
        <v>0</v>
      </c>
      <c r="M112" s="318">
        <f>_xll.RtaTRIANGULAR(J112,K112,L112)</f>
        <v>0</v>
      </c>
      <c r="N112" s="332">
        <f>_xll.OpPERCENTILE(M112,$N$7)</f>
        <v>0</v>
      </c>
      <c r="S112" s="309"/>
    </row>
    <row r="113" spans="3:19" s="10" customFormat="1" ht="18" customHeight="1" x14ac:dyDescent="0.25">
      <c r="C113" s="317">
        <v>106</v>
      </c>
      <c r="D113" s="273">
        <f t="shared" si="4"/>
        <v>0</v>
      </c>
      <c r="E113" s="318">
        <f>RiskRegister!S121</f>
        <v>0</v>
      </c>
      <c r="F113" s="284">
        <f t="shared" si="5"/>
        <v>0</v>
      </c>
      <c r="G113" s="330">
        <f>_xll.RtaTRIANGULAR(D113,E113,F113)</f>
        <v>0</v>
      </c>
      <c r="H113" s="331">
        <f>_xll.OpPERCENTILE(G113,$H$7)</f>
        <v>0</v>
      </c>
      <c r="I113" s="31"/>
      <c r="J113" s="273">
        <f t="shared" si="6"/>
        <v>0</v>
      </c>
      <c r="K113" s="318">
        <f>RiskRegister!AB121</f>
        <v>0</v>
      </c>
      <c r="L113" s="273">
        <f t="shared" si="7"/>
        <v>0</v>
      </c>
      <c r="M113" s="318">
        <f>_xll.RtaTRIANGULAR(J113,K113,L113)</f>
        <v>0</v>
      </c>
      <c r="N113" s="332">
        <f>_xll.OpPERCENTILE(M113,$N$7)</f>
        <v>0</v>
      </c>
      <c r="S113" s="309"/>
    </row>
    <row r="114" spans="3:19" s="10" customFormat="1" ht="18" customHeight="1" x14ac:dyDescent="0.25">
      <c r="C114" s="317">
        <v>107</v>
      </c>
      <c r="D114" s="273">
        <f t="shared" si="4"/>
        <v>0</v>
      </c>
      <c r="E114" s="318">
        <f>RiskRegister!S122</f>
        <v>0</v>
      </c>
      <c r="F114" s="284">
        <f t="shared" si="5"/>
        <v>0</v>
      </c>
      <c r="G114" s="330">
        <f>_xll.RtaTRIANGULAR(D114,E114,F114)</f>
        <v>0</v>
      </c>
      <c r="H114" s="331">
        <f>_xll.OpPERCENTILE(G114,$H$7)</f>
        <v>0</v>
      </c>
      <c r="I114" s="31"/>
      <c r="J114" s="273">
        <f t="shared" si="6"/>
        <v>0</v>
      </c>
      <c r="K114" s="318">
        <f>RiskRegister!AB122</f>
        <v>0</v>
      </c>
      <c r="L114" s="273">
        <f t="shared" si="7"/>
        <v>0</v>
      </c>
      <c r="M114" s="318">
        <f>_xll.RtaTRIANGULAR(J114,K114,L114)</f>
        <v>0</v>
      </c>
      <c r="N114" s="332">
        <f>_xll.OpPERCENTILE(M114,$N$7)</f>
        <v>0</v>
      </c>
      <c r="S114" s="309"/>
    </row>
    <row r="115" spans="3:19" s="10" customFormat="1" ht="18" customHeight="1" x14ac:dyDescent="0.25">
      <c r="C115" s="317">
        <v>108</v>
      </c>
      <c r="D115" s="273">
        <f t="shared" si="4"/>
        <v>0</v>
      </c>
      <c r="E115" s="318">
        <f>RiskRegister!S123</f>
        <v>0</v>
      </c>
      <c r="F115" s="284">
        <f t="shared" si="5"/>
        <v>0</v>
      </c>
      <c r="G115" s="330">
        <f>_xll.RtaTRIANGULAR(D115,E115,F115)</f>
        <v>0</v>
      </c>
      <c r="H115" s="331">
        <f>_xll.OpPERCENTILE(G115,$H$7)</f>
        <v>0</v>
      </c>
      <c r="I115" s="31"/>
      <c r="J115" s="273">
        <f t="shared" si="6"/>
        <v>0</v>
      </c>
      <c r="K115" s="318">
        <f>RiskRegister!AB123</f>
        <v>0</v>
      </c>
      <c r="L115" s="273">
        <f t="shared" si="7"/>
        <v>0</v>
      </c>
      <c r="M115" s="318">
        <f>_xll.RtaTRIANGULAR(J115,K115,L115)</f>
        <v>0</v>
      </c>
      <c r="N115" s="332">
        <f>_xll.OpPERCENTILE(M115,$N$7)</f>
        <v>0</v>
      </c>
      <c r="S115" s="309"/>
    </row>
    <row r="116" spans="3:19" s="10" customFormat="1" ht="18" customHeight="1" x14ac:dyDescent="0.25">
      <c r="C116" s="317">
        <v>109</v>
      </c>
      <c r="D116" s="273">
        <f t="shared" si="4"/>
        <v>0</v>
      </c>
      <c r="E116" s="318">
        <f>RiskRegister!S124</f>
        <v>0</v>
      </c>
      <c r="F116" s="284">
        <f t="shared" si="5"/>
        <v>0</v>
      </c>
      <c r="G116" s="330">
        <f>_xll.RtaTRIANGULAR(D116,E116,F116)</f>
        <v>0</v>
      </c>
      <c r="H116" s="331">
        <f>_xll.OpPERCENTILE(G116,$H$7)</f>
        <v>0</v>
      </c>
      <c r="I116" s="31"/>
      <c r="J116" s="273">
        <f t="shared" si="6"/>
        <v>0</v>
      </c>
      <c r="K116" s="318">
        <f>RiskRegister!AB124</f>
        <v>0</v>
      </c>
      <c r="L116" s="273">
        <f t="shared" si="7"/>
        <v>0</v>
      </c>
      <c r="M116" s="318">
        <f>_xll.RtaTRIANGULAR(J116,K116,L116)</f>
        <v>0</v>
      </c>
      <c r="N116" s="332">
        <f>_xll.OpPERCENTILE(M116,$N$7)</f>
        <v>0</v>
      </c>
      <c r="S116" s="309"/>
    </row>
    <row r="117" spans="3:19" s="10" customFormat="1" ht="18" customHeight="1" x14ac:dyDescent="0.25">
      <c r="C117" s="317">
        <v>110</v>
      </c>
      <c r="D117" s="273">
        <f t="shared" si="4"/>
        <v>0</v>
      </c>
      <c r="E117" s="318">
        <f>RiskRegister!S125</f>
        <v>0</v>
      </c>
      <c r="F117" s="284">
        <f t="shared" si="5"/>
        <v>0</v>
      </c>
      <c r="G117" s="330">
        <f>_xll.RtaTRIANGULAR(D117,E117,F117)</f>
        <v>0</v>
      </c>
      <c r="H117" s="331">
        <f>_xll.OpPERCENTILE(G117,$H$7)</f>
        <v>0</v>
      </c>
      <c r="I117" s="31"/>
      <c r="J117" s="273">
        <f t="shared" si="6"/>
        <v>0</v>
      </c>
      <c r="K117" s="318">
        <f>RiskRegister!AB125</f>
        <v>0</v>
      </c>
      <c r="L117" s="273">
        <f t="shared" si="7"/>
        <v>0</v>
      </c>
      <c r="M117" s="318">
        <f>_xll.RtaTRIANGULAR(J117,K117,L117)</f>
        <v>0</v>
      </c>
      <c r="N117" s="332">
        <f>_xll.OpPERCENTILE(M117,$N$7)</f>
        <v>0</v>
      </c>
      <c r="S117" s="309"/>
    </row>
    <row r="118" spans="3:19" s="10" customFormat="1" ht="18" customHeight="1" x14ac:dyDescent="0.25">
      <c r="C118" s="317">
        <v>111</v>
      </c>
      <c r="D118" s="273">
        <f t="shared" si="4"/>
        <v>0</v>
      </c>
      <c r="E118" s="318">
        <f>RiskRegister!S126</f>
        <v>0</v>
      </c>
      <c r="F118" s="284">
        <f t="shared" si="5"/>
        <v>0</v>
      </c>
      <c r="G118" s="330">
        <f>_xll.RtaTRIANGULAR(D118,E118,F118)</f>
        <v>0</v>
      </c>
      <c r="H118" s="331">
        <f>_xll.OpPERCENTILE(G118,$H$7)</f>
        <v>0</v>
      </c>
      <c r="I118" s="31"/>
      <c r="J118" s="273">
        <f t="shared" si="6"/>
        <v>0</v>
      </c>
      <c r="K118" s="318">
        <f>RiskRegister!AB126</f>
        <v>0</v>
      </c>
      <c r="L118" s="273">
        <f t="shared" si="7"/>
        <v>0</v>
      </c>
      <c r="M118" s="318">
        <f>_xll.RtaTRIANGULAR(J118,K118,L118)</f>
        <v>0</v>
      </c>
      <c r="N118" s="332">
        <f>_xll.OpPERCENTILE(M118,$N$7)</f>
        <v>0</v>
      </c>
      <c r="S118" s="309"/>
    </row>
    <row r="119" spans="3:19" s="10" customFormat="1" ht="18" customHeight="1" x14ac:dyDescent="0.25">
      <c r="C119" s="317">
        <v>112</v>
      </c>
      <c r="D119" s="273">
        <f t="shared" si="4"/>
        <v>0</v>
      </c>
      <c r="E119" s="318">
        <f>RiskRegister!S127</f>
        <v>0</v>
      </c>
      <c r="F119" s="284">
        <f t="shared" si="5"/>
        <v>0</v>
      </c>
      <c r="G119" s="330">
        <f>_xll.RtaTRIANGULAR(D119,E119,F119)</f>
        <v>0</v>
      </c>
      <c r="H119" s="331">
        <f>_xll.OpPERCENTILE(G119,$H$7)</f>
        <v>0</v>
      </c>
      <c r="I119" s="31"/>
      <c r="J119" s="273">
        <f t="shared" si="6"/>
        <v>0</v>
      </c>
      <c r="K119" s="318">
        <f>RiskRegister!AB127</f>
        <v>0</v>
      </c>
      <c r="L119" s="273">
        <f t="shared" si="7"/>
        <v>0</v>
      </c>
      <c r="M119" s="318">
        <f>_xll.RtaTRIANGULAR(J119,K119,L119)</f>
        <v>0</v>
      </c>
      <c r="N119" s="332">
        <f>_xll.OpPERCENTILE(M119,$N$7)</f>
        <v>0</v>
      </c>
      <c r="S119" s="309"/>
    </row>
    <row r="120" spans="3:19" s="10" customFormat="1" ht="18" customHeight="1" x14ac:dyDescent="0.25">
      <c r="C120" s="317">
        <v>113</v>
      </c>
      <c r="D120" s="273">
        <f t="shared" si="4"/>
        <v>0</v>
      </c>
      <c r="E120" s="318">
        <f>RiskRegister!S128</f>
        <v>0</v>
      </c>
      <c r="F120" s="284">
        <f t="shared" si="5"/>
        <v>0</v>
      </c>
      <c r="G120" s="330">
        <f>_xll.RtaTRIANGULAR(D120,E120,F120)</f>
        <v>0</v>
      </c>
      <c r="H120" s="331">
        <f>_xll.OpPERCENTILE(G120,$H$7)</f>
        <v>0</v>
      </c>
      <c r="I120" s="31"/>
      <c r="J120" s="273">
        <f t="shared" si="6"/>
        <v>0</v>
      </c>
      <c r="K120" s="318">
        <f>RiskRegister!AB128</f>
        <v>0</v>
      </c>
      <c r="L120" s="273">
        <f t="shared" si="7"/>
        <v>0</v>
      </c>
      <c r="M120" s="318">
        <f>_xll.RtaTRIANGULAR(J120,K120,L120)</f>
        <v>0</v>
      </c>
      <c r="N120" s="332">
        <f>_xll.OpPERCENTILE(M120,$N$7)</f>
        <v>0</v>
      </c>
      <c r="S120" s="309"/>
    </row>
    <row r="121" spans="3:19" s="10" customFormat="1" ht="18" customHeight="1" x14ac:dyDescent="0.25">
      <c r="C121" s="317">
        <v>114</v>
      </c>
      <c r="D121" s="273">
        <f t="shared" si="4"/>
        <v>0</v>
      </c>
      <c r="E121" s="318">
        <f>RiskRegister!S129</f>
        <v>0</v>
      </c>
      <c r="F121" s="284">
        <f t="shared" si="5"/>
        <v>0</v>
      </c>
      <c r="G121" s="330">
        <f>_xll.RtaTRIANGULAR(D121,E121,F121)</f>
        <v>0</v>
      </c>
      <c r="H121" s="331">
        <f>_xll.OpPERCENTILE(G121,$H$7)</f>
        <v>0</v>
      </c>
      <c r="I121" s="31"/>
      <c r="J121" s="273">
        <f t="shared" si="6"/>
        <v>0</v>
      </c>
      <c r="K121" s="318">
        <f>RiskRegister!AB129</f>
        <v>0</v>
      </c>
      <c r="L121" s="273">
        <f t="shared" si="7"/>
        <v>0</v>
      </c>
      <c r="M121" s="318">
        <f>_xll.RtaTRIANGULAR(J121,K121,L121)</f>
        <v>0</v>
      </c>
      <c r="N121" s="332">
        <f>_xll.OpPERCENTILE(M121,$N$7)</f>
        <v>0</v>
      </c>
      <c r="S121" s="309"/>
    </row>
    <row r="122" spans="3:19" s="10" customFormat="1" ht="18" customHeight="1" x14ac:dyDescent="0.25">
      <c r="C122" s="317">
        <v>115</v>
      </c>
      <c r="D122" s="273">
        <f t="shared" si="4"/>
        <v>0</v>
      </c>
      <c r="E122" s="318">
        <f>RiskRegister!S130</f>
        <v>0</v>
      </c>
      <c r="F122" s="284">
        <f t="shared" si="5"/>
        <v>0</v>
      </c>
      <c r="G122" s="330">
        <f>_xll.RtaTRIANGULAR(D122,E122,F122)</f>
        <v>0</v>
      </c>
      <c r="H122" s="331">
        <f>_xll.OpPERCENTILE(G122,$H$7)</f>
        <v>0</v>
      </c>
      <c r="I122" s="31"/>
      <c r="J122" s="273">
        <f t="shared" si="6"/>
        <v>0</v>
      </c>
      <c r="K122" s="318">
        <f>RiskRegister!AB130</f>
        <v>0</v>
      </c>
      <c r="L122" s="273">
        <f t="shared" si="7"/>
        <v>0</v>
      </c>
      <c r="M122" s="318">
        <f>_xll.RtaTRIANGULAR(J122,K122,L122)</f>
        <v>0</v>
      </c>
      <c r="N122" s="332">
        <f>_xll.OpPERCENTILE(M122,$N$7)</f>
        <v>0</v>
      </c>
      <c r="S122" s="309"/>
    </row>
    <row r="123" spans="3:19" s="10" customFormat="1" ht="18" customHeight="1" x14ac:dyDescent="0.25">
      <c r="C123" s="317">
        <v>116</v>
      </c>
      <c r="D123" s="273">
        <f t="shared" si="4"/>
        <v>0</v>
      </c>
      <c r="E123" s="318">
        <f>RiskRegister!S131</f>
        <v>0</v>
      </c>
      <c r="F123" s="284">
        <f t="shared" si="5"/>
        <v>0</v>
      </c>
      <c r="G123" s="330">
        <f>_xll.RtaTRIANGULAR(D123,E123,F123)</f>
        <v>0</v>
      </c>
      <c r="H123" s="331">
        <f>_xll.OpPERCENTILE(G123,$H$7)</f>
        <v>0</v>
      </c>
      <c r="I123" s="31"/>
      <c r="J123" s="273">
        <f t="shared" si="6"/>
        <v>0</v>
      </c>
      <c r="K123" s="318">
        <f>RiskRegister!AB131</f>
        <v>0</v>
      </c>
      <c r="L123" s="273">
        <f t="shared" si="7"/>
        <v>0</v>
      </c>
      <c r="M123" s="318">
        <f>_xll.RtaTRIANGULAR(J123,K123,L123)</f>
        <v>0</v>
      </c>
      <c r="N123" s="332">
        <f>_xll.OpPERCENTILE(M123,$N$7)</f>
        <v>0</v>
      </c>
      <c r="S123" s="309"/>
    </row>
    <row r="124" spans="3:19" s="10" customFormat="1" ht="18" customHeight="1" x14ac:dyDescent="0.25">
      <c r="C124" s="317">
        <v>117</v>
      </c>
      <c r="D124" s="273">
        <f t="shared" si="4"/>
        <v>0</v>
      </c>
      <c r="E124" s="318">
        <f>RiskRegister!S132</f>
        <v>0</v>
      </c>
      <c r="F124" s="284">
        <f t="shared" si="5"/>
        <v>0</v>
      </c>
      <c r="G124" s="330">
        <f>_xll.RtaTRIANGULAR(D124,E124,F124)</f>
        <v>0</v>
      </c>
      <c r="H124" s="331">
        <f>_xll.OpPERCENTILE(G124,$H$7)</f>
        <v>0</v>
      </c>
      <c r="I124" s="31"/>
      <c r="J124" s="273">
        <f t="shared" si="6"/>
        <v>0</v>
      </c>
      <c r="K124" s="318">
        <f>RiskRegister!AB132</f>
        <v>0</v>
      </c>
      <c r="L124" s="273">
        <f t="shared" si="7"/>
        <v>0</v>
      </c>
      <c r="M124" s="318">
        <f>_xll.RtaTRIANGULAR(J124,K124,L124)</f>
        <v>0</v>
      </c>
      <c r="N124" s="332">
        <f>_xll.OpPERCENTILE(M124,$N$7)</f>
        <v>0</v>
      </c>
      <c r="S124" s="309"/>
    </row>
    <row r="125" spans="3:19" s="10" customFormat="1" ht="18" customHeight="1" x14ac:dyDescent="0.25">
      <c r="C125" s="317">
        <v>118</v>
      </c>
      <c r="D125" s="273">
        <f t="shared" si="4"/>
        <v>0</v>
      </c>
      <c r="E125" s="318">
        <f>RiskRegister!S133</f>
        <v>0</v>
      </c>
      <c r="F125" s="284">
        <f t="shared" si="5"/>
        <v>0</v>
      </c>
      <c r="G125" s="330">
        <f>_xll.RtaTRIANGULAR(D125,E125,F125)</f>
        <v>0</v>
      </c>
      <c r="H125" s="331">
        <f>_xll.OpPERCENTILE(G125,$H$7)</f>
        <v>0</v>
      </c>
      <c r="I125" s="31"/>
      <c r="J125" s="273">
        <f t="shared" si="6"/>
        <v>0</v>
      </c>
      <c r="K125" s="318">
        <f>RiskRegister!AB133</f>
        <v>0</v>
      </c>
      <c r="L125" s="273">
        <f t="shared" si="7"/>
        <v>0</v>
      </c>
      <c r="M125" s="318">
        <f>_xll.RtaTRIANGULAR(J125,K125,L125)</f>
        <v>0</v>
      </c>
      <c r="N125" s="332">
        <f>_xll.OpPERCENTILE(M125,$N$7)</f>
        <v>0</v>
      </c>
      <c r="S125" s="309"/>
    </row>
    <row r="126" spans="3:19" s="10" customFormat="1" ht="18" customHeight="1" x14ac:dyDescent="0.25">
      <c r="C126" s="317">
        <v>119</v>
      </c>
      <c r="D126" s="273">
        <f t="shared" si="4"/>
        <v>0</v>
      </c>
      <c r="E126" s="318">
        <f>RiskRegister!S134</f>
        <v>0</v>
      </c>
      <c r="F126" s="284">
        <f t="shared" si="5"/>
        <v>0</v>
      </c>
      <c r="G126" s="330">
        <f>_xll.RtaTRIANGULAR(D126,E126,F126)</f>
        <v>0</v>
      </c>
      <c r="H126" s="331">
        <f>_xll.OpPERCENTILE(G126,$H$7)</f>
        <v>0</v>
      </c>
      <c r="I126" s="31"/>
      <c r="J126" s="273">
        <f t="shared" si="6"/>
        <v>0</v>
      </c>
      <c r="K126" s="318">
        <f>RiskRegister!AB134</f>
        <v>0</v>
      </c>
      <c r="L126" s="273">
        <f t="shared" si="7"/>
        <v>0</v>
      </c>
      <c r="M126" s="318">
        <f>_xll.RtaTRIANGULAR(J126,K126,L126)</f>
        <v>0</v>
      </c>
      <c r="N126" s="332">
        <f>_xll.OpPERCENTILE(M126,$N$7)</f>
        <v>0</v>
      </c>
      <c r="S126" s="309"/>
    </row>
    <row r="127" spans="3:19" s="10" customFormat="1" ht="18" customHeight="1" x14ac:dyDescent="0.25">
      <c r="C127" s="317">
        <v>120</v>
      </c>
      <c r="D127" s="273">
        <f t="shared" si="4"/>
        <v>0</v>
      </c>
      <c r="E127" s="318">
        <f>RiskRegister!S135</f>
        <v>0</v>
      </c>
      <c r="F127" s="284">
        <f t="shared" si="5"/>
        <v>0</v>
      </c>
      <c r="G127" s="330">
        <f>_xll.RtaTRIANGULAR(D127,E127,F127)</f>
        <v>0</v>
      </c>
      <c r="H127" s="331">
        <f>_xll.OpPERCENTILE(G127,$H$7)</f>
        <v>0</v>
      </c>
      <c r="I127" s="31"/>
      <c r="J127" s="273">
        <f t="shared" si="6"/>
        <v>0</v>
      </c>
      <c r="K127" s="318">
        <f>RiskRegister!AB135</f>
        <v>0</v>
      </c>
      <c r="L127" s="273">
        <f t="shared" si="7"/>
        <v>0</v>
      </c>
      <c r="M127" s="318">
        <f>_xll.RtaTRIANGULAR(J127,K127,L127)</f>
        <v>0</v>
      </c>
      <c r="N127" s="332">
        <f>_xll.OpPERCENTILE(M127,$N$7)</f>
        <v>0</v>
      </c>
      <c r="S127" s="309"/>
    </row>
    <row r="128" spans="3:19" s="10" customFormat="1" ht="18" customHeight="1" x14ac:dyDescent="0.25">
      <c r="C128" s="317">
        <v>121</v>
      </c>
      <c r="D128" s="273">
        <f t="shared" si="4"/>
        <v>0</v>
      </c>
      <c r="E128" s="318">
        <f>RiskRegister!S136</f>
        <v>0</v>
      </c>
      <c r="F128" s="284">
        <f t="shared" si="5"/>
        <v>0</v>
      </c>
      <c r="G128" s="330">
        <f>_xll.RtaTRIANGULAR(D128,E128,F128)</f>
        <v>0</v>
      </c>
      <c r="H128" s="331">
        <f>_xll.OpPERCENTILE(G128,$H$7)</f>
        <v>0</v>
      </c>
      <c r="I128" s="31"/>
      <c r="J128" s="273">
        <f t="shared" si="6"/>
        <v>0</v>
      </c>
      <c r="K128" s="318">
        <f>RiskRegister!AB136</f>
        <v>0</v>
      </c>
      <c r="L128" s="273">
        <f t="shared" si="7"/>
        <v>0</v>
      </c>
      <c r="M128" s="318">
        <f>_xll.RtaTRIANGULAR(J128,K128,L128)</f>
        <v>0</v>
      </c>
      <c r="N128" s="332">
        <f>_xll.OpPERCENTILE(M128,$N$7)</f>
        <v>0</v>
      </c>
      <c r="S128" s="309"/>
    </row>
    <row r="129" spans="3:19" s="10" customFormat="1" ht="18" customHeight="1" x14ac:dyDescent="0.25">
      <c r="C129" s="317">
        <v>122</v>
      </c>
      <c r="D129" s="273">
        <f t="shared" si="4"/>
        <v>0</v>
      </c>
      <c r="E129" s="318">
        <f>RiskRegister!S137</f>
        <v>0</v>
      </c>
      <c r="F129" s="284">
        <f t="shared" si="5"/>
        <v>0</v>
      </c>
      <c r="G129" s="330">
        <f>_xll.RtaTRIANGULAR(D129,E129,F129)</f>
        <v>0</v>
      </c>
      <c r="H129" s="331">
        <f>_xll.OpPERCENTILE(G129,$H$7)</f>
        <v>0</v>
      </c>
      <c r="I129" s="31"/>
      <c r="J129" s="273">
        <f t="shared" si="6"/>
        <v>0</v>
      </c>
      <c r="K129" s="318">
        <f>RiskRegister!AB137</f>
        <v>0</v>
      </c>
      <c r="L129" s="273">
        <f t="shared" si="7"/>
        <v>0</v>
      </c>
      <c r="M129" s="318">
        <f>_xll.RtaTRIANGULAR(J129,K129,L129)</f>
        <v>0</v>
      </c>
      <c r="N129" s="332">
        <f>_xll.OpPERCENTILE(M129,$N$7)</f>
        <v>0</v>
      </c>
      <c r="S129" s="309"/>
    </row>
    <row r="130" spans="3:19" s="10" customFormat="1" ht="18" customHeight="1" x14ac:dyDescent="0.25">
      <c r="C130" s="317">
        <v>123</v>
      </c>
      <c r="D130" s="273">
        <f t="shared" si="4"/>
        <v>0</v>
      </c>
      <c r="E130" s="318">
        <f>RiskRegister!S138</f>
        <v>0</v>
      </c>
      <c r="F130" s="284">
        <f t="shared" si="5"/>
        <v>0</v>
      </c>
      <c r="G130" s="330">
        <f>_xll.RtaTRIANGULAR(D130,E130,F130)</f>
        <v>0</v>
      </c>
      <c r="H130" s="331">
        <f>_xll.OpPERCENTILE(G130,$H$7)</f>
        <v>0</v>
      </c>
      <c r="I130" s="31"/>
      <c r="J130" s="273">
        <f t="shared" si="6"/>
        <v>0</v>
      </c>
      <c r="K130" s="318">
        <f>RiskRegister!AB138</f>
        <v>0</v>
      </c>
      <c r="L130" s="273">
        <f t="shared" si="7"/>
        <v>0</v>
      </c>
      <c r="M130" s="318">
        <f>_xll.RtaTRIANGULAR(J130,K130,L130)</f>
        <v>0</v>
      </c>
      <c r="N130" s="332">
        <f>_xll.OpPERCENTILE(M130,$N$7)</f>
        <v>0</v>
      </c>
      <c r="S130" s="309"/>
    </row>
    <row r="131" spans="3:19" s="10" customFormat="1" ht="18" customHeight="1" x14ac:dyDescent="0.25">
      <c r="C131" s="317">
        <v>124</v>
      </c>
      <c r="D131" s="273">
        <f t="shared" si="4"/>
        <v>0</v>
      </c>
      <c r="E131" s="318">
        <f>RiskRegister!S139</f>
        <v>0</v>
      </c>
      <c r="F131" s="284">
        <f t="shared" si="5"/>
        <v>0</v>
      </c>
      <c r="G131" s="330">
        <f>_xll.RtaTRIANGULAR(D131,E131,F131)</f>
        <v>0</v>
      </c>
      <c r="H131" s="331">
        <f>_xll.OpPERCENTILE(G131,$H$7)</f>
        <v>0</v>
      </c>
      <c r="I131" s="31"/>
      <c r="J131" s="273">
        <f t="shared" si="6"/>
        <v>0</v>
      </c>
      <c r="K131" s="318">
        <f>RiskRegister!AB139</f>
        <v>0</v>
      </c>
      <c r="L131" s="273">
        <f t="shared" si="7"/>
        <v>0</v>
      </c>
      <c r="M131" s="318">
        <f>_xll.RtaTRIANGULAR(J131,K131,L131)</f>
        <v>0</v>
      </c>
      <c r="N131" s="332">
        <f>_xll.OpPERCENTILE(M131,$N$7)</f>
        <v>0</v>
      </c>
      <c r="S131" s="309"/>
    </row>
    <row r="132" spans="3:19" s="10" customFormat="1" ht="18" customHeight="1" x14ac:dyDescent="0.25">
      <c r="C132" s="317">
        <v>125</v>
      </c>
      <c r="D132" s="273">
        <f t="shared" si="4"/>
        <v>0</v>
      </c>
      <c r="E132" s="318">
        <f>RiskRegister!S140</f>
        <v>0</v>
      </c>
      <c r="F132" s="284">
        <f t="shared" si="5"/>
        <v>0</v>
      </c>
      <c r="G132" s="330">
        <f>_xll.RtaTRIANGULAR(D132,E132,F132)</f>
        <v>0</v>
      </c>
      <c r="H132" s="331">
        <f>_xll.OpPERCENTILE(G132,$H$7)</f>
        <v>0</v>
      </c>
      <c r="I132" s="31"/>
      <c r="J132" s="273">
        <f t="shared" si="6"/>
        <v>0</v>
      </c>
      <c r="K132" s="318">
        <f>RiskRegister!AB140</f>
        <v>0</v>
      </c>
      <c r="L132" s="273">
        <f t="shared" si="7"/>
        <v>0</v>
      </c>
      <c r="M132" s="318">
        <f>_xll.RtaTRIANGULAR(J132,K132,L132)</f>
        <v>0</v>
      </c>
      <c r="N132" s="332">
        <f>_xll.OpPERCENTILE(M132,$N$7)</f>
        <v>0</v>
      </c>
      <c r="S132" s="309"/>
    </row>
    <row r="133" spans="3:19" s="10" customFormat="1" ht="18" customHeight="1" x14ac:dyDescent="0.25">
      <c r="C133" s="317">
        <v>126</v>
      </c>
      <c r="D133" s="273">
        <f t="shared" si="4"/>
        <v>0</v>
      </c>
      <c r="E133" s="318">
        <f>RiskRegister!S141</f>
        <v>0</v>
      </c>
      <c r="F133" s="284">
        <f t="shared" si="5"/>
        <v>0</v>
      </c>
      <c r="G133" s="330">
        <f>_xll.RtaTRIANGULAR(D133,E133,F133)</f>
        <v>0</v>
      </c>
      <c r="H133" s="331">
        <f>_xll.OpPERCENTILE(G133,$H$7)</f>
        <v>0</v>
      </c>
      <c r="I133" s="31"/>
      <c r="J133" s="273">
        <f t="shared" si="6"/>
        <v>0</v>
      </c>
      <c r="K133" s="318">
        <f>RiskRegister!AB141</f>
        <v>0</v>
      </c>
      <c r="L133" s="273">
        <f t="shared" si="7"/>
        <v>0</v>
      </c>
      <c r="M133" s="318">
        <f>_xll.RtaTRIANGULAR(J133,K133,L133)</f>
        <v>0</v>
      </c>
      <c r="N133" s="332">
        <f>_xll.OpPERCENTILE(M133,$N$7)</f>
        <v>0</v>
      </c>
      <c r="S133" s="309"/>
    </row>
    <row r="134" spans="3:19" s="10" customFormat="1" ht="18" customHeight="1" x14ac:dyDescent="0.25">
      <c r="C134" s="317">
        <v>127</v>
      </c>
      <c r="D134" s="273">
        <f t="shared" si="4"/>
        <v>0</v>
      </c>
      <c r="E134" s="318">
        <f>RiskRegister!S142</f>
        <v>0</v>
      </c>
      <c r="F134" s="284">
        <f t="shared" si="5"/>
        <v>0</v>
      </c>
      <c r="G134" s="330">
        <f>_xll.RtaTRIANGULAR(D134,E134,F134)</f>
        <v>0</v>
      </c>
      <c r="H134" s="331">
        <f>_xll.OpPERCENTILE(G134,$H$7)</f>
        <v>0</v>
      </c>
      <c r="I134" s="31"/>
      <c r="J134" s="273">
        <f t="shared" si="6"/>
        <v>0</v>
      </c>
      <c r="K134" s="318">
        <f>RiskRegister!AB142</f>
        <v>0</v>
      </c>
      <c r="L134" s="273">
        <f t="shared" si="7"/>
        <v>0</v>
      </c>
      <c r="M134" s="318">
        <f>_xll.RtaTRIANGULAR(J134,K134,L134)</f>
        <v>0</v>
      </c>
      <c r="N134" s="332">
        <f>_xll.OpPERCENTILE(M134,$N$7)</f>
        <v>0</v>
      </c>
      <c r="S134" s="309"/>
    </row>
    <row r="135" spans="3:19" s="10" customFormat="1" ht="18" customHeight="1" x14ac:dyDescent="0.25">
      <c r="C135" s="317">
        <v>128</v>
      </c>
      <c r="D135" s="273">
        <f t="shared" si="4"/>
        <v>0</v>
      </c>
      <c r="E135" s="318">
        <f>RiskRegister!S143</f>
        <v>0</v>
      </c>
      <c r="F135" s="284">
        <f t="shared" si="5"/>
        <v>0</v>
      </c>
      <c r="G135" s="330">
        <f>_xll.RtaTRIANGULAR(D135,E135,F135)</f>
        <v>0</v>
      </c>
      <c r="H135" s="331">
        <f>_xll.OpPERCENTILE(G135,$H$7)</f>
        <v>0</v>
      </c>
      <c r="I135" s="31"/>
      <c r="J135" s="273">
        <f t="shared" si="6"/>
        <v>0</v>
      </c>
      <c r="K135" s="318">
        <f>RiskRegister!AB143</f>
        <v>0</v>
      </c>
      <c r="L135" s="273">
        <f t="shared" si="7"/>
        <v>0</v>
      </c>
      <c r="M135" s="318">
        <f>_xll.RtaTRIANGULAR(J135,K135,L135)</f>
        <v>0</v>
      </c>
      <c r="N135" s="332">
        <f>_xll.OpPERCENTILE(M135,$N$7)</f>
        <v>0</v>
      </c>
      <c r="S135" s="309"/>
    </row>
    <row r="136" spans="3:19" s="10" customFormat="1" ht="18" customHeight="1" x14ac:dyDescent="0.25">
      <c r="C136" s="317">
        <v>129</v>
      </c>
      <c r="D136" s="273">
        <f t="shared" si="4"/>
        <v>0</v>
      </c>
      <c r="E136" s="318">
        <f>RiskRegister!S144</f>
        <v>0</v>
      </c>
      <c r="F136" s="284">
        <f t="shared" si="5"/>
        <v>0</v>
      </c>
      <c r="G136" s="330">
        <f>_xll.RtaTRIANGULAR(D136,E136,F136)</f>
        <v>0</v>
      </c>
      <c r="H136" s="331">
        <f>_xll.OpPERCENTILE(G136,$H$7)</f>
        <v>0</v>
      </c>
      <c r="I136" s="31"/>
      <c r="J136" s="273">
        <f t="shared" si="6"/>
        <v>0</v>
      </c>
      <c r="K136" s="318">
        <f>RiskRegister!AB144</f>
        <v>0</v>
      </c>
      <c r="L136" s="273">
        <f t="shared" si="7"/>
        <v>0</v>
      </c>
      <c r="M136" s="318">
        <f>_xll.RtaTRIANGULAR(J136,K136,L136)</f>
        <v>0</v>
      </c>
      <c r="N136" s="332">
        <f>_xll.OpPERCENTILE(M136,$N$7)</f>
        <v>0</v>
      </c>
      <c r="S136" s="309"/>
    </row>
    <row r="137" spans="3:19" s="10" customFormat="1" ht="18" customHeight="1" x14ac:dyDescent="0.25">
      <c r="C137" s="317">
        <v>130</v>
      </c>
      <c r="D137" s="273">
        <f t="shared" ref="D137:D200" si="8">E137*0.7</f>
        <v>0</v>
      </c>
      <c r="E137" s="318">
        <f>RiskRegister!S145</f>
        <v>0</v>
      </c>
      <c r="F137" s="284">
        <f t="shared" ref="F137:F200" si="9">E137*1.35</f>
        <v>0</v>
      </c>
      <c r="G137" s="330">
        <f>_xll.RtaTRIANGULAR(D137,E137,F137)</f>
        <v>0</v>
      </c>
      <c r="H137" s="331">
        <f>_xll.OpPERCENTILE(G137,$H$7)</f>
        <v>0</v>
      </c>
      <c r="I137" s="31"/>
      <c r="J137" s="273">
        <f t="shared" ref="J137:J200" si="10">K137*0.8</f>
        <v>0</v>
      </c>
      <c r="K137" s="318">
        <f>RiskRegister!AB145</f>
        <v>0</v>
      </c>
      <c r="L137" s="273">
        <f t="shared" ref="L137:L200" si="11">K137*1.6</f>
        <v>0</v>
      </c>
      <c r="M137" s="318">
        <f>_xll.RtaTRIANGULAR(J137,K137,L137)</f>
        <v>0</v>
      </c>
      <c r="N137" s="332">
        <f>_xll.OpPERCENTILE(M137,$N$7)</f>
        <v>0</v>
      </c>
      <c r="S137" s="309"/>
    </row>
    <row r="138" spans="3:19" s="10" customFormat="1" ht="18" customHeight="1" x14ac:dyDescent="0.25">
      <c r="C138" s="317">
        <v>131</v>
      </c>
      <c r="D138" s="273">
        <f t="shared" si="8"/>
        <v>0</v>
      </c>
      <c r="E138" s="318">
        <f>RiskRegister!S146</f>
        <v>0</v>
      </c>
      <c r="F138" s="284">
        <f t="shared" si="9"/>
        <v>0</v>
      </c>
      <c r="G138" s="330">
        <f>_xll.RtaTRIANGULAR(D138,E138,F138)</f>
        <v>0</v>
      </c>
      <c r="H138" s="331">
        <f>_xll.OpPERCENTILE(G138,$H$7)</f>
        <v>0</v>
      </c>
      <c r="I138" s="31"/>
      <c r="J138" s="273">
        <f t="shared" si="10"/>
        <v>0</v>
      </c>
      <c r="K138" s="318">
        <f>RiskRegister!AB146</f>
        <v>0</v>
      </c>
      <c r="L138" s="273">
        <f t="shared" si="11"/>
        <v>0</v>
      </c>
      <c r="M138" s="318">
        <f>_xll.RtaTRIANGULAR(J138,K138,L138)</f>
        <v>0</v>
      </c>
      <c r="N138" s="332">
        <f>_xll.OpPERCENTILE(M138,$N$7)</f>
        <v>0</v>
      </c>
      <c r="S138" s="309"/>
    </row>
    <row r="139" spans="3:19" s="10" customFormat="1" ht="18" customHeight="1" x14ac:dyDescent="0.25">
      <c r="C139" s="317">
        <v>132</v>
      </c>
      <c r="D139" s="273">
        <f t="shared" si="8"/>
        <v>0</v>
      </c>
      <c r="E139" s="318">
        <f>RiskRegister!S147</f>
        <v>0</v>
      </c>
      <c r="F139" s="284">
        <f t="shared" si="9"/>
        <v>0</v>
      </c>
      <c r="G139" s="330">
        <f>_xll.RtaTRIANGULAR(D139,E139,F139)</f>
        <v>0</v>
      </c>
      <c r="H139" s="331">
        <f>_xll.OpPERCENTILE(G139,$H$7)</f>
        <v>0</v>
      </c>
      <c r="I139" s="31"/>
      <c r="J139" s="273">
        <f t="shared" si="10"/>
        <v>0</v>
      </c>
      <c r="K139" s="318">
        <f>RiskRegister!AB147</f>
        <v>0</v>
      </c>
      <c r="L139" s="273">
        <f t="shared" si="11"/>
        <v>0</v>
      </c>
      <c r="M139" s="318">
        <f>_xll.RtaTRIANGULAR(J139,K139,L139)</f>
        <v>0</v>
      </c>
      <c r="N139" s="332">
        <f>_xll.OpPERCENTILE(M139,$N$7)</f>
        <v>0</v>
      </c>
      <c r="S139" s="309"/>
    </row>
    <row r="140" spans="3:19" s="10" customFormat="1" ht="18" customHeight="1" x14ac:dyDescent="0.25">
      <c r="C140" s="317">
        <v>133</v>
      </c>
      <c r="D140" s="273">
        <f t="shared" si="8"/>
        <v>0</v>
      </c>
      <c r="E140" s="318">
        <f>RiskRegister!S148</f>
        <v>0</v>
      </c>
      <c r="F140" s="284">
        <f t="shared" si="9"/>
        <v>0</v>
      </c>
      <c r="G140" s="330">
        <f>_xll.RtaTRIANGULAR(D140,E140,F140)</f>
        <v>0</v>
      </c>
      <c r="H140" s="331">
        <f>_xll.OpPERCENTILE(G140,$H$7)</f>
        <v>0</v>
      </c>
      <c r="I140" s="31"/>
      <c r="J140" s="273">
        <f t="shared" si="10"/>
        <v>0</v>
      </c>
      <c r="K140" s="318">
        <f>RiskRegister!AB148</f>
        <v>0</v>
      </c>
      <c r="L140" s="273">
        <f t="shared" si="11"/>
        <v>0</v>
      </c>
      <c r="M140" s="318">
        <f>_xll.RtaTRIANGULAR(J140,K140,L140)</f>
        <v>0</v>
      </c>
      <c r="N140" s="332">
        <f>_xll.OpPERCENTILE(M140,$N$7)</f>
        <v>0</v>
      </c>
      <c r="S140" s="309"/>
    </row>
    <row r="141" spans="3:19" s="10" customFormat="1" ht="18" customHeight="1" x14ac:dyDescent="0.25">
      <c r="C141" s="317">
        <v>134</v>
      </c>
      <c r="D141" s="273">
        <f t="shared" si="8"/>
        <v>0</v>
      </c>
      <c r="E141" s="318">
        <f>RiskRegister!S149</f>
        <v>0</v>
      </c>
      <c r="F141" s="284">
        <f t="shared" si="9"/>
        <v>0</v>
      </c>
      <c r="G141" s="330">
        <f>_xll.RtaTRIANGULAR(D141,E141,F141)</f>
        <v>0</v>
      </c>
      <c r="H141" s="331">
        <f>_xll.OpPERCENTILE(G141,$H$7)</f>
        <v>0</v>
      </c>
      <c r="I141" s="31"/>
      <c r="J141" s="273">
        <f t="shared" si="10"/>
        <v>0</v>
      </c>
      <c r="K141" s="318">
        <f>RiskRegister!AB149</f>
        <v>0</v>
      </c>
      <c r="L141" s="273">
        <f t="shared" si="11"/>
        <v>0</v>
      </c>
      <c r="M141" s="318">
        <f>_xll.RtaTRIANGULAR(J141,K141,L141)</f>
        <v>0</v>
      </c>
      <c r="N141" s="332">
        <f>_xll.OpPERCENTILE(M141,$N$7)</f>
        <v>0</v>
      </c>
      <c r="S141" s="309"/>
    </row>
    <row r="142" spans="3:19" s="10" customFormat="1" ht="18" customHeight="1" x14ac:dyDescent="0.25">
      <c r="C142" s="317">
        <v>135</v>
      </c>
      <c r="D142" s="273">
        <f t="shared" si="8"/>
        <v>0</v>
      </c>
      <c r="E142" s="318">
        <f>RiskRegister!S150</f>
        <v>0</v>
      </c>
      <c r="F142" s="284">
        <f t="shared" si="9"/>
        <v>0</v>
      </c>
      <c r="G142" s="330">
        <f>_xll.RtaTRIANGULAR(D142,E142,F142)</f>
        <v>0</v>
      </c>
      <c r="H142" s="331">
        <f>_xll.OpPERCENTILE(G142,$H$7)</f>
        <v>0</v>
      </c>
      <c r="I142" s="31"/>
      <c r="J142" s="273">
        <f t="shared" si="10"/>
        <v>0</v>
      </c>
      <c r="K142" s="318">
        <f>RiskRegister!AB150</f>
        <v>0</v>
      </c>
      <c r="L142" s="273">
        <f t="shared" si="11"/>
        <v>0</v>
      </c>
      <c r="M142" s="318">
        <f>_xll.RtaTRIANGULAR(J142,K142,L142)</f>
        <v>0</v>
      </c>
      <c r="N142" s="332">
        <f>_xll.OpPERCENTILE(M142,$N$7)</f>
        <v>0</v>
      </c>
      <c r="S142" s="309"/>
    </row>
    <row r="143" spans="3:19" s="10" customFormat="1" ht="18" customHeight="1" x14ac:dyDescent="0.25">
      <c r="C143" s="317">
        <v>136</v>
      </c>
      <c r="D143" s="273">
        <f t="shared" si="8"/>
        <v>0</v>
      </c>
      <c r="E143" s="318">
        <f>RiskRegister!S151</f>
        <v>0</v>
      </c>
      <c r="F143" s="284">
        <f t="shared" si="9"/>
        <v>0</v>
      </c>
      <c r="G143" s="330">
        <f>_xll.RtaTRIANGULAR(D143,E143,F143)</f>
        <v>0</v>
      </c>
      <c r="H143" s="331">
        <f>_xll.OpPERCENTILE(G143,$H$7)</f>
        <v>0</v>
      </c>
      <c r="I143" s="31"/>
      <c r="J143" s="273">
        <f t="shared" si="10"/>
        <v>0</v>
      </c>
      <c r="K143" s="318">
        <f>RiskRegister!AB151</f>
        <v>0</v>
      </c>
      <c r="L143" s="273">
        <f t="shared" si="11"/>
        <v>0</v>
      </c>
      <c r="M143" s="318">
        <f>_xll.RtaTRIANGULAR(J143,K143,L143)</f>
        <v>0</v>
      </c>
      <c r="N143" s="332">
        <f>_xll.OpPERCENTILE(M143,$N$7)</f>
        <v>0</v>
      </c>
      <c r="S143" s="309"/>
    </row>
    <row r="144" spans="3:19" s="10" customFormat="1" ht="18" customHeight="1" x14ac:dyDescent="0.25">
      <c r="C144" s="317">
        <v>137</v>
      </c>
      <c r="D144" s="273">
        <f t="shared" si="8"/>
        <v>0</v>
      </c>
      <c r="E144" s="318">
        <f>RiskRegister!S152</f>
        <v>0</v>
      </c>
      <c r="F144" s="284">
        <f t="shared" si="9"/>
        <v>0</v>
      </c>
      <c r="G144" s="330">
        <f>_xll.RtaTRIANGULAR(D144,E144,F144)</f>
        <v>0</v>
      </c>
      <c r="H144" s="331">
        <f>_xll.OpPERCENTILE(G144,$H$7)</f>
        <v>0</v>
      </c>
      <c r="I144" s="31"/>
      <c r="J144" s="273">
        <f t="shared" si="10"/>
        <v>0</v>
      </c>
      <c r="K144" s="318">
        <f>RiskRegister!AB152</f>
        <v>0</v>
      </c>
      <c r="L144" s="273">
        <f t="shared" si="11"/>
        <v>0</v>
      </c>
      <c r="M144" s="318">
        <f>_xll.RtaTRIANGULAR(J144,K144,L144)</f>
        <v>0</v>
      </c>
      <c r="N144" s="332">
        <f>_xll.OpPERCENTILE(M144,$N$7)</f>
        <v>0</v>
      </c>
      <c r="S144" s="309"/>
    </row>
    <row r="145" spans="3:19" s="10" customFormat="1" ht="18" customHeight="1" x14ac:dyDescent="0.25">
      <c r="C145" s="317">
        <v>138</v>
      </c>
      <c r="D145" s="273">
        <f t="shared" si="8"/>
        <v>0</v>
      </c>
      <c r="E145" s="318">
        <f>RiskRegister!S153</f>
        <v>0</v>
      </c>
      <c r="F145" s="284">
        <f t="shared" si="9"/>
        <v>0</v>
      </c>
      <c r="G145" s="330">
        <f>_xll.RtaTRIANGULAR(D145,E145,F145)</f>
        <v>0</v>
      </c>
      <c r="H145" s="331">
        <f>_xll.OpPERCENTILE(G145,$H$7)</f>
        <v>0</v>
      </c>
      <c r="I145" s="31"/>
      <c r="J145" s="273">
        <f t="shared" si="10"/>
        <v>0</v>
      </c>
      <c r="K145" s="318">
        <f>RiskRegister!AB153</f>
        <v>0</v>
      </c>
      <c r="L145" s="273">
        <f t="shared" si="11"/>
        <v>0</v>
      </c>
      <c r="M145" s="318">
        <f>_xll.RtaTRIANGULAR(J145,K145,L145)</f>
        <v>0</v>
      </c>
      <c r="N145" s="332">
        <f>_xll.OpPERCENTILE(M145,$N$7)</f>
        <v>0</v>
      </c>
      <c r="S145" s="309"/>
    </row>
    <row r="146" spans="3:19" s="10" customFormat="1" ht="18" customHeight="1" x14ac:dyDescent="0.25">
      <c r="C146" s="317">
        <v>139</v>
      </c>
      <c r="D146" s="273">
        <f t="shared" si="8"/>
        <v>0</v>
      </c>
      <c r="E146" s="318">
        <f>RiskRegister!S154</f>
        <v>0</v>
      </c>
      <c r="F146" s="284">
        <f t="shared" si="9"/>
        <v>0</v>
      </c>
      <c r="G146" s="330">
        <f>_xll.RtaTRIANGULAR(D146,E146,F146)</f>
        <v>0</v>
      </c>
      <c r="H146" s="331">
        <f>_xll.OpPERCENTILE(G146,$H$7)</f>
        <v>0</v>
      </c>
      <c r="I146" s="31"/>
      <c r="J146" s="273">
        <f t="shared" si="10"/>
        <v>0</v>
      </c>
      <c r="K146" s="318">
        <f>RiskRegister!AB154</f>
        <v>0</v>
      </c>
      <c r="L146" s="273">
        <f t="shared" si="11"/>
        <v>0</v>
      </c>
      <c r="M146" s="318">
        <f>_xll.RtaTRIANGULAR(J146,K146,L146)</f>
        <v>0</v>
      </c>
      <c r="N146" s="332">
        <f>_xll.OpPERCENTILE(M146,$N$7)</f>
        <v>0</v>
      </c>
      <c r="S146" s="309"/>
    </row>
    <row r="147" spans="3:19" s="10" customFormat="1" ht="18" customHeight="1" x14ac:dyDescent="0.25">
      <c r="C147" s="317">
        <v>140</v>
      </c>
      <c r="D147" s="273">
        <f t="shared" si="8"/>
        <v>0</v>
      </c>
      <c r="E147" s="318">
        <f>RiskRegister!S155</f>
        <v>0</v>
      </c>
      <c r="F147" s="284">
        <f t="shared" si="9"/>
        <v>0</v>
      </c>
      <c r="G147" s="330">
        <f>_xll.RtaTRIANGULAR(D147,E147,F147)</f>
        <v>0</v>
      </c>
      <c r="H147" s="331">
        <f>_xll.OpPERCENTILE(G147,$H$7)</f>
        <v>0</v>
      </c>
      <c r="I147" s="31"/>
      <c r="J147" s="273">
        <f t="shared" si="10"/>
        <v>0</v>
      </c>
      <c r="K147" s="318">
        <f>RiskRegister!AB155</f>
        <v>0</v>
      </c>
      <c r="L147" s="273">
        <f t="shared" si="11"/>
        <v>0</v>
      </c>
      <c r="M147" s="318">
        <f>_xll.RtaTRIANGULAR(J147,K147,L147)</f>
        <v>0</v>
      </c>
      <c r="N147" s="332">
        <f>_xll.OpPERCENTILE(M147,$N$7)</f>
        <v>0</v>
      </c>
      <c r="S147" s="309"/>
    </row>
    <row r="148" spans="3:19" s="10" customFormat="1" ht="18" customHeight="1" x14ac:dyDescent="0.25">
      <c r="C148" s="317">
        <v>141</v>
      </c>
      <c r="D148" s="273">
        <f t="shared" si="8"/>
        <v>0</v>
      </c>
      <c r="E148" s="318">
        <f>RiskRegister!S156</f>
        <v>0</v>
      </c>
      <c r="F148" s="284">
        <f t="shared" si="9"/>
        <v>0</v>
      </c>
      <c r="G148" s="330">
        <f>_xll.RtaTRIANGULAR(D148,E148,F148)</f>
        <v>0</v>
      </c>
      <c r="H148" s="331">
        <f>_xll.OpPERCENTILE(G148,$H$7)</f>
        <v>0</v>
      </c>
      <c r="I148" s="31"/>
      <c r="J148" s="273">
        <f t="shared" si="10"/>
        <v>0</v>
      </c>
      <c r="K148" s="318">
        <f>RiskRegister!AB156</f>
        <v>0</v>
      </c>
      <c r="L148" s="273">
        <f t="shared" si="11"/>
        <v>0</v>
      </c>
      <c r="M148" s="318">
        <f>_xll.RtaTRIANGULAR(J148,K148,L148)</f>
        <v>0</v>
      </c>
      <c r="N148" s="332">
        <f>_xll.OpPERCENTILE(M148,$N$7)</f>
        <v>0</v>
      </c>
      <c r="S148" s="309"/>
    </row>
    <row r="149" spans="3:19" s="10" customFormat="1" ht="18" customHeight="1" x14ac:dyDescent="0.25">
      <c r="C149" s="317">
        <v>142</v>
      </c>
      <c r="D149" s="273">
        <f t="shared" si="8"/>
        <v>0</v>
      </c>
      <c r="E149" s="318">
        <f>RiskRegister!S157</f>
        <v>0</v>
      </c>
      <c r="F149" s="284">
        <f t="shared" si="9"/>
        <v>0</v>
      </c>
      <c r="G149" s="330">
        <f>_xll.RtaTRIANGULAR(D149,E149,F149)</f>
        <v>0</v>
      </c>
      <c r="H149" s="331">
        <f>_xll.OpPERCENTILE(G149,$H$7)</f>
        <v>0</v>
      </c>
      <c r="I149" s="31"/>
      <c r="J149" s="273">
        <f t="shared" si="10"/>
        <v>0</v>
      </c>
      <c r="K149" s="318">
        <f>RiskRegister!AB157</f>
        <v>0</v>
      </c>
      <c r="L149" s="273">
        <f t="shared" si="11"/>
        <v>0</v>
      </c>
      <c r="M149" s="318">
        <f>_xll.RtaTRIANGULAR(J149,K149,L149)</f>
        <v>0</v>
      </c>
      <c r="N149" s="332">
        <f>_xll.OpPERCENTILE(M149,$N$7)</f>
        <v>0</v>
      </c>
      <c r="S149" s="309"/>
    </row>
    <row r="150" spans="3:19" s="10" customFormat="1" ht="18" customHeight="1" x14ac:dyDescent="0.25">
      <c r="C150" s="317">
        <v>143</v>
      </c>
      <c r="D150" s="273">
        <f t="shared" si="8"/>
        <v>0</v>
      </c>
      <c r="E150" s="318">
        <f>RiskRegister!S158</f>
        <v>0</v>
      </c>
      <c r="F150" s="284">
        <f t="shared" si="9"/>
        <v>0</v>
      </c>
      <c r="G150" s="330">
        <f>_xll.RtaTRIANGULAR(D150,E150,F150)</f>
        <v>0</v>
      </c>
      <c r="H150" s="331">
        <f>_xll.OpPERCENTILE(G150,$H$7)</f>
        <v>0</v>
      </c>
      <c r="I150" s="31"/>
      <c r="J150" s="273">
        <f t="shared" si="10"/>
        <v>0</v>
      </c>
      <c r="K150" s="318">
        <f>RiskRegister!AB158</f>
        <v>0</v>
      </c>
      <c r="L150" s="273">
        <f t="shared" si="11"/>
        <v>0</v>
      </c>
      <c r="M150" s="318">
        <f>_xll.RtaTRIANGULAR(J150,K150,L150)</f>
        <v>0</v>
      </c>
      <c r="N150" s="332">
        <f>_xll.OpPERCENTILE(M150,$N$7)</f>
        <v>0</v>
      </c>
      <c r="S150" s="309"/>
    </row>
    <row r="151" spans="3:19" s="10" customFormat="1" ht="18" customHeight="1" x14ac:dyDescent="0.25">
      <c r="C151" s="317">
        <v>144</v>
      </c>
      <c r="D151" s="273">
        <f t="shared" si="8"/>
        <v>0</v>
      </c>
      <c r="E151" s="318">
        <f>RiskRegister!S159</f>
        <v>0</v>
      </c>
      <c r="F151" s="284">
        <f t="shared" si="9"/>
        <v>0</v>
      </c>
      <c r="G151" s="330">
        <f>_xll.RtaTRIANGULAR(D151,E151,F151)</f>
        <v>0</v>
      </c>
      <c r="H151" s="331">
        <f>_xll.OpPERCENTILE(G151,$H$7)</f>
        <v>0</v>
      </c>
      <c r="I151" s="31"/>
      <c r="J151" s="273">
        <f t="shared" si="10"/>
        <v>0</v>
      </c>
      <c r="K151" s="318">
        <f>RiskRegister!AB159</f>
        <v>0</v>
      </c>
      <c r="L151" s="273">
        <f t="shared" si="11"/>
        <v>0</v>
      </c>
      <c r="M151" s="318">
        <f>_xll.RtaTRIANGULAR(J151,K151,L151)</f>
        <v>0</v>
      </c>
      <c r="N151" s="332">
        <f>_xll.OpPERCENTILE(M151,$N$7)</f>
        <v>0</v>
      </c>
      <c r="S151" s="309"/>
    </row>
    <row r="152" spans="3:19" s="10" customFormat="1" ht="18" customHeight="1" x14ac:dyDescent="0.25">
      <c r="C152" s="317">
        <v>145</v>
      </c>
      <c r="D152" s="273">
        <f t="shared" si="8"/>
        <v>0</v>
      </c>
      <c r="E152" s="318">
        <f>RiskRegister!S160</f>
        <v>0</v>
      </c>
      <c r="F152" s="284">
        <f t="shared" si="9"/>
        <v>0</v>
      </c>
      <c r="G152" s="330">
        <f>_xll.RtaTRIANGULAR(D152,E152,F152)</f>
        <v>0</v>
      </c>
      <c r="H152" s="331">
        <f>_xll.OpPERCENTILE(G152,$H$7)</f>
        <v>0</v>
      </c>
      <c r="I152" s="31"/>
      <c r="J152" s="273">
        <f t="shared" si="10"/>
        <v>0</v>
      </c>
      <c r="K152" s="318">
        <f>RiskRegister!AB160</f>
        <v>0</v>
      </c>
      <c r="L152" s="273">
        <f t="shared" si="11"/>
        <v>0</v>
      </c>
      <c r="M152" s="318">
        <f>_xll.RtaTRIANGULAR(J152,K152,L152)</f>
        <v>0</v>
      </c>
      <c r="N152" s="332">
        <f>_xll.OpPERCENTILE(M152,$N$7)</f>
        <v>0</v>
      </c>
      <c r="S152" s="309"/>
    </row>
    <row r="153" spans="3:19" s="10" customFormat="1" ht="18" customHeight="1" x14ac:dyDescent="0.25">
      <c r="C153" s="317">
        <v>146</v>
      </c>
      <c r="D153" s="273">
        <f t="shared" si="8"/>
        <v>0</v>
      </c>
      <c r="E153" s="318">
        <f>RiskRegister!S161</f>
        <v>0</v>
      </c>
      <c r="F153" s="284">
        <f t="shared" si="9"/>
        <v>0</v>
      </c>
      <c r="G153" s="330">
        <f>_xll.RtaTRIANGULAR(D153,E153,F153)</f>
        <v>0</v>
      </c>
      <c r="H153" s="331">
        <f>_xll.OpPERCENTILE(G153,$H$7)</f>
        <v>0</v>
      </c>
      <c r="I153" s="31"/>
      <c r="J153" s="273">
        <f t="shared" si="10"/>
        <v>0</v>
      </c>
      <c r="K153" s="318">
        <f>RiskRegister!AB161</f>
        <v>0</v>
      </c>
      <c r="L153" s="273">
        <f t="shared" si="11"/>
        <v>0</v>
      </c>
      <c r="M153" s="318">
        <f>_xll.RtaTRIANGULAR(J153,K153,L153)</f>
        <v>0</v>
      </c>
      <c r="N153" s="332">
        <f>_xll.OpPERCENTILE(M153,$N$7)</f>
        <v>0</v>
      </c>
      <c r="S153" s="309"/>
    </row>
    <row r="154" spans="3:19" s="10" customFormat="1" ht="18" customHeight="1" x14ac:dyDescent="0.25">
      <c r="C154" s="317">
        <v>147</v>
      </c>
      <c r="D154" s="273">
        <f t="shared" si="8"/>
        <v>0</v>
      </c>
      <c r="E154" s="318">
        <f>RiskRegister!S162</f>
        <v>0</v>
      </c>
      <c r="F154" s="284">
        <f t="shared" si="9"/>
        <v>0</v>
      </c>
      <c r="G154" s="330">
        <f>_xll.RtaTRIANGULAR(D154,E154,F154)</f>
        <v>0</v>
      </c>
      <c r="H154" s="331">
        <f>_xll.OpPERCENTILE(G154,$H$7)</f>
        <v>0</v>
      </c>
      <c r="I154" s="31"/>
      <c r="J154" s="273">
        <f t="shared" si="10"/>
        <v>0</v>
      </c>
      <c r="K154" s="318">
        <f>RiskRegister!AB162</f>
        <v>0</v>
      </c>
      <c r="L154" s="273">
        <f t="shared" si="11"/>
        <v>0</v>
      </c>
      <c r="M154" s="318">
        <f>_xll.RtaTRIANGULAR(J154,K154,L154)</f>
        <v>0</v>
      </c>
      <c r="N154" s="332">
        <f>_xll.OpPERCENTILE(M154,$N$7)</f>
        <v>0</v>
      </c>
      <c r="S154" s="309"/>
    </row>
    <row r="155" spans="3:19" s="10" customFormat="1" ht="18" customHeight="1" x14ac:dyDescent="0.25">
      <c r="C155" s="317">
        <v>148</v>
      </c>
      <c r="D155" s="273">
        <f t="shared" si="8"/>
        <v>0</v>
      </c>
      <c r="E155" s="318">
        <f>RiskRegister!S163</f>
        <v>0</v>
      </c>
      <c r="F155" s="284">
        <f t="shared" si="9"/>
        <v>0</v>
      </c>
      <c r="G155" s="330">
        <f>_xll.RtaTRIANGULAR(D155,E155,F155)</f>
        <v>0</v>
      </c>
      <c r="H155" s="331">
        <f>_xll.OpPERCENTILE(G155,$H$7)</f>
        <v>0</v>
      </c>
      <c r="I155" s="31"/>
      <c r="J155" s="273">
        <f t="shared" si="10"/>
        <v>0</v>
      </c>
      <c r="K155" s="318">
        <f>RiskRegister!AB163</f>
        <v>0</v>
      </c>
      <c r="L155" s="273">
        <f t="shared" si="11"/>
        <v>0</v>
      </c>
      <c r="M155" s="318">
        <f>_xll.RtaTRIANGULAR(J155,K155,L155)</f>
        <v>0</v>
      </c>
      <c r="N155" s="332">
        <f>_xll.OpPERCENTILE(M155,$N$7)</f>
        <v>0</v>
      </c>
      <c r="S155" s="309"/>
    </row>
    <row r="156" spans="3:19" s="10" customFormat="1" ht="18" customHeight="1" x14ac:dyDescent="0.25">
      <c r="C156" s="317">
        <v>149</v>
      </c>
      <c r="D156" s="273">
        <f t="shared" si="8"/>
        <v>0</v>
      </c>
      <c r="E156" s="318">
        <f>RiskRegister!S164</f>
        <v>0</v>
      </c>
      <c r="F156" s="284">
        <f t="shared" si="9"/>
        <v>0</v>
      </c>
      <c r="G156" s="330">
        <f>_xll.RtaTRIANGULAR(D156,E156,F156)</f>
        <v>0</v>
      </c>
      <c r="H156" s="331">
        <f>_xll.OpPERCENTILE(G156,$H$7)</f>
        <v>0</v>
      </c>
      <c r="I156" s="31"/>
      <c r="J156" s="273">
        <f t="shared" si="10"/>
        <v>0</v>
      </c>
      <c r="K156" s="318">
        <f>RiskRegister!AB164</f>
        <v>0</v>
      </c>
      <c r="L156" s="273">
        <f t="shared" si="11"/>
        <v>0</v>
      </c>
      <c r="M156" s="318">
        <f>_xll.RtaTRIANGULAR(J156,K156,L156)</f>
        <v>0</v>
      </c>
      <c r="N156" s="332">
        <f>_xll.OpPERCENTILE(M156,$N$7)</f>
        <v>0</v>
      </c>
      <c r="S156" s="309"/>
    </row>
    <row r="157" spans="3:19" s="10" customFormat="1" ht="18" customHeight="1" x14ac:dyDescent="0.25">
      <c r="C157" s="317">
        <v>150</v>
      </c>
      <c r="D157" s="273">
        <f t="shared" si="8"/>
        <v>0</v>
      </c>
      <c r="E157" s="318">
        <f>RiskRegister!S165</f>
        <v>0</v>
      </c>
      <c r="F157" s="284">
        <f t="shared" si="9"/>
        <v>0</v>
      </c>
      <c r="G157" s="330">
        <f>_xll.RtaTRIANGULAR(D157,E157,F157)</f>
        <v>0</v>
      </c>
      <c r="H157" s="331">
        <f>_xll.OpPERCENTILE(G157,$H$7)</f>
        <v>0</v>
      </c>
      <c r="I157" s="31"/>
      <c r="J157" s="273">
        <f t="shared" si="10"/>
        <v>0</v>
      </c>
      <c r="K157" s="318">
        <f>RiskRegister!AB165</f>
        <v>0</v>
      </c>
      <c r="L157" s="273">
        <f t="shared" si="11"/>
        <v>0</v>
      </c>
      <c r="M157" s="318">
        <f>_xll.RtaTRIANGULAR(J157,K157,L157)</f>
        <v>0</v>
      </c>
      <c r="N157" s="332">
        <f>_xll.OpPERCENTILE(M157,$N$7)</f>
        <v>0</v>
      </c>
      <c r="S157" s="309"/>
    </row>
    <row r="158" spans="3:19" s="10" customFormat="1" ht="18" customHeight="1" x14ac:dyDescent="0.25">
      <c r="C158" s="317">
        <v>151</v>
      </c>
      <c r="D158" s="273">
        <f t="shared" si="8"/>
        <v>0</v>
      </c>
      <c r="E158" s="318">
        <f>RiskRegister!S166</f>
        <v>0</v>
      </c>
      <c r="F158" s="284">
        <f t="shared" si="9"/>
        <v>0</v>
      </c>
      <c r="G158" s="330">
        <f>_xll.RtaTRIANGULAR(D158,E158,F158)</f>
        <v>0</v>
      </c>
      <c r="H158" s="331">
        <f>_xll.OpPERCENTILE(G158,$H$7)</f>
        <v>0</v>
      </c>
      <c r="I158" s="31"/>
      <c r="J158" s="273">
        <f t="shared" si="10"/>
        <v>0</v>
      </c>
      <c r="K158" s="318">
        <f>RiskRegister!AB166</f>
        <v>0</v>
      </c>
      <c r="L158" s="273">
        <f t="shared" si="11"/>
        <v>0</v>
      </c>
      <c r="M158" s="318">
        <f>_xll.RtaTRIANGULAR(J158,K158,L158)</f>
        <v>0</v>
      </c>
      <c r="N158" s="332">
        <f>_xll.OpPERCENTILE(M158,$N$7)</f>
        <v>0</v>
      </c>
      <c r="S158" s="309"/>
    </row>
    <row r="159" spans="3:19" s="10" customFormat="1" ht="18" customHeight="1" x14ac:dyDescent="0.25">
      <c r="C159" s="317">
        <v>152</v>
      </c>
      <c r="D159" s="273">
        <f t="shared" si="8"/>
        <v>0</v>
      </c>
      <c r="E159" s="318">
        <f>RiskRegister!S167</f>
        <v>0</v>
      </c>
      <c r="F159" s="284">
        <f t="shared" si="9"/>
        <v>0</v>
      </c>
      <c r="G159" s="330">
        <f>_xll.RtaTRIANGULAR(D159,E159,F159)</f>
        <v>0</v>
      </c>
      <c r="H159" s="331">
        <f>_xll.OpPERCENTILE(G159,$H$7)</f>
        <v>0</v>
      </c>
      <c r="I159" s="31"/>
      <c r="J159" s="273">
        <f t="shared" si="10"/>
        <v>0</v>
      </c>
      <c r="K159" s="318">
        <f>RiskRegister!AB167</f>
        <v>0</v>
      </c>
      <c r="L159" s="273">
        <f t="shared" si="11"/>
        <v>0</v>
      </c>
      <c r="M159" s="318">
        <f>_xll.RtaTRIANGULAR(J159,K159,L159)</f>
        <v>0</v>
      </c>
      <c r="N159" s="332">
        <f>_xll.OpPERCENTILE(M159,$N$7)</f>
        <v>0</v>
      </c>
      <c r="S159" s="309"/>
    </row>
    <row r="160" spans="3:19" s="10" customFormat="1" ht="18" customHeight="1" x14ac:dyDescent="0.25">
      <c r="C160" s="317">
        <v>153</v>
      </c>
      <c r="D160" s="273">
        <f t="shared" si="8"/>
        <v>0</v>
      </c>
      <c r="E160" s="318">
        <f>RiskRegister!S168</f>
        <v>0</v>
      </c>
      <c r="F160" s="284">
        <f t="shared" si="9"/>
        <v>0</v>
      </c>
      <c r="G160" s="330">
        <f>_xll.RtaTRIANGULAR(D160,E160,F160)</f>
        <v>0</v>
      </c>
      <c r="H160" s="331">
        <f>_xll.OpPERCENTILE(G160,$H$7)</f>
        <v>0</v>
      </c>
      <c r="I160" s="31"/>
      <c r="J160" s="273">
        <f t="shared" si="10"/>
        <v>0</v>
      </c>
      <c r="K160" s="318">
        <f>RiskRegister!AB168</f>
        <v>0</v>
      </c>
      <c r="L160" s="273">
        <f t="shared" si="11"/>
        <v>0</v>
      </c>
      <c r="M160" s="318">
        <f>_xll.RtaTRIANGULAR(J160,K160,L160)</f>
        <v>0</v>
      </c>
      <c r="N160" s="332">
        <f>_xll.OpPERCENTILE(M160,$N$7)</f>
        <v>0</v>
      </c>
      <c r="S160" s="309"/>
    </row>
    <row r="161" spans="3:19" s="10" customFormat="1" ht="18" customHeight="1" x14ac:dyDescent="0.25">
      <c r="C161" s="317">
        <v>154</v>
      </c>
      <c r="D161" s="273">
        <f t="shared" si="8"/>
        <v>0</v>
      </c>
      <c r="E161" s="318">
        <f>RiskRegister!S169</f>
        <v>0</v>
      </c>
      <c r="F161" s="284">
        <f t="shared" si="9"/>
        <v>0</v>
      </c>
      <c r="G161" s="330">
        <f>_xll.RtaTRIANGULAR(D161,E161,F161)</f>
        <v>0</v>
      </c>
      <c r="H161" s="331">
        <f>_xll.OpPERCENTILE(G161,$H$7)</f>
        <v>0</v>
      </c>
      <c r="I161" s="31"/>
      <c r="J161" s="273">
        <f t="shared" si="10"/>
        <v>0</v>
      </c>
      <c r="K161" s="318">
        <f>RiskRegister!AB169</f>
        <v>0</v>
      </c>
      <c r="L161" s="273">
        <f t="shared" si="11"/>
        <v>0</v>
      </c>
      <c r="M161" s="318">
        <f>_xll.RtaTRIANGULAR(J161,K161,L161)</f>
        <v>0</v>
      </c>
      <c r="N161" s="332">
        <f>_xll.OpPERCENTILE(M161,$N$7)</f>
        <v>0</v>
      </c>
      <c r="S161" s="309"/>
    </row>
    <row r="162" spans="3:19" s="10" customFormat="1" ht="18" customHeight="1" x14ac:dyDescent="0.25">
      <c r="C162" s="317">
        <v>155</v>
      </c>
      <c r="D162" s="273">
        <f t="shared" si="8"/>
        <v>0</v>
      </c>
      <c r="E162" s="318">
        <f>RiskRegister!S170</f>
        <v>0</v>
      </c>
      <c r="F162" s="284">
        <f t="shared" si="9"/>
        <v>0</v>
      </c>
      <c r="G162" s="330">
        <f>_xll.RtaTRIANGULAR(D162,E162,F162)</f>
        <v>0</v>
      </c>
      <c r="H162" s="331">
        <f>_xll.OpPERCENTILE(G162,$H$7)</f>
        <v>0</v>
      </c>
      <c r="I162" s="31"/>
      <c r="J162" s="273">
        <f t="shared" si="10"/>
        <v>0</v>
      </c>
      <c r="K162" s="318">
        <f>RiskRegister!AB170</f>
        <v>0</v>
      </c>
      <c r="L162" s="273">
        <f t="shared" si="11"/>
        <v>0</v>
      </c>
      <c r="M162" s="318">
        <f>_xll.RtaTRIANGULAR(J162,K162,L162)</f>
        <v>0</v>
      </c>
      <c r="N162" s="332">
        <f>_xll.OpPERCENTILE(M162,$N$7)</f>
        <v>0</v>
      </c>
      <c r="S162" s="309"/>
    </row>
    <row r="163" spans="3:19" s="10" customFormat="1" ht="18" customHeight="1" x14ac:dyDescent="0.25">
      <c r="C163" s="317">
        <v>156</v>
      </c>
      <c r="D163" s="273">
        <f t="shared" si="8"/>
        <v>0</v>
      </c>
      <c r="E163" s="318">
        <f>RiskRegister!S171</f>
        <v>0</v>
      </c>
      <c r="F163" s="284">
        <f t="shared" si="9"/>
        <v>0</v>
      </c>
      <c r="G163" s="330">
        <f>_xll.RtaTRIANGULAR(D163,E163,F163)</f>
        <v>0</v>
      </c>
      <c r="H163" s="331">
        <f>_xll.OpPERCENTILE(G163,$H$7)</f>
        <v>0</v>
      </c>
      <c r="I163" s="31"/>
      <c r="J163" s="273">
        <f t="shared" si="10"/>
        <v>0</v>
      </c>
      <c r="K163" s="318">
        <f>RiskRegister!AB171</f>
        <v>0</v>
      </c>
      <c r="L163" s="273">
        <f t="shared" si="11"/>
        <v>0</v>
      </c>
      <c r="M163" s="318">
        <f>_xll.RtaTRIANGULAR(J163,K163,L163)</f>
        <v>0</v>
      </c>
      <c r="N163" s="332">
        <f>_xll.OpPERCENTILE(M163,$N$7)</f>
        <v>0</v>
      </c>
      <c r="S163" s="309"/>
    </row>
    <row r="164" spans="3:19" s="10" customFormat="1" ht="18" customHeight="1" x14ac:dyDescent="0.25">
      <c r="C164" s="317">
        <v>157</v>
      </c>
      <c r="D164" s="273">
        <f t="shared" si="8"/>
        <v>0</v>
      </c>
      <c r="E164" s="318">
        <f>RiskRegister!S172</f>
        <v>0</v>
      </c>
      <c r="F164" s="284">
        <f t="shared" si="9"/>
        <v>0</v>
      </c>
      <c r="G164" s="330">
        <f>_xll.RtaTRIANGULAR(D164,E164,F164)</f>
        <v>0</v>
      </c>
      <c r="H164" s="331">
        <f>_xll.OpPERCENTILE(G164,$H$7)</f>
        <v>0</v>
      </c>
      <c r="I164" s="31"/>
      <c r="J164" s="273">
        <f t="shared" si="10"/>
        <v>0</v>
      </c>
      <c r="K164" s="318">
        <f>RiskRegister!AB172</f>
        <v>0</v>
      </c>
      <c r="L164" s="273">
        <f t="shared" si="11"/>
        <v>0</v>
      </c>
      <c r="M164" s="318">
        <f>_xll.RtaTRIANGULAR(J164,K164,L164)</f>
        <v>0</v>
      </c>
      <c r="N164" s="332">
        <f>_xll.OpPERCENTILE(M164,$N$7)</f>
        <v>0</v>
      </c>
      <c r="S164" s="309"/>
    </row>
    <row r="165" spans="3:19" s="10" customFormat="1" ht="18" customHeight="1" x14ac:dyDescent="0.25">
      <c r="C165" s="317">
        <v>158</v>
      </c>
      <c r="D165" s="273">
        <f t="shared" si="8"/>
        <v>0</v>
      </c>
      <c r="E165" s="318">
        <f>RiskRegister!S173</f>
        <v>0</v>
      </c>
      <c r="F165" s="284">
        <f t="shared" si="9"/>
        <v>0</v>
      </c>
      <c r="G165" s="330">
        <f>_xll.RtaTRIANGULAR(D165,E165,F165)</f>
        <v>0</v>
      </c>
      <c r="H165" s="331">
        <f>_xll.OpPERCENTILE(G165,$H$7)</f>
        <v>0</v>
      </c>
      <c r="I165" s="31"/>
      <c r="J165" s="273">
        <f t="shared" si="10"/>
        <v>0</v>
      </c>
      <c r="K165" s="318">
        <f>RiskRegister!AB173</f>
        <v>0</v>
      </c>
      <c r="L165" s="273">
        <f t="shared" si="11"/>
        <v>0</v>
      </c>
      <c r="M165" s="318">
        <f>_xll.RtaTRIANGULAR(J165,K165,L165)</f>
        <v>0</v>
      </c>
      <c r="N165" s="332">
        <f>_xll.OpPERCENTILE(M165,$N$7)</f>
        <v>0</v>
      </c>
      <c r="S165" s="309"/>
    </row>
    <row r="166" spans="3:19" s="10" customFormat="1" ht="18" customHeight="1" x14ac:dyDescent="0.25">
      <c r="C166" s="317">
        <v>159</v>
      </c>
      <c r="D166" s="273">
        <f t="shared" si="8"/>
        <v>0</v>
      </c>
      <c r="E166" s="318">
        <f>RiskRegister!S174</f>
        <v>0</v>
      </c>
      <c r="F166" s="284">
        <f t="shared" si="9"/>
        <v>0</v>
      </c>
      <c r="G166" s="330">
        <f>_xll.RtaTRIANGULAR(D166,E166,F166)</f>
        <v>0</v>
      </c>
      <c r="H166" s="331">
        <f>_xll.OpPERCENTILE(G166,$H$7)</f>
        <v>0</v>
      </c>
      <c r="I166" s="31"/>
      <c r="J166" s="273">
        <f t="shared" si="10"/>
        <v>0</v>
      </c>
      <c r="K166" s="318">
        <f>RiskRegister!AB174</f>
        <v>0</v>
      </c>
      <c r="L166" s="273">
        <f t="shared" si="11"/>
        <v>0</v>
      </c>
      <c r="M166" s="318">
        <f>_xll.RtaTRIANGULAR(J166,K166,L166)</f>
        <v>0</v>
      </c>
      <c r="N166" s="332">
        <f>_xll.OpPERCENTILE(M166,$N$7)</f>
        <v>0</v>
      </c>
      <c r="S166" s="309"/>
    </row>
    <row r="167" spans="3:19" s="10" customFormat="1" ht="18" customHeight="1" x14ac:dyDescent="0.25">
      <c r="C167" s="317">
        <v>160</v>
      </c>
      <c r="D167" s="273">
        <f t="shared" si="8"/>
        <v>0</v>
      </c>
      <c r="E167" s="318">
        <f>RiskRegister!S175</f>
        <v>0</v>
      </c>
      <c r="F167" s="284">
        <f t="shared" si="9"/>
        <v>0</v>
      </c>
      <c r="G167" s="330">
        <f>_xll.RtaTRIANGULAR(D167,E167,F167)</f>
        <v>0</v>
      </c>
      <c r="H167" s="331">
        <f>_xll.OpPERCENTILE(G167,$H$7)</f>
        <v>0</v>
      </c>
      <c r="I167" s="31"/>
      <c r="J167" s="273">
        <f t="shared" si="10"/>
        <v>0</v>
      </c>
      <c r="K167" s="318">
        <f>RiskRegister!AB175</f>
        <v>0</v>
      </c>
      <c r="L167" s="273">
        <f t="shared" si="11"/>
        <v>0</v>
      </c>
      <c r="M167" s="318">
        <f>_xll.RtaTRIANGULAR(J167,K167,L167)</f>
        <v>0</v>
      </c>
      <c r="N167" s="332">
        <f>_xll.OpPERCENTILE(M167,$N$7)</f>
        <v>0</v>
      </c>
      <c r="S167" s="309"/>
    </row>
    <row r="168" spans="3:19" s="10" customFormat="1" ht="18" customHeight="1" x14ac:dyDescent="0.25">
      <c r="C168" s="317">
        <v>161</v>
      </c>
      <c r="D168" s="273">
        <f t="shared" si="8"/>
        <v>0</v>
      </c>
      <c r="E168" s="318">
        <f>RiskRegister!S176</f>
        <v>0</v>
      </c>
      <c r="F168" s="284">
        <f t="shared" si="9"/>
        <v>0</v>
      </c>
      <c r="G168" s="330">
        <f>_xll.RtaTRIANGULAR(D168,E168,F168)</f>
        <v>0</v>
      </c>
      <c r="H168" s="331">
        <f>_xll.OpPERCENTILE(G168,$H$7)</f>
        <v>0</v>
      </c>
      <c r="I168" s="31"/>
      <c r="J168" s="273">
        <f t="shared" si="10"/>
        <v>0</v>
      </c>
      <c r="K168" s="318">
        <f>RiskRegister!AB176</f>
        <v>0</v>
      </c>
      <c r="L168" s="273">
        <f t="shared" si="11"/>
        <v>0</v>
      </c>
      <c r="M168" s="318">
        <f>_xll.RtaTRIANGULAR(J168,K168,L168)</f>
        <v>0</v>
      </c>
      <c r="N168" s="332">
        <f>_xll.OpPERCENTILE(M168,$N$7)</f>
        <v>0</v>
      </c>
      <c r="S168" s="309"/>
    </row>
    <row r="169" spans="3:19" s="10" customFormat="1" ht="18" customHeight="1" x14ac:dyDescent="0.25">
      <c r="C169" s="317">
        <v>162</v>
      </c>
      <c r="D169" s="273">
        <f t="shared" si="8"/>
        <v>0</v>
      </c>
      <c r="E169" s="318">
        <f>RiskRegister!S177</f>
        <v>0</v>
      </c>
      <c r="F169" s="284">
        <f t="shared" si="9"/>
        <v>0</v>
      </c>
      <c r="G169" s="330">
        <f>_xll.RtaTRIANGULAR(D169,E169,F169)</f>
        <v>0</v>
      </c>
      <c r="H169" s="331">
        <f>_xll.OpPERCENTILE(G169,$H$7)</f>
        <v>0</v>
      </c>
      <c r="I169" s="31"/>
      <c r="J169" s="273">
        <f t="shared" si="10"/>
        <v>0</v>
      </c>
      <c r="K169" s="318">
        <f>RiskRegister!AB177</f>
        <v>0</v>
      </c>
      <c r="L169" s="273">
        <f t="shared" si="11"/>
        <v>0</v>
      </c>
      <c r="M169" s="318">
        <f>_xll.RtaTRIANGULAR(J169,K169,L169)</f>
        <v>0</v>
      </c>
      <c r="N169" s="332">
        <f>_xll.OpPERCENTILE(M169,$N$7)</f>
        <v>0</v>
      </c>
      <c r="S169" s="309"/>
    </row>
    <row r="170" spans="3:19" s="10" customFormat="1" ht="18" customHeight="1" x14ac:dyDescent="0.25">
      <c r="C170" s="317">
        <v>163</v>
      </c>
      <c r="D170" s="273">
        <f t="shared" si="8"/>
        <v>0</v>
      </c>
      <c r="E170" s="318">
        <f>RiskRegister!S178</f>
        <v>0</v>
      </c>
      <c r="F170" s="284">
        <f t="shared" si="9"/>
        <v>0</v>
      </c>
      <c r="G170" s="330">
        <f>_xll.RtaTRIANGULAR(D170,E170,F170)</f>
        <v>0</v>
      </c>
      <c r="H170" s="331">
        <f>_xll.OpPERCENTILE(G170,$H$7)</f>
        <v>0</v>
      </c>
      <c r="I170" s="31"/>
      <c r="J170" s="273">
        <f t="shared" si="10"/>
        <v>0</v>
      </c>
      <c r="K170" s="318">
        <f>RiskRegister!AB178</f>
        <v>0</v>
      </c>
      <c r="L170" s="273">
        <f t="shared" si="11"/>
        <v>0</v>
      </c>
      <c r="M170" s="318">
        <f>_xll.RtaTRIANGULAR(J170,K170,L170)</f>
        <v>0</v>
      </c>
      <c r="N170" s="332">
        <f>_xll.OpPERCENTILE(M170,$N$7)</f>
        <v>0</v>
      </c>
      <c r="S170" s="309"/>
    </row>
    <row r="171" spans="3:19" s="10" customFormat="1" ht="18" customHeight="1" x14ac:dyDescent="0.25">
      <c r="C171" s="317">
        <v>164</v>
      </c>
      <c r="D171" s="273">
        <f t="shared" si="8"/>
        <v>0</v>
      </c>
      <c r="E171" s="318">
        <f>RiskRegister!S179</f>
        <v>0</v>
      </c>
      <c r="F171" s="284">
        <f t="shared" si="9"/>
        <v>0</v>
      </c>
      <c r="G171" s="330">
        <f>_xll.RtaTRIANGULAR(D171,E171,F171)</f>
        <v>0</v>
      </c>
      <c r="H171" s="331">
        <f>_xll.OpPERCENTILE(G171,$H$7)</f>
        <v>0</v>
      </c>
      <c r="I171" s="31"/>
      <c r="J171" s="273">
        <f t="shared" si="10"/>
        <v>0</v>
      </c>
      <c r="K171" s="318">
        <f>RiskRegister!AB179</f>
        <v>0</v>
      </c>
      <c r="L171" s="273">
        <f t="shared" si="11"/>
        <v>0</v>
      </c>
      <c r="M171" s="318">
        <f>_xll.RtaTRIANGULAR(J171,K171,L171)</f>
        <v>0</v>
      </c>
      <c r="N171" s="332">
        <f>_xll.OpPERCENTILE(M171,$N$7)</f>
        <v>0</v>
      </c>
      <c r="S171" s="309"/>
    </row>
    <row r="172" spans="3:19" s="10" customFormat="1" ht="18" customHeight="1" x14ac:dyDescent="0.25">
      <c r="C172" s="317">
        <v>165</v>
      </c>
      <c r="D172" s="273">
        <f t="shared" si="8"/>
        <v>0</v>
      </c>
      <c r="E172" s="318">
        <f>RiskRegister!S180</f>
        <v>0</v>
      </c>
      <c r="F172" s="284">
        <f t="shared" si="9"/>
        <v>0</v>
      </c>
      <c r="G172" s="330">
        <f>_xll.RtaTRIANGULAR(D172,E172,F172)</f>
        <v>0</v>
      </c>
      <c r="H172" s="331">
        <f>_xll.OpPERCENTILE(G172,$H$7)</f>
        <v>0</v>
      </c>
      <c r="I172" s="31"/>
      <c r="J172" s="273">
        <f t="shared" si="10"/>
        <v>0</v>
      </c>
      <c r="K172" s="318">
        <f>RiskRegister!AB180</f>
        <v>0</v>
      </c>
      <c r="L172" s="273">
        <f t="shared" si="11"/>
        <v>0</v>
      </c>
      <c r="M172" s="318">
        <f>_xll.RtaTRIANGULAR(J172,K172,L172)</f>
        <v>0</v>
      </c>
      <c r="N172" s="332">
        <f>_xll.OpPERCENTILE(M172,$N$7)</f>
        <v>0</v>
      </c>
      <c r="S172" s="309"/>
    </row>
    <row r="173" spans="3:19" s="10" customFormat="1" ht="18" customHeight="1" x14ac:dyDescent="0.25">
      <c r="C173" s="317">
        <v>166</v>
      </c>
      <c r="D173" s="273">
        <f t="shared" si="8"/>
        <v>0</v>
      </c>
      <c r="E173" s="318">
        <f>RiskRegister!S181</f>
        <v>0</v>
      </c>
      <c r="F173" s="284">
        <f t="shared" si="9"/>
        <v>0</v>
      </c>
      <c r="G173" s="330">
        <f>_xll.RtaTRIANGULAR(D173,E173,F173)</f>
        <v>0</v>
      </c>
      <c r="H173" s="331">
        <f>_xll.OpPERCENTILE(G173,$H$7)</f>
        <v>0</v>
      </c>
      <c r="I173" s="31"/>
      <c r="J173" s="273">
        <f t="shared" si="10"/>
        <v>0</v>
      </c>
      <c r="K173" s="318">
        <f>RiskRegister!AB181</f>
        <v>0</v>
      </c>
      <c r="L173" s="273">
        <f t="shared" si="11"/>
        <v>0</v>
      </c>
      <c r="M173" s="318">
        <f>_xll.RtaTRIANGULAR(J173,K173,L173)</f>
        <v>0</v>
      </c>
      <c r="N173" s="332">
        <f>_xll.OpPERCENTILE(M173,$N$7)</f>
        <v>0</v>
      </c>
      <c r="S173" s="309"/>
    </row>
    <row r="174" spans="3:19" s="10" customFormat="1" ht="18" customHeight="1" x14ac:dyDescent="0.25">
      <c r="C174" s="317">
        <v>167</v>
      </c>
      <c r="D174" s="273">
        <f t="shared" si="8"/>
        <v>0</v>
      </c>
      <c r="E174" s="318">
        <f>RiskRegister!S182</f>
        <v>0</v>
      </c>
      <c r="F174" s="284">
        <f t="shared" si="9"/>
        <v>0</v>
      </c>
      <c r="G174" s="330">
        <f>_xll.RtaTRIANGULAR(D174,E174,F174)</f>
        <v>0</v>
      </c>
      <c r="H174" s="331">
        <f>_xll.OpPERCENTILE(G174,$H$7)</f>
        <v>0</v>
      </c>
      <c r="I174" s="31"/>
      <c r="J174" s="273">
        <f t="shared" si="10"/>
        <v>0</v>
      </c>
      <c r="K174" s="318">
        <f>RiskRegister!AB182</f>
        <v>0</v>
      </c>
      <c r="L174" s="273">
        <f t="shared" si="11"/>
        <v>0</v>
      </c>
      <c r="M174" s="318">
        <f>_xll.RtaTRIANGULAR(J174,K174,L174)</f>
        <v>0</v>
      </c>
      <c r="N174" s="332">
        <f>_xll.OpPERCENTILE(M174,$N$7)</f>
        <v>0</v>
      </c>
      <c r="S174" s="309"/>
    </row>
    <row r="175" spans="3:19" s="10" customFormat="1" ht="18" customHeight="1" x14ac:dyDescent="0.25">
      <c r="C175" s="317">
        <v>168</v>
      </c>
      <c r="D175" s="273">
        <f t="shared" si="8"/>
        <v>0</v>
      </c>
      <c r="E175" s="318">
        <f>RiskRegister!S183</f>
        <v>0</v>
      </c>
      <c r="F175" s="284">
        <f t="shared" si="9"/>
        <v>0</v>
      </c>
      <c r="G175" s="330">
        <f>_xll.RtaTRIANGULAR(D175,E175,F175)</f>
        <v>0</v>
      </c>
      <c r="H175" s="331">
        <f>_xll.OpPERCENTILE(G175,$H$7)</f>
        <v>0</v>
      </c>
      <c r="I175" s="31"/>
      <c r="J175" s="273">
        <f t="shared" si="10"/>
        <v>0</v>
      </c>
      <c r="K175" s="318">
        <f>RiskRegister!AB183</f>
        <v>0</v>
      </c>
      <c r="L175" s="273">
        <f t="shared" si="11"/>
        <v>0</v>
      </c>
      <c r="M175" s="318">
        <f>_xll.RtaTRIANGULAR(J175,K175,L175)</f>
        <v>0</v>
      </c>
      <c r="N175" s="332">
        <f>_xll.OpPERCENTILE(M175,$N$7)</f>
        <v>0</v>
      </c>
      <c r="S175" s="309"/>
    </row>
    <row r="176" spans="3:19" s="10" customFormat="1" ht="18" customHeight="1" x14ac:dyDescent="0.25">
      <c r="C176" s="317">
        <v>169</v>
      </c>
      <c r="D176" s="273">
        <f t="shared" si="8"/>
        <v>0</v>
      </c>
      <c r="E176" s="318">
        <f>RiskRegister!S184</f>
        <v>0</v>
      </c>
      <c r="F176" s="284">
        <f t="shared" si="9"/>
        <v>0</v>
      </c>
      <c r="G176" s="330">
        <f>_xll.RtaTRIANGULAR(D176,E176,F176)</f>
        <v>0</v>
      </c>
      <c r="H176" s="331">
        <f>_xll.OpPERCENTILE(G176,$H$7)</f>
        <v>0</v>
      </c>
      <c r="I176" s="31"/>
      <c r="J176" s="273">
        <f t="shared" si="10"/>
        <v>0</v>
      </c>
      <c r="K176" s="318">
        <f>RiskRegister!AB184</f>
        <v>0</v>
      </c>
      <c r="L176" s="273">
        <f t="shared" si="11"/>
        <v>0</v>
      </c>
      <c r="M176" s="318">
        <f>_xll.RtaTRIANGULAR(J176,K176,L176)</f>
        <v>0</v>
      </c>
      <c r="N176" s="332">
        <f>_xll.OpPERCENTILE(M176,$N$7)</f>
        <v>0</v>
      </c>
      <c r="S176" s="309"/>
    </row>
    <row r="177" spans="3:19" s="10" customFormat="1" ht="18" customHeight="1" x14ac:dyDescent="0.25">
      <c r="C177" s="317">
        <v>170</v>
      </c>
      <c r="D177" s="273">
        <f t="shared" si="8"/>
        <v>0</v>
      </c>
      <c r="E177" s="318">
        <f>RiskRegister!S185</f>
        <v>0</v>
      </c>
      <c r="F177" s="284">
        <f t="shared" si="9"/>
        <v>0</v>
      </c>
      <c r="G177" s="330">
        <f>_xll.RtaTRIANGULAR(D177,E177,F177)</f>
        <v>0</v>
      </c>
      <c r="H177" s="331">
        <f>_xll.OpPERCENTILE(G177,$H$7)</f>
        <v>0</v>
      </c>
      <c r="I177" s="31"/>
      <c r="J177" s="273">
        <f t="shared" si="10"/>
        <v>0</v>
      </c>
      <c r="K177" s="318">
        <f>RiskRegister!AB185</f>
        <v>0</v>
      </c>
      <c r="L177" s="273">
        <f t="shared" si="11"/>
        <v>0</v>
      </c>
      <c r="M177" s="318">
        <f>_xll.RtaTRIANGULAR(J177,K177,L177)</f>
        <v>0</v>
      </c>
      <c r="N177" s="332">
        <f>_xll.OpPERCENTILE(M177,$N$7)</f>
        <v>0</v>
      </c>
      <c r="S177" s="309"/>
    </row>
    <row r="178" spans="3:19" s="10" customFormat="1" ht="18" customHeight="1" x14ac:dyDescent="0.25">
      <c r="C178" s="317">
        <v>171</v>
      </c>
      <c r="D178" s="273">
        <f t="shared" si="8"/>
        <v>0</v>
      </c>
      <c r="E178" s="318">
        <f>RiskRegister!S186</f>
        <v>0</v>
      </c>
      <c r="F178" s="284">
        <f t="shared" si="9"/>
        <v>0</v>
      </c>
      <c r="G178" s="330">
        <f>_xll.RtaTRIANGULAR(D178,E178,F178)</f>
        <v>0</v>
      </c>
      <c r="H178" s="331">
        <f>_xll.OpPERCENTILE(G178,$H$7)</f>
        <v>0</v>
      </c>
      <c r="I178" s="31"/>
      <c r="J178" s="273">
        <f t="shared" si="10"/>
        <v>0</v>
      </c>
      <c r="K178" s="318">
        <f>RiskRegister!AB186</f>
        <v>0</v>
      </c>
      <c r="L178" s="273">
        <f t="shared" si="11"/>
        <v>0</v>
      </c>
      <c r="M178" s="318">
        <f>_xll.RtaTRIANGULAR(J178,K178,L178)</f>
        <v>0</v>
      </c>
      <c r="N178" s="332">
        <f>_xll.OpPERCENTILE(M178,$N$7)</f>
        <v>0</v>
      </c>
      <c r="S178" s="309"/>
    </row>
    <row r="179" spans="3:19" s="10" customFormat="1" ht="18" customHeight="1" x14ac:dyDescent="0.25">
      <c r="C179" s="317">
        <v>172</v>
      </c>
      <c r="D179" s="273">
        <f t="shared" si="8"/>
        <v>0</v>
      </c>
      <c r="E179" s="318">
        <f>RiskRegister!S187</f>
        <v>0</v>
      </c>
      <c r="F179" s="284">
        <f t="shared" si="9"/>
        <v>0</v>
      </c>
      <c r="G179" s="330">
        <f>_xll.RtaTRIANGULAR(D179,E179,F179)</f>
        <v>0</v>
      </c>
      <c r="H179" s="331">
        <f>_xll.OpPERCENTILE(G179,$H$7)</f>
        <v>0</v>
      </c>
      <c r="I179" s="31"/>
      <c r="J179" s="273">
        <f t="shared" si="10"/>
        <v>0</v>
      </c>
      <c r="K179" s="318">
        <f>RiskRegister!AB187</f>
        <v>0</v>
      </c>
      <c r="L179" s="273">
        <f t="shared" si="11"/>
        <v>0</v>
      </c>
      <c r="M179" s="318">
        <f>_xll.RtaTRIANGULAR(J179,K179,L179)</f>
        <v>0</v>
      </c>
      <c r="N179" s="332">
        <f>_xll.OpPERCENTILE(M179,$N$7)</f>
        <v>0</v>
      </c>
      <c r="S179" s="309"/>
    </row>
    <row r="180" spans="3:19" s="10" customFormat="1" ht="18" customHeight="1" x14ac:dyDescent="0.25">
      <c r="C180" s="317">
        <v>173</v>
      </c>
      <c r="D180" s="273">
        <f t="shared" si="8"/>
        <v>0</v>
      </c>
      <c r="E180" s="318">
        <f>RiskRegister!S188</f>
        <v>0</v>
      </c>
      <c r="F180" s="284">
        <f t="shared" si="9"/>
        <v>0</v>
      </c>
      <c r="G180" s="330">
        <f>_xll.RtaTRIANGULAR(D180,E180,F180)</f>
        <v>0</v>
      </c>
      <c r="H180" s="331">
        <f>_xll.OpPERCENTILE(G180,$H$7)</f>
        <v>0</v>
      </c>
      <c r="I180" s="31"/>
      <c r="J180" s="273">
        <f t="shared" si="10"/>
        <v>0</v>
      </c>
      <c r="K180" s="318">
        <f>RiskRegister!AB188</f>
        <v>0</v>
      </c>
      <c r="L180" s="273">
        <f t="shared" si="11"/>
        <v>0</v>
      </c>
      <c r="M180" s="318">
        <f>_xll.RtaTRIANGULAR(J180,K180,L180)</f>
        <v>0</v>
      </c>
      <c r="N180" s="332">
        <f>_xll.OpPERCENTILE(M180,$N$7)</f>
        <v>0</v>
      </c>
      <c r="S180" s="309"/>
    </row>
    <row r="181" spans="3:19" s="10" customFormat="1" ht="18" customHeight="1" x14ac:dyDescent="0.25">
      <c r="C181" s="317">
        <v>174</v>
      </c>
      <c r="D181" s="273">
        <f t="shared" si="8"/>
        <v>0</v>
      </c>
      <c r="E181" s="318">
        <f>RiskRegister!S189</f>
        <v>0</v>
      </c>
      <c r="F181" s="284">
        <f t="shared" si="9"/>
        <v>0</v>
      </c>
      <c r="G181" s="330">
        <f>_xll.RtaTRIANGULAR(D181,E181,F181)</f>
        <v>0</v>
      </c>
      <c r="H181" s="331">
        <f>_xll.OpPERCENTILE(G181,$H$7)</f>
        <v>0</v>
      </c>
      <c r="I181" s="31"/>
      <c r="J181" s="273">
        <f t="shared" si="10"/>
        <v>0</v>
      </c>
      <c r="K181" s="318">
        <f>RiskRegister!AB189</f>
        <v>0</v>
      </c>
      <c r="L181" s="273">
        <f t="shared" si="11"/>
        <v>0</v>
      </c>
      <c r="M181" s="318">
        <f>_xll.RtaTRIANGULAR(J181,K181,L181)</f>
        <v>0</v>
      </c>
      <c r="N181" s="332">
        <f>_xll.OpPERCENTILE(M181,$N$7)</f>
        <v>0</v>
      </c>
      <c r="S181" s="309"/>
    </row>
    <row r="182" spans="3:19" s="10" customFormat="1" ht="18" customHeight="1" x14ac:dyDescent="0.25">
      <c r="C182" s="317">
        <v>175</v>
      </c>
      <c r="D182" s="273">
        <f t="shared" si="8"/>
        <v>0</v>
      </c>
      <c r="E182" s="318">
        <f>RiskRegister!S190</f>
        <v>0</v>
      </c>
      <c r="F182" s="284">
        <f t="shared" si="9"/>
        <v>0</v>
      </c>
      <c r="G182" s="330">
        <f>_xll.RtaTRIANGULAR(D182,E182,F182)</f>
        <v>0</v>
      </c>
      <c r="H182" s="331">
        <f>_xll.OpPERCENTILE(G182,$H$7)</f>
        <v>0</v>
      </c>
      <c r="I182" s="31"/>
      <c r="J182" s="273">
        <f t="shared" si="10"/>
        <v>0</v>
      </c>
      <c r="K182" s="318">
        <f>RiskRegister!AB190</f>
        <v>0</v>
      </c>
      <c r="L182" s="273">
        <f t="shared" si="11"/>
        <v>0</v>
      </c>
      <c r="M182" s="318">
        <f>_xll.RtaTRIANGULAR(J182,K182,L182)</f>
        <v>0</v>
      </c>
      <c r="N182" s="332">
        <f>_xll.OpPERCENTILE(M182,$N$7)</f>
        <v>0</v>
      </c>
      <c r="S182" s="309"/>
    </row>
    <row r="183" spans="3:19" s="10" customFormat="1" ht="18" customHeight="1" x14ac:dyDescent="0.25">
      <c r="C183" s="317">
        <v>176</v>
      </c>
      <c r="D183" s="273">
        <f t="shared" si="8"/>
        <v>0</v>
      </c>
      <c r="E183" s="318">
        <f>RiskRegister!S191</f>
        <v>0</v>
      </c>
      <c r="F183" s="284">
        <f t="shared" si="9"/>
        <v>0</v>
      </c>
      <c r="G183" s="330">
        <f>_xll.RtaTRIANGULAR(D183,E183,F183)</f>
        <v>0</v>
      </c>
      <c r="H183" s="331">
        <f>_xll.OpPERCENTILE(G183,$H$7)</f>
        <v>0</v>
      </c>
      <c r="I183" s="31"/>
      <c r="J183" s="273">
        <f t="shared" si="10"/>
        <v>0</v>
      </c>
      <c r="K183" s="318">
        <f>RiskRegister!AB191</f>
        <v>0</v>
      </c>
      <c r="L183" s="273">
        <f t="shared" si="11"/>
        <v>0</v>
      </c>
      <c r="M183" s="318">
        <f>_xll.RtaTRIANGULAR(J183,K183,L183)</f>
        <v>0</v>
      </c>
      <c r="N183" s="332">
        <f>_xll.OpPERCENTILE(M183,$N$7)</f>
        <v>0</v>
      </c>
      <c r="S183" s="309"/>
    </row>
    <row r="184" spans="3:19" s="10" customFormat="1" ht="18" customHeight="1" x14ac:dyDescent="0.25">
      <c r="C184" s="317">
        <v>177</v>
      </c>
      <c r="D184" s="273">
        <f t="shared" si="8"/>
        <v>0</v>
      </c>
      <c r="E184" s="318">
        <f>RiskRegister!S192</f>
        <v>0</v>
      </c>
      <c r="F184" s="284">
        <f t="shared" si="9"/>
        <v>0</v>
      </c>
      <c r="G184" s="330">
        <f>_xll.RtaTRIANGULAR(D184,E184,F184)</f>
        <v>0</v>
      </c>
      <c r="H184" s="331">
        <f>_xll.OpPERCENTILE(G184,$H$7)</f>
        <v>0</v>
      </c>
      <c r="I184" s="31"/>
      <c r="J184" s="273">
        <f t="shared" si="10"/>
        <v>0</v>
      </c>
      <c r="K184" s="318">
        <f>RiskRegister!AB192</f>
        <v>0</v>
      </c>
      <c r="L184" s="273">
        <f t="shared" si="11"/>
        <v>0</v>
      </c>
      <c r="M184" s="318">
        <f>_xll.RtaTRIANGULAR(J184,K184,L184)</f>
        <v>0</v>
      </c>
      <c r="N184" s="332">
        <f>_xll.OpPERCENTILE(M184,$N$7)</f>
        <v>0</v>
      </c>
      <c r="S184" s="309"/>
    </row>
    <row r="185" spans="3:19" s="10" customFormat="1" ht="18" customHeight="1" x14ac:dyDescent="0.25">
      <c r="C185" s="317">
        <v>178</v>
      </c>
      <c r="D185" s="273">
        <f t="shared" si="8"/>
        <v>0</v>
      </c>
      <c r="E185" s="318">
        <f>RiskRegister!S193</f>
        <v>0</v>
      </c>
      <c r="F185" s="284">
        <f t="shared" si="9"/>
        <v>0</v>
      </c>
      <c r="G185" s="330">
        <f>_xll.RtaTRIANGULAR(D185,E185,F185)</f>
        <v>0</v>
      </c>
      <c r="H185" s="331">
        <f>_xll.OpPERCENTILE(G185,$H$7)</f>
        <v>0</v>
      </c>
      <c r="I185" s="31"/>
      <c r="J185" s="273">
        <f t="shared" si="10"/>
        <v>0</v>
      </c>
      <c r="K185" s="318">
        <f>RiskRegister!AB193</f>
        <v>0</v>
      </c>
      <c r="L185" s="273">
        <f t="shared" si="11"/>
        <v>0</v>
      </c>
      <c r="M185" s="318">
        <f>_xll.RtaTRIANGULAR(J185,K185,L185)</f>
        <v>0</v>
      </c>
      <c r="N185" s="332">
        <f>_xll.OpPERCENTILE(M185,$N$7)</f>
        <v>0</v>
      </c>
      <c r="S185" s="309"/>
    </row>
    <row r="186" spans="3:19" s="10" customFormat="1" ht="18" customHeight="1" x14ac:dyDescent="0.25">
      <c r="C186" s="317">
        <v>179</v>
      </c>
      <c r="D186" s="273">
        <f t="shared" si="8"/>
        <v>0</v>
      </c>
      <c r="E186" s="318">
        <f>RiskRegister!S194</f>
        <v>0</v>
      </c>
      <c r="F186" s="284">
        <f t="shared" si="9"/>
        <v>0</v>
      </c>
      <c r="G186" s="330">
        <f>_xll.RtaTRIANGULAR(D186,E186,F186)</f>
        <v>0</v>
      </c>
      <c r="H186" s="331">
        <f>_xll.OpPERCENTILE(G186,$H$7)</f>
        <v>0</v>
      </c>
      <c r="I186" s="31"/>
      <c r="J186" s="273">
        <f t="shared" si="10"/>
        <v>0</v>
      </c>
      <c r="K186" s="318">
        <f>RiskRegister!AB194</f>
        <v>0</v>
      </c>
      <c r="L186" s="273">
        <f t="shared" si="11"/>
        <v>0</v>
      </c>
      <c r="M186" s="318">
        <f>_xll.RtaTRIANGULAR(J186,K186,L186)</f>
        <v>0</v>
      </c>
      <c r="N186" s="332">
        <f>_xll.OpPERCENTILE(M186,$N$7)</f>
        <v>0</v>
      </c>
      <c r="S186" s="309"/>
    </row>
    <row r="187" spans="3:19" s="10" customFormat="1" ht="18" customHeight="1" x14ac:dyDescent="0.25">
      <c r="C187" s="317">
        <v>180</v>
      </c>
      <c r="D187" s="273">
        <f t="shared" si="8"/>
        <v>0</v>
      </c>
      <c r="E187" s="318">
        <f>RiskRegister!S195</f>
        <v>0</v>
      </c>
      <c r="F187" s="284">
        <f t="shared" si="9"/>
        <v>0</v>
      </c>
      <c r="G187" s="330">
        <f>_xll.RtaTRIANGULAR(D187,E187,F187)</f>
        <v>0</v>
      </c>
      <c r="H187" s="331">
        <f>_xll.OpPERCENTILE(G187,$H$7)</f>
        <v>0</v>
      </c>
      <c r="I187" s="31"/>
      <c r="J187" s="273">
        <f t="shared" si="10"/>
        <v>0</v>
      </c>
      <c r="K187" s="318">
        <f>RiskRegister!AB195</f>
        <v>0</v>
      </c>
      <c r="L187" s="273">
        <f t="shared" si="11"/>
        <v>0</v>
      </c>
      <c r="M187" s="318">
        <f>_xll.RtaTRIANGULAR(J187,K187,L187)</f>
        <v>0</v>
      </c>
      <c r="N187" s="332">
        <f>_xll.OpPERCENTILE(M187,$N$7)</f>
        <v>0</v>
      </c>
      <c r="S187" s="309"/>
    </row>
    <row r="188" spans="3:19" s="10" customFormat="1" ht="18" customHeight="1" x14ac:dyDescent="0.25">
      <c r="C188" s="317">
        <v>181</v>
      </c>
      <c r="D188" s="273">
        <f t="shared" si="8"/>
        <v>0</v>
      </c>
      <c r="E188" s="318">
        <f>RiskRegister!S196</f>
        <v>0</v>
      </c>
      <c r="F188" s="284">
        <f t="shared" si="9"/>
        <v>0</v>
      </c>
      <c r="G188" s="330">
        <f>_xll.RtaTRIANGULAR(D188,E188,F188)</f>
        <v>0</v>
      </c>
      <c r="H188" s="331">
        <f>_xll.OpPERCENTILE(G188,$H$7)</f>
        <v>0</v>
      </c>
      <c r="I188" s="31"/>
      <c r="J188" s="273">
        <f t="shared" si="10"/>
        <v>0</v>
      </c>
      <c r="K188" s="318">
        <f>RiskRegister!AB196</f>
        <v>0</v>
      </c>
      <c r="L188" s="273">
        <f t="shared" si="11"/>
        <v>0</v>
      </c>
      <c r="M188" s="318">
        <f>_xll.RtaTRIANGULAR(J188,K188,L188)</f>
        <v>0</v>
      </c>
      <c r="N188" s="332">
        <f>_xll.OpPERCENTILE(M188,$N$7)</f>
        <v>0</v>
      </c>
      <c r="S188" s="309"/>
    </row>
    <row r="189" spans="3:19" s="10" customFormat="1" ht="18" customHeight="1" x14ac:dyDescent="0.25">
      <c r="C189" s="317">
        <v>182</v>
      </c>
      <c r="D189" s="273">
        <f t="shared" si="8"/>
        <v>0</v>
      </c>
      <c r="E189" s="318">
        <f>RiskRegister!S197</f>
        <v>0</v>
      </c>
      <c r="F189" s="284">
        <f t="shared" si="9"/>
        <v>0</v>
      </c>
      <c r="G189" s="330">
        <f>_xll.RtaTRIANGULAR(D189,E189,F189)</f>
        <v>0</v>
      </c>
      <c r="H189" s="331">
        <f>_xll.OpPERCENTILE(G189,$H$7)</f>
        <v>0</v>
      </c>
      <c r="I189" s="31"/>
      <c r="J189" s="273">
        <f t="shared" si="10"/>
        <v>0</v>
      </c>
      <c r="K189" s="318">
        <f>RiskRegister!AB197</f>
        <v>0</v>
      </c>
      <c r="L189" s="273">
        <f t="shared" si="11"/>
        <v>0</v>
      </c>
      <c r="M189" s="318">
        <f>_xll.RtaTRIANGULAR(J189,K189,L189)</f>
        <v>0</v>
      </c>
      <c r="N189" s="332">
        <f>_xll.OpPERCENTILE(M189,$N$7)</f>
        <v>0</v>
      </c>
      <c r="S189" s="309"/>
    </row>
    <row r="190" spans="3:19" s="10" customFormat="1" ht="18" customHeight="1" x14ac:dyDescent="0.25">
      <c r="C190" s="317">
        <v>183</v>
      </c>
      <c r="D190" s="273">
        <f t="shared" si="8"/>
        <v>0</v>
      </c>
      <c r="E190" s="318">
        <f>RiskRegister!S198</f>
        <v>0</v>
      </c>
      <c r="F190" s="284">
        <f t="shared" si="9"/>
        <v>0</v>
      </c>
      <c r="G190" s="330">
        <f>_xll.RtaTRIANGULAR(D190,E190,F190)</f>
        <v>0</v>
      </c>
      <c r="H190" s="331">
        <f>_xll.OpPERCENTILE(G190,$H$7)</f>
        <v>0</v>
      </c>
      <c r="I190" s="31"/>
      <c r="J190" s="273">
        <f t="shared" si="10"/>
        <v>0</v>
      </c>
      <c r="K190" s="318">
        <f>RiskRegister!AB198</f>
        <v>0</v>
      </c>
      <c r="L190" s="273">
        <f t="shared" si="11"/>
        <v>0</v>
      </c>
      <c r="M190" s="318">
        <f>_xll.RtaTRIANGULAR(J190,K190,L190)</f>
        <v>0</v>
      </c>
      <c r="N190" s="332">
        <f>_xll.OpPERCENTILE(M190,$N$7)</f>
        <v>0</v>
      </c>
      <c r="S190" s="309"/>
    </row>
    <row r="191" spans="3:19" s="10" customFormat="1" ht="18" customHeight="1" x14ac:dyDescent="0.25">
      <c r="C191" s="317">
        <v>184</v>
      </c>
      <c r="D191" s="273">
        <f t="shared" si="8"/>
        <v>0</v>
      </c>
      <c r="E191" s="318">
        <f>RiskRegister!S199</f>
        <v>0</v>
      </c>
      <c r="F191" s="284">
        <f t="shared" si="9"/>
        <v>0</v>
      </c>
      <c r="G191" s="330">
        <f>_xll.RtaTRIANGULAR(D191,E191,F191)</f>
        <v>0</v>
      </c>
      <c r="H191" s="331">
        <f>_xll.OpPERCENTILE(G191,$H$7)</f>
        <v>0</v>
      </c>
      <c r="I191" s="31"/>
      <c r="J191" s="273">
        <f t="shared" si="10"/>
        <v>0</v>
      </c>
      <c r="K191" s="318">
        <f>RiskRegister!AB199</f>
        <v>0</v>
      </c>
      <c r="L191" s="273">
        <f t="shared" si="11"/>
        <v>0</v>
      </c>
      <c r="M191" s="318">
        <f>_xll.RtaTRIANGULAR(J191,K191,L191)</f>
        <v>0</v>
      </c>
      <c r="N191" s="332">
        <f>_xll.OpPERCENTILE(M191,$N$7)</f>
        <v>0</v>
      </c>
      <c r="S191" s="309"/>
    </row>
    <row r="192" spans="3:19" s="10" customFormat="1" ht="18" customHeight="1" x14ac:dyDescent="0.25">
      <c r="C192" s="317">
        <v>185</v>
      </c>
      <c r="D192" s="273">
        <f t="shared" si="8"/>
        <v>0</v>
      </c>
      <c r="E192" s="318">
        <f>RiskRegister!S200</f>
        <v>0</v>
      </c>
      <c r="F192" s="284">
        <f t="shared" si="9"/>
        <v>0</v>
      </c>
      <c r="G192" s="330">
        <f>_xll.RtaTRIANGULAR(D192,E192,F192)</f>
        <v>0</v>
      </c>
      <c r="H192" s="331">
        <f>_xll.OpPERCENTILE(G192,$H$7)</f>
        <v>0</v>
      </c>
      <c r="I192" s="31"/>
      <c r="J192" s="273">
        <f t="shared" si="10"/>
        <v>0</v>
      </c>
      <c r="K192" s="318">
        <f>RiskRegister!AB200</f>
        <v>0</v>
      </c>
      <c r="L192" s="273">
        <f t="shared" si="11"/>
        <v>0</v>
      </c>
      <c r="M192" s="318">
        <f>_xll.RtaTRIANGULAR(J192,K192,L192)</f>
        <v>0</v>
      </c>
      <c r="N192" s="332">
        <f>_xll.OpPERCENTILE(M192,$N$7)</f>
        <v>0</v>
      </c>
      <c r="S192" s="309"/>
    </row>
    <row r="193" spans="3:19" s="10" customFormat="1" ht="18" customHeight="1" x14ac:dyDescent="0.25">
      <c r="C193" s="317">
        <v>186</v>
      </c>
      <c r="D193" s="273">
        <f t="shared" si="8"/>
        <v>0</v>
      </c>
      <c r="E193" s="318">
        <f>RiskRegister!S201</f>
        <v>0</v>
      </c>
      <c r="F193" s="284">
        <f t="shared" si="9"/>
        <v>0</v>
      </c>
      <c r="G193" s="330">
        <f>_xll.RtaTRIANGULAR(D193,E193,F193)</f>
        <v>0</v>
      </c>
      <c r="H193" s="331">
        <f>_xll.OpPERCENTILE(G193,$H$7)</f>
        <v>0</v>
      </c>
      <c r="I193" s="31"/>
      <c r="J193" s="273">
        <f t="shared" si="10"/>
        <v>0</v>
      </c>
      <c r="K193" s="318">
        <f>RiskRegister!AB201</f>
        <v>0</v>
      </c>
      <c r="L193" s="273">
        <f t="shared" si="11"/>
        <v>0</v>
      </c>
      <c r="M193" s="318">
        <f>_xll.RtaTRIANGULAR(J193,K193,L193)</f>
        <v>0</v>
      </c>
      <c r="N193" s="332">
        <f>_xll.OpPERCENTILE(M193,$N$7)</f>
        <v>0</v>
      </c>
      <c r="S193" s="309"/>
    </row>
    <row r="194" spans="3:19" s="10" customFormat="1" ht="18" customHeight="1" x14ac:dyDescent="0.25">
      <c r="C194" s="317">
        <v>187</v>
      </c>
      <c r="D194" s="273">
        <f t="shared" si="8"/>
        <v>0</v>
      </c>
      <c r="E194" s="318">
        <f>RiskRegister!S202</f>
        <v>0</v>
      </c>
      <c r="F194" s="284">
        <f t="shared" si="9"/>
        <v>0</v>
      </c>
      <c r="G194" s="330">
        <f>_xll.RtaTRIANGULAR(D194,E194,F194)</f>
        <v>0</v>
      </c>
      <c r="H194" s="331">
        <f>_xll.OpPERCENTILE(G194,$H$7)</f>
        <v>0</v>
      </c>
      <c r="I194" s="31"/>
      <c r="J194" s="273">
        <f t="shared" si="10"/>
        <v>0</v>
      </c>
      <c r="K194" s="318">
        <f>RiskRegister!AB202</f>
        <v>0</v>
      </c>
      <c r="L194" s="273">
        <f t="shared" si="11"/>
        <v>0</v>
      </c>
      <c r="M194" s="318">
        <f>_xll.RtaTRIANGULAR(J194,K194,L194)</f>
        <v>0</v>
      </c>
      <c r="N194" s="332">
        <f>_xll.OpPERCENTILE(M194,$N$7)</f>
        <v>0</v>
      </c>
      <c r="S194" s="309"/>
    </row>
    <row r="195" spans="3:19" s="10" customFormat="1" ht="18" customHeight="1" x14ac:dyDescent="0.25">
      <c r="C195" s="317">
        <v>188</v>
      </c>
      <c r="D195" s="273">
        <f t="shared" si="8"/>
        <v>0</v>
      </c>
      <c r="E195" s="318">
        <f>RiskRegister!S203</f>
        <v>0</v>
      </c>
      <c r="F195" s="284">
        <f t="shared" si="9"/>
        <v>0</v>
      </c>
      <c r="G195" s="330">
        <f>_xll.RtaTRIANGULAR(D195,E195,F195)</f>
        <v>0</v>
      </c>
      <c r="H195" s="331">
        <f>_xll.OpPERCENTILE(G195,$H$7)</f>
        <v>0</v>
      </c>
      <c r="I195" s="31"/>
      <c r="J195" s="273">
        <f t="shared" si="10"/>
        <v>0</v>
      </c>
      <c r="K195" s="318">
        <f>RiskRegister!AB203</f>
        <v>0</v>
      </c>
      <c r="L195" s="273">
        <f t="shared" si="11"/>
        <v>0</v>
      </c>
      <c r="M195" s="318">
        <f>_xll.RtaTRIANGULAR(J195,K195,L195)</f>
        <v>0</v>
      </c>
      <c r="N195" s="332">
        <f>_xll.OpPERCENTILE(M195,$N$7)</f>
        <v>0</v>
      </c>
      <c r="S195" s="309"/>
    </row>
    <row r="196" spans="3:19" s="10" customFormat="1" ht="18" customHeight="1" x14ac:dyDescent="0.25">
      <c r="C196" s="317">
        <v>189</v>
      </c>
      <c r="D196" s="273">
        <f t="shared" si="8"/>
        <v>0</v>
      </c>
      <c r="E196" s="318">
        <f>RiskRegister!S204</f>
        <v>0</v>
      </c>
      <c r="F196" s="284">
        <f t="shared" si="9"/>
        <v>0</v>
      </c>
      <c r="G196" s="330">
        <f>_xll.RtaTRIANGULAR(D196,E196,F196)</f>
        <v>0</v>
      </c>
      <c r="H196" s="331">
        <f>_xll.OpPERCENTILE(G196,$H$7)</f>
        <v>0</v>
      </c>
      <c r="I196" s="31"/>
      <c r="J196" s="273">
        <f t="shared" si="10"/>
        <v>0</v>
      </c>
      <c r="K196" s="318">
        <f>RiskRegister!AB204</f>
        <v>0</v>
      </c>
      <c r="L196" s="273">
        <f t="shared" si="11"/>
        <v>0</v>
      </c>
      <c r="M196" s="318">
        <f>_xll.RtaTRIANGULAR(J196,K196,L196)</f>
        <v>0</v>
      </c>
      <c r="N196" s="332">
        <f>_xll.OpPERCENTILE(M196,$N$7)</f>
        <v>0</v>
      </c>
      <c r="S196" s="309"/>
    </row>
    <row r="197" spans="3:19" s="10" customFormat="1" ht="18" customHeight="1" x14ac:dyDescent="0.25">
      <c r="C197" s="317">
        <v>190</v>
      </c>
      <c r="D197" s="273">
        <f t="shared" si="8"/>
        <v>0</v>
      </c>
      <c r="E197" s="318">
        <f>RiskRegister!S205</f>
        <v>0</v>
      </c>
      <c r="F197" s="284">
        <f t="shared" si="9"/>
        <v>0</v>
      </c>
      <c r="G197" s="330">
        <f>_xll.RtaTRIANGULAR(D197,E197,F197)</f>
        <v>0</v>
      </c>
      <c r="H197" s="331">
        <f>_xll.OpPERCENTILE(G197,$H$7)</f>
        <v>0</v>
      </c>
      <c r="I197" s="31"/>
      <c r="J197" s="273">
        <f t="shared" si="10"/>
        <v>0</v>
      </c>
      <c r="K197" s="318">
        <f>RiskRegister!AB205</f>
        <v>0</v>
      </c>
      <c r="L197" s="273">
        <f t="shared" si="11"/>
        <v>0</v>
      </c>
      <c r="M197" s="318">
        <f>_xll.RtaTRIANGULAR(J197,K197,L197)</f>
        <v>0</v>
      </c>
      <c r="N197" s="332">
        <f>_xll.OpPERCENTILE(M197,$N$7)</f>
        <v>0</v>
      </c>
      <c r="S197" s="309"/>
    </row>
    <row r="198" spans="3:19" s="10" customFormat="1" ht="18" customHeight="1" x14ac:dyDescent="0.25">
      <c r="C198" s="317">
        <v>191</v>
      </c>
      <c r="D198" s="273">
        <f t="shared" si="8"/>
        <v>0</v>
      </c>
      <c r="E198" s="318">
        <f>RiskRegister!S206</f>
        <v>0</v>
      </c>
      <c r="F198" s="284">
        <f t="shared" si="9"/>
        <v>0</v>
      </c>
      <c r="G198" s="330">
        <f>_xll.RtaTRIANGULAR(D198,E198,F198)</f>
        <v>0</v>
      </c>
      <c r="H198" s="331">
        <f>_xll.OpPERCENTILE(G198,$H$7)</f>
        <v>0</v>
      </c>
      <c r="I198" s="31"/>
      <c r="J198" s="273">
        <f t="shared" si="10"/>
        <v>0</v>
      </c>
      <c r="K198" s="318">
        <f>RiskRegister!AB206</f>
        <v>0</v>
      </c>
      <c r="L198" s="273">
        <f t="shared" si="11"/>
        <v>0</v>
      </c>
      <c r="M198" s="318">
        <f>_xll.RtaTRIANGULAR(J198,K198,L198)</f>
        <v>0</v>
      </c>
      <c r="N198" s="332">
        <f>_xll.OpPERCENTILE(M198,$N$7)</f>
        <v>0</v>
      </c>
      <c r="S198" s="309"/>
    </row>
    <row r="199" spans="3:19" s="10" customFormat="1" ht="18" customHeight="1" x14ac:dyDescent="0.25">
      <c r="C199" s="317">
        <v>192</v>
      </c>
      <c r="D199" s="273">
        <f t="shared" si="8"/>
        <v>0</v>
      </c>
      <c r="E199" s="318">
        <f>RiskRegister!S207</f>
        <v>0</v>
      </c>
      <c r="F199" s="284">
        <f t="shared" si="9"/>
        <v>0</v>
      </c>
      <c r="G199" s="330">
        <f>_xll.RtaTRIANGULAR(D199,E199,F199)</f>
        <v>0</v>
      </c>
      <c r="H199" s="331">
        <f>_xll.OpPERCENTILE(G199,$H$7)</f>
        <v>0</v>
      </c>
      <c r="I199" s="31"/>
      <c r="J199" s="273">
        <f t="shared" si="10"/>
        <v>0</v>
      </c>
      <c r="K199" s="318">
        <f>RiskRegister!AB207</f>
        <v>0</v>
      </c>
      <c r="L199" s="273">
        <f t="shared" si="11"/>
        <v>0</v>
      </c>
      <c r="M199" s="318">
        <f>_xll.RtaTRIANGULAR(J199,K199,L199)</f>
        <v>0</v>
      </c>
      <c r="N199" s="332">
        <f>_xll.OpPERCENTILE(M199,$N$7)</f>
        <v>0</v>
      </c>
      <c r="S199" s="309"/>
    </row>
    <row r="200" spans="3:19" s="10" customFormat="1" ht="18" customHeight="1" x14ac:dyDescent="0.25">
      <c r="C200" s="317">
        <v>193</v>
      </c>
      <c r="D200" s="273">
        <f t="shared" si="8"/>
        <v>0</v>
      </c>
      <c r="E200" s="318">
        <f>RiskRegister!S208</f>
        <v>0</v>
      </c>
      <c r="F200" s="284">
        <f t="shared" si="9"/>
        <v>0</v>
      </c>
      <c r="G200" s="330">
        <f>_xll.RtaTRIANGULAR(D200,E200,F200)</f>
        <v>0</v>
      </c>
      <c r="H200" s="331">
        <f>_xll.OpPERCENTILE(G200,$H$7)</f>
        <v>0</v>
      </c>
      <c r="I200" s="31"/>
      <c r="J200" s="273">
        <f t="shared" si="10"/>
        <v>0</v>
      </c>
      <c r="K200" s="318">
        <f>RiskRegister!AB208</f>
        <v>0</v>
      </c>
      <c r="L200" s="273">
        <f t="shared" si="11"/>
        <v>0</v>
      </c>
      <c r="M200" s="318">
        <f>_xll.RtaTRIANGULAR(J200,K200,L200)</f>
        <v>0</v>
      </c>
      <c r="N200" s="332">
        <f>_xll.OpPERCENTILE(M200,$N$7)</f>
        <v>0</v>
      </c>
      <c r="S200" s="309"/>
    </row>
    <row r="201" spans="3:19" s="10" customFormat="1" ht="18" customHeight="1" x14ac:dyDescent="0.25">
      <c r="C201" s="317">
        <v>194</v>
      </c>
      <c r="D201" s="273">
        <f t="shared" ref="D201:D207" si="12">E201*0.7</f>
        <v>0</v>
      </c>
      <c r="E201" s="318">
        <f>RiskRegister!S209</f>
        <v>0</v>
      </c>
      <c r="F201" s="284">
        <f t="shared" ref="F201:F207" si="13">E201*1.35</f>
        <v>0</v>
      </c>
      <c r="G201" s="330">
        <f>_xll.RtaTRIANGULAR(D201,E201,F201)</f>
        <v>0</v>
      </c>
      <c r="H201" s="331">
        <f>_xll.OpPERCENTILE(G201,$H$7)</f>
        <v>0</v>
      </c>
      <c r="I201" s="31"/>
      <c r="J201" s="273">
        <f t="shared" ref="J201:J207" si="14">K201*0.8</f>
        <v>0</v>
      </c>
      <c r="K201" s="318">
        <f>RiskRegister!AB209</f>
        <v>0</v>
      </c>
      <c r="L201" s="273">
        <f t="shared" ref="L201:L207" si="15">K201*1.6</f>
        <v>0</v>
      </c>
      <c r="M201" s="318">
        <f>_xll.RtaTRIANGULAR(J201,K201,L201)</f>
        <v>0</v>
      </c>
      <c r="N201" s="332">
        <f>_xll.OpPERCENTILE(M201,$N$7)</f>
        <v>0</v>
      </c>
      <c r="S201" s="309"/>
    </row>
    <row r="202" spans="3:19" s="10" customFormat="1" ht="18" customHeight="1" x14ac:dyDescent="0.25">
      <c r="C202" s="317">
        <v>195</v>
      </c>
      <c r="D202" s="273">
        <f t="shared" si="12"/>
        <v>0</v>
      </c>
      <c r="E202" s="318">
        <f>RiskRegister!S210</f>
        <v>0</v>
      </c>
      <c r="F202" s="284">
        <f t="shared" si="13"/>
        <v>0</v>
      </c>
      <c r="G202" s="330">
        <f>_xll.RtaTRIANGULAR(D202,E202,F202)</f>
        <v>0</v>
      </c>
      <c r="H202" s="331">
        <f>_xll.OpPERCENTILE(G202,$H$7)</f>
        <v>0</v>
      </c>
      <c r="I202" s="31"/>
      <c r="J202" s="273">
        <f t="shared" si="14"/>
        <v>0</v>
      </c>
      <c r="K202" s="318">
        <f>RiskRegister!AB210</f>
        <v>0</v>
      </c>
      <c r="L202" s="273">
        <f t="shared" si="15"/>
        <v>0</v>
      </c>
      <c r="M202" s="318">
        <f>_xll.RtaTRIANGULAR(J202,K202,L202)</f>
        <v>0</v>
      </c>
      <c r="N202" s="332">
        <f>_xll.OpPERCENTILE(M202,$N$7)</f>
        <v>0</v>
      </c>
      <c r="S202" s="309"/>
    </row>
    <row r="203" spans="3:19" s="10" customFormat="1" ht="18" customHeight="1" x14ac:dyDescent="0.25">
      <c r="C203" s="317">
        <v>196</v>
      </c>
      <c r="D203" s="273">
        <f t="shared" si="12"/>
        <v>0</v>
      </c>
      <c r="E203" s="318">
        <f>RiskRegister!S211</f>
        <v>0</v>
      </c>
      <c r="F203" s="284">
        <f t="shared" si="13"/>
        <v>0</v>
      </c>
      <c r="G203" s="330">
        <f>_xll.RtaTRIANGULAR(D203,E203,F203)</f>
        <v>0</v>
      </c>
      <c r="H203" s="331">
        <f>_xll.OpPERCENTILE(G203,$H$7)</f>
        <v>0</v>
      </c>
      <c r="I203" s="31"/>
      <c r="J203" s="273">
        <f t="shared" si="14"/>
        <v>0</v>
      </c>
      <c r="K203" s="318">
        <f>RiskRegister!AB211</f>
        <v>0</v>
      </c>
      <c r="L203" s="273">
        <f t="shared" si="15"/>
        <v>0</v>
      </c>
      <c r="M203" s="318">
        <f>_xll.RtaTRIANGULAR(J203,K203,L203)</f>
        <v>0</v>
      </c>
      <c r="N203" s="332">
        <f>_xll.OpPERCENTILE(M203,$N$7)</f>
        <v>0</v>
      </c>
      <c r="S203" s="309"/>
    </row>
    <row r="204" spans="3:19" s="10" customFormat="1" ht="18" customHeight="1" x14ac:dyDescent="0.25">
      <c r="C204" s="317">
        <v>197</v>
      </c>
      <c r="D204" s="273">
        <f t="shared" si="12"/>
        <v>0</v>
      </c>
      <c r="E204" s="318">
        <f>RiskRegister!S212</f>
        <v>0</v>
      </c>
      <c r="F204" s="284">
        <f t="shared" si="13"/>
        <v>0</v>
      </c>
      <c r="G204" s="330">
        <f>_xll.RtaTRIANGULAR(D204,E204,F204)</f>
        <v>0</v>
      </c>
      <c r="H204" s="331">
        <f>_xll.OpPERCENTILE(G204,$H$7)</f>
        <v>0</v>
      </c>
      <c r="I204" s="31"/>
      <c r="J204" s="273">
        <f t="shared" si="14"/>
        <v>0</v>
      </c>
      <c r="K204" s="318">
        <f>RiskRegister!AB212</f>
        <v>0</v>
      </c>
      <c r="L204" s="273">
        <f t="shared" si="15"/>
        <v>0</v>
      </c>
      <c r="M204" s="318">
        <f>_xll.RtaTRIANGULAR(J204,K204,L204)</f>
        <v>0</v>
      </c>
      <c r="N204" s="332">
        <f>_xll.OpPERCENTILE(M204,$N$7)</f>
        <v>0</v>
      </c>
      <c r="S204" s="309"/>
    </row>
    <row r="205" spans="3:19" s="10" customFormat="1" ht="18" customHeight="1" x14ac:dyDescent="0.25">
      <c r="C205" s="317">
        <v>198</v>
      </c>
      <c r="D205" s="273">
        <f t="shared" si="12"/>
        <v>0</v>
      </c>
      <c r="E205" s="318">
        <f>RiskRegister!S213</f>
        <v>0</v>
      </c>
      <c r="F205" s="284">
        <f t="shared" si="13"/>
        <v>0</v>
      </c>
      <c r="G205" s="330">
        <f>_xll.RtaTRIANGULAR(D205,E205,F205)</f>
        <v>0</v>
      </c>
      <c r="H205" s="331">
        <f>_xll.OpPERCENTILE(G205,$H$7)</f>
        <v>0</v>
      </c>
      <c r="I205" s="31"/>
      <c r="J205" s="273">
        <f t="shared" si="14"/>
        <v>0</v>
      </c>
      <c r="K205" s="318">
        <f>RiskRegister!AB213</f>
        <v>0</v>
      </c>
      <c r="L205" s="273">
        <f t="shared" si="15"/>
        <v>0</v>
      </c>
      <c r="M205" s="318">
        <f>_xll.RtaTRIANGULAR(J205,K205,L205)</f>
        <v>0</v>
      </c>
      <c r="N205" s="332">
        <f>_xll.OpPERCENTILE(M205,$N$7)</f>
        <v>0</v>
      </c>
      <c r="S205" s="309"/>
    </row>
    <row r="206" spans="3:19" s="10" customFormat="1" ht="18" customHeight="1" x14ac:dyDescent="0.25">
      <c r="C206" s="317">
        <v>199</v>
      </c>
      <c r="D206" s="273">
        <f t="shared" si="12"/>
        <v>0</v>
      </c>
      <c r="E206" s="318">
        <f>RiskRegister!S214</f>
        <v>0</v>
      </c>
      <c r="F206" s="284">
        <f t="shared" si="13"/>
        <v>0</v>
      </c>
      <c r="G206" s="330">
        <f>_xll.RtaTRIANGULAR(D206,E206,F206)</f>
        <v>0</v>
      </c>
      <c r="H206" s="331">
        <f>_xll.OpPERCENTILE(G206,$H$7)</f>
        <v>0</v>
      </c>
      <c r="I206" s="31"/>
      <c r="J206" s="273">
        <f t="shared" si="14"/>
        <v>0</v>
      </c>
      <c r="K206" s="318">
        <f>RiskRegister!AB214</f>
        <v>0</v>
      </c>
      <c r="L206" s="273">
        <f t="shared" si="15"/>
        <v>0</v>
      </c>
      <c r="M206" s="318">
        <f>_xll.RtaTRIANGULAR(J206,K206,L206)</f>
        <v>0</v>
      </c>
      <c r="N206" s="332">
        <f>_xll.OpPERCENTILE(M206,$N$7)</f>
        <v>0</v>
      </c>
      <c r="S206" s="309"/>
    </row>
    <row r="207" spans="3:19" s="10" customFormat="1" ht="18" customHeight="1" x14ac:dyDescent="0.25">
      <c r="C207" s="317">
        <v>200</v>
      </c>
      <c r="D207" s="273">
        <f t="shared" si="12"/>
        <v>0</v>
      </c>
      <c r="E207" s="318">
        <f>RiskRegister!S215</f>
        <v>0</v>
      </c>
      <c r="F207" s="284">
        <f t="shared" si="13"/>
        <v>0</v>
      </c>
      <c r="G207" s="330">
        <f>_xll.RtaTRIANGULAR(D207,E207,F207)</f>
        <v>0</v>
      </c>
      <c r="H207" s="331">
        <f>_xll.OpPERCENTILE(G207,$H$7)</f>
        <v>0</v>
      </c>
      <c r="I207" s="31"/>
      <c r="J207" s="273">
        <f t="shared" si="14"/>
        <v>0</v>
      </c>
      <c r="K207" s="318">
        <f>RiskRegister!AB215</f>
        <v>0</v>
      </c>
      <c r="L207" s="273">
        <f t="shared" si="15"/>
        <v>0</v>
      </c>
      <c r="M207" s="318">
        <f>_xll.RtaTRIANGULAR(J207,K207,L207)</f>
        <v>0</v>
      </c>
      <c r="N207" s="332">
        <f>_xll.OpPERCENTILE(M207,$N$7)</f>
        <v>0</v>
      </c>
      <c r="S207" s="309"/>
    </row>
    <row r="208" spans="3:19" s="10" customFormat="1" ht="18" customHeight="1" x14ac:dyDescent="0.25">
      <c r="C208" s="317" t="s">
        <v>1929</v>
      </c>
      <c r="D208" s="320" t="e">
        <f>SUM(D8:D207)</f>
        <v>#REF!</v>
      </c>
      <c r="E208" s="320" t="e">
        <f>SUM(E8:E207)</f>
        <v>#REF!</v>
      </c>
      <c r="F208" s="321" t="e">
        <f>SUM(F8:F207)</f>
        <v>#REF!</v>
      </c>
      <c r="G208" s="322"/>
      <c r="H208" s="323" t="e">
        <f>SUM(H8:H207)</f>
        <v>#VALUE!</v>
      </c>
      <c r="I208" s="31"/>
      <c r="J208" s="320">
        <f>SUM(J8:J207)</f>
        <v>48000000</v>
      </c>
      <c r="K208" s="320">
        <f>SUM(K8:K207)</f>
        <v>60000000</v>
      </c>
      <c r="L208" s="320">
        <f>SUM(L8:L207)</f>
        <v>96000000</v>
      </c>
      <c r="M208" s="324"/>
      <c r="N208" s="325">
        <f>SUM(N8:N207)</f>
        <v>82767444.516614228</v>
      </c>
      <c r="S208" s="309"/>
    </row>
    <row r="209" spans="3:19" s="10" customFormat="1" ht="18" customHeight="1" x14ac:dyDescent="0.25">
      <c r="C209" s="30"/>
      <c r="G209" s="30"/>
      <c r="H209" s="274"/>
      <c r="M209" s="31"/>
      <c r="N209" s="274"/>
      <c r="S209" s="309"/>
    </row>
    <row r="210" spans="3:19" s="326" customFormat="1" ht="15" customHeight="1" x14ac:dyDescent="0.3">
      <c r="C210" s="274"/>
      <c r="G210" s="274"/>
      <c r="H210" s="274"/>
      <c r="M210" s="327"/>
      <c r="N210" s="274"/>
      <c r="S210" s="328"/>
    </row>
    <row r="211" spans="3:19" s="326" customFormat="1" ht="15" customHeight="1" x14ac:dyDescent="0.3">
      <c r="C211" s="274"/>
      <c r="G211" s="274"/>
      <c r="H211" s="274"/>
      <c r="M211" s="327"/>
      <c r="N211" s="274"/>
      <c r="S211" s="328"/>
    </row>
    <row r="212" spans="3:19" s="326" customFormat="1" ht="13.8" x14ac:dyDescent="0.3">
      <c r="C212" s="274"/>
      <c r="G212" s="274"/>
      <c r="H212" s="274"/>
      <c r="M212" s="327"/>
      <c r="N212" s="274"/>
      <c r="S212" s="328"/>
    </row>
    <row r="213" spans="3:19" s="326" customFormat="1" ht="13.8" x14ac:dyDescent="0.3">
      <c r="C213" s="274"/>
      <c r="G213" s="274"/>
      <c r="H213" s="274"/>
      <c r="M213" s="327"/>
      <c r="N213" s="274"/>
      <c r="S213" s="328"/>
    </row>
    <row r="214" spans="3:19" s="326" customFormat="1" ht="13.8" x14ac:dyDescent="0.3">
      <c r="C214" s="274"/>
      <c r="G214" s="274"/>
      <c r="H214" s="274"/>
      <c r="M214" s="327"/>
      <c r="N214" s="274"/>
      <c r="S214" s="328"/>
    </row>
    <row r="215" spans="3:19" s="326" customFormat="1" ht="13.8" x14ac:dyDescent="0.3">
      <c r="C215" s="274"/>
      <c r="G215" s="274"/>
      <c r="H215" s="274"/>
      <c r="M215" s="327"/>
      <c r="N215" s="274"/>
      <c r="S215" s="328"/>
    </row>
    <row r="216" spans="3:19" s="326" customFormat="1" ht="13.8" x14ac:dyDescent="0.3">
      <c r="C216" s="274"/>
      <c r="G216" s="274"/>
      <c r="H216" s="274"/>
      <c r="M216" s="327"/>
      <c r="N216" s="274"/>
      <c r="S216" s="328"/>
    </row>
    <row r="217" spans="3:19" s="326" customFormat="1" ht="13.8" x14ac:dyDescent="0.3">
      <c r="C217" s="274"/>
      <c r="G217" s="274"/>
      <c r="H217" s="274"/>
      <c r="M217" s="327"/>
      <c r="N217" s="274"/>
      <c r="S217" s="328"/>
    </row>
    <row r="218" spans="3:19" s="326" customFormat="1" ht="13.8" x14ac:dyDescent="0.3">
      <c r="C218" s="274"/>
      <c r="G218" s="274"/>
      <c r="H218" s="274"/>
      <c r="M218" s="327"/>
      <c r="N218" s="274"/>
      <c r="S218" s="328"/>
    </row>
    <row r="219" spans="3:19" s="326" customFormat="1" ht="13.8" x14ac:dyDescent="0.3">
      <c r="C219" s="274"/>
      <c r="G219" s="274"/>
      <c r="H219" s="274"/>
      <c r="M219" s="327"/>
      <c r="N219" s="274"/>
      <c r="S219" s="328"/>
    </row>
    <row r="220" spans="3:19" s="326" customFormat="1" ht="13.8" x14ac:dyDescent="0.3">
      <c r="C220" s="274"/>
      <c r="G220" s="274"/>
      <c r="H220" s="274"/>
      <c r="M220" s="327"/>
      <c r="N220" s="274"/>
      <c r="S220" s="328"/>
    </row>
  </sheetData>
  <sheetProtection algorithmName="SHA-512" hashValue="vlM6AXTlVhVI4x+yFht2jBQ9qUgS4HYRKcKQytWRh5FpKi3WVd1AybXlma+LAqMm4Z0Nml/uYZV1owIWNR1ETw==" saltValue="hU/00O78eN/5Xc/lUl/b7A==" spinCount="100000" sheet="1" selectLockedCells="1"/>
  <mergeCells count="6">
    <mergeCell ref="C2:E2"/>
    <mergeCell ref="C3:F5"/>
    <mergeCell ref="C6:C7"/>
    <mergeCell ref="D6:F6"/>
    <mergeCell ref="J6:L6"/>
    <mergeCell ref="G2:K5"/>
  </mergeCells>
  <phoneticPr fontId="14" type="noConversion"/>
  <pageMargins left="0.70866141732283472" right="0.70866141732283472" top="0.55118110236220474" bottom="0.55118110236220474" header="0.31496062992125984" footer="0.31496062992125984"/>
  <pageSetup paperSize="8" scale="60"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data xmlns="http://riskamp.com/xml/lock-data-1.3"><![CDATA[uZuZZgAAAAA=]]></dat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c0c49c5-19ff-4769-bbfc-063d76b7d164">
      <Terms xmlns="http://schemas.microsoft.com/office/infopath/2007/PartnerControls"/>
    </lcf76f155ced4ddcb4097134ff3c332f>
    <TaxCatchAll xmlns="50301c98-698f-4fcc-b934-bcb4bd10f79b" xsi:nil="true"/>
    <SharedWithUsers xmlns="50301c98-698f-4fcc-b934-bcb4bd10f79b">
      <UserInfo>
        <DisplayName/>
        <AccountId xsi:nil="true"/>
        <AccountType/>
      </UserInfo>
    </SharedWithUsers>
    <MediaLengthInSeconds xmlns="9c0c49c5-19ff-4769-bbfc-063d76b7d16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33F822CD30E6A4D86477F0E7305D602" ma:contentTypeVersion="16" ma:contentTypeDescription="Create a new document." ma:contentTypeScope="" ma:versionID="7a5c0f32344c2b341957a84fd39fc9d8">
  <xsd:schema xmlns:xsd="http://www.w3.org/2001/XMLSchema" xmlns:xs="http://www.w3.org/2001/XMLSchema" xmlns:p="http://schemas.microsoft.com/office/2006/metadata/properties" xmlns:ns2="50301c98-698f-4fcc-b934-bcb4bd10f79b" xmlns:ns3="9c0c49c5-19ff-4769-bbfc-063d76b7d164" targetNamespace="http://schemas.microsoft.com/office/2006/metadata/properties" ma:root="true" ma:fieldsID="88cc2186d8fdacda077f6ed941efcba2" ns2:_="" ns3:_="">
    <xsd:import namespace="50301c98-698f-4fcc-b934-bcb4bd10f79b"/>
    <xsd:import namespace="9c0c49c5-19ff-4769-bbfc-063d76b7d16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301c98-698f-4fcc-b934-bcb4bd10f79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3ec6c8b-7041-4de0-a5de-487a080a9ebb}" ma:internalName="TaxCatchAll" ma:showField="CatchAllData" ma:web="50301c98-698f-4fcc-b934-bcb4bd10f79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0c49c5-19ff-4769-bbfc-063d76b7d16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35aeea7-e848-442f-a6c3-04e7a31ee3df"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A r g o G u i d   x m l n s : x s d = " h t t p : / / w w w . w 3 . o r g / 2 0 0 1 / X M L S c h e m a "   x m l n s : x s i = " h t t p : / / w w w . w 3 . o r g / 2 0 0 1 / X M L S c h e m a - i n s t a n c e "   x m l n s = " h t t p : / / w w w . b o o z a l l e n . c o m / a r g o / g u i d " > e a 4 f f 6 a 4 - f 8 1 6 - 4 2 c e - 9 9 8 4 - 2 e 5 0 d 5 b d 2 f 8 1 < / A r g o G u i d > 
</file>

<file path=customXml/itemProps1.xml><?xml version="1.0" encoding="utf-8"?>
<ds:datastoreItem xmlns:ds="http://schemas.openxmlformats.org/officeDocument/2006/customXml" ds:itemID="{D23A368C-505A-465C-8A52-720174A8C0A0}">
  <ds:schemaRefs>
    <ds:schemaRef ds:uri="http://schemas.microsoft.com/sharepoint/v3/contenttype/forms"/>
  </ds:schemaRefs>
</ds:datastoreItem>
</file>

<file path=customXml/itemProps2.xml><?xml version="1.0" encoding="utf-8"?>
<ds:datastoreItem xmlns:ds="http://schemas.openxmlformats.org/officeDocument/2006/customXml" ds:itemID="{0CBE4774-34F3-4EDD-AA8E-48C3DD8E5EA6}">
  <ds:schemaRefs>
    <ds:schemaRef ds:uri="http://riskamp.com/xml/lock-data-1.3"/>
  </ds:schemaRefs>
</ds:datastoreItem>
</file>

<file path=customXml/itemProps3.xml><?xml version="1.0" encoding="utf-8"?>
<ds:datastoreItem xmlns:ds="http://schemas.openxmlformats.org/officeDocument/2006/customXml" ds:itemID="{A88BB329-4383-4837-ADB2-320CD7188DEB}">
  <ds:schemaRefs>
    <ds:schemaRef ds:uri="04315193-31db-4d8a-b54e-23134efc231d"/>
    <ds:schemaRef ds:uri="http://schemas.microsoft.com/office/infopath/2007/PartnerControls"/>
    <ds:schemaRef ds:uri="http://www.w3.org/XML/1998/namespace"/>
    <ds:schemaRef ds:uri="http://schemas.openxmlformats.org/package/2006/metadata/core-properties"/>
    <ds:schemaRef ds:uri="http://schemas.microsoft.com/office/2006/documentManagement/types"/>
    <ds:schemaRef ds:uri="http://purl.org/dc/dcmitype/"/>
    <ds:schemaRef ds:uri="ec0f8662-6053-4309-b0f0-c0ee5a3cfd11"/>
    <ds:schemaRef ds:uri="http://purl.org/dc/elements/1.1/"/>
    <ds:schemaRef ds:uri="http://purl.org/dc/terms/"/>
    <ds:schemaRef ds:uri="http://schemas.microsoft.com/office/2006/metadata/properties"/>
  </ds:schemaRefs>
</ds:datastoreItem>
</file>

<file path=customXml/itemProps4.xml><?xml version="1.0" encoding="utf-8"?>
<ds:datastoreItem xmlns:ds="http://schemas.openxmlformats.org/officeDocument/2006/customXml" ds:itemID="{CA042C1C-27EB-4EE6-B347-7B6616C988B3}"/>
</file>

<file path=customXml/itemProps5.xml><?xml version="1.0" encoding="utf-8"?>
<ds:datastoreItem xmlns:ds="http://schemas.openxmlformats.org/officeDocument/2006/customXml" ds:itemID="{EB952854-E478-4CDF-A0AE-9DF0D384FBD9}">
  <ds:schemaRefs>
    <ds:schemaRef ds:uri="http://www.w3.org/2001/XMLSchema"/>
    <ds:schemaRef ds:uri="http://www.boozallen.com/argo/gui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178</vt:i4>
      </vt:variant>
    </vt:vector>
  </HeadingPairs>
  <TitlesOfParts>
    <vt:vector size="192" baseType="lpstr">
      <vt:lpstr>Data</vt:lpstr>
      <vt:lpstr>PRR</vt:lpstr>
      <vt:lpstr>Revision Record</vt:lpstr>
      <vt:lpstr>Guide</vt:lpstr>
      <vt:lpstr>RBS</vt:lpstr>
      <vt:lpstr>Category</vt:lpstr>
      <vt:lpstr>RiskRegister</vt:lpstr>
      <vt:lpstr>Assumption</vt:lpstr>
      <vt:lpstr>Risk-Based Cost Estimate</vt:lpstr>
      <vt:lpstr>SimulationResults1</vt:lpstr>
      <vt:lpstr>MC</vt:lpstr>
      <vt:lpstr>Risk Sched Sensitivity</vt:lpstr>
      <vt:lpstr>Risk Cost Sensitivity</vt:lpstr>
      <vt:lpstr>ModelRiskDSN</vt:lpstr>
      <vt:lpstr>Advertising</vt:lpstr>
      <vt:lpstr>Attitude.Beliefs</vt:lpstr>
      <vt:lpstr>Biohazard.Pandemic</vt:lpstr>
      <vt:lpstr>Biological.Infectious.Diseases</vt:lpstr>
      <vt:lpstr>Bureaucracy.Issues</vt:lpstr>
      <vt:lpstr>Business.Continuity</vt:lpstr>
      <vt:lpstr>Business.Interruption</vt:lpstr>
      <vt:lpstr>Change.Management</vt:lpstr>
      <vt:lpstr>Chemicals.Substance.Hazard</vt:lpstr>
      <vt:lpstr>Communication</vt:lpstr>
      <vt:lpstr>Company.Culture</vt:lpstr>
      <vt:lpstr>Compliance</vt:lpstr>
      <vt:lpstr>Confidence_Level</vt:lpstr>
      <vt:lpstr>Consumer</vt:lpstr>
      <vt:lpstr>Contamination</vt:lpstr>
      <vt:lpstr>Contingency.Provisioning</vt:lpstr>
      <vt:lpstr>Contract.Management</vt:lpstr>
      <vt:lpstr>Coordination.Communication</vt:lpstr>
      <vt:lpstr>Corruption.Levels</vt:lpstr>
      <vt:lpstr>Cost.Estimate</vt:lpstr>
      <vt:lpstr>Cost.Living</vt:lpstr>
      <vt:lpstr>Cross_Cultural.Communication</vt:lpstr>
      <vt:lpstr>Cyclical.Weather</vt:lpstr>
      <vt:lpstr>Demographics</vt:lpstr>
      <vt:lpstr>Design</vt:lpstr>
      <vt:lpstr>Disposal.Materials</vt:lpstr>
      <vt:lpstr>Disposals</vt:lpstr>
      <vt:lpstr>Ecological.Consequences</vt:lpstr>
      <vt:lpstr>Economic</vt:lpstr>
      <vt:lpstr>Education</vt:lpstr>
      <vt:lpstr>Eliminate.Bottlenecks</vt:lpstr>
      <vt:lpstr>Employment</vt:lpstr>
      <vt:lpstr>Employment.Operational.Laws</vt:lpstr>
      <vt:lpstr>Energy.Availability.Cost</vt:lpstr>
      <vt:lpstr>Engineering</vt:lpstr>
      <vt:lpstr>Environmental</vt:lpstr>
      <vt:lpstr>Environmental.Hazards</vt:lpstr>
      <vt:lpstr>Equipment.Failure</vt:lpstr>
      <vt:lpstr>Equipment.Quality.Issues</vt:lpstr>
      <vt:lpstr>Ethics.Religion</vt:lpstr>
      <vt:lpstr>Evaluating.Offers</vt:lpstr>
      <vt:lpstr>Exchange.Rates</vt:lpstr>
      <vt:lpstr>Executive</vt:lpstr>
      <vt:lpstr>Executive.Stakeholder.Conflicts</vt:lpstr>
      <vt:lpstr>Executive.Turnover</vt:lpstr>
      <vt:lpstr>External</vt:lpstr>
      <vt:lpstr>Feasibility.Studies.Options</vt:lpstr>
      <vt:lpstr>Finance.Credit</vt:lpstr>
      <vt:lpstr>Financial</vt:lpstr>
      <vt:lpstr>Flammable.Substances</vt:lpstr>
      <vt:lpstr>Gate.0_Needs.Confirmation.RR.ABP</vt:lpstr>
      <vt:lpstr>Gate.1_Business.Case</vt:lpstr>
      <vt:lpstr>Gate.2_Delivery.Strategy.Tender.Preparation</vt:lpstr>
      <vt:lpstr>Gate.3_Investment.Decision.Procurement</vt:lpstr>
      <vt:lpstr>Gate.4_Readiness.For.Service.Construction</vt:lpstr>
      <vt:lpstr>Gate.5_Benefits.Realization.Operation</vt:lpstr>
      <vt:lpstr>Gate0_Needs.Confirmation.RR.ABP</vt:lpstr>
      <vt:lpstr>Gate1_Business.Case</vt:lpstr>
      <vt:lpstr>Gate2_Delivery.Strategy.Tender.Preparation</vt:lpstr>
      <vt:lpstr>Gate3_Investment.Decision.Procurement</vt:lpstr>
      <vt:lpstr>Gate4_Readiness.For.Service.Construction</vt:lpstr>
      <vt:lpstr>Gate5_Benefits.Realization.Operation</vt:lpstr>
      <vt:lpstr>GDP.GNP</vt:lpstr>
      <vt:lpstr>Geographic.Location</vt:lpstr>
      <vt:lpstr>Globalization</vt:lpstr>
      <vt:lpstr>Government.Activity.Legislation</vt:lpstr>
      <vt:lpstr>Government.Leadership</vt:lpstr>
      <vt:lpstr>Government.Stability</vt:lpstr>
      <vt:lpstr>Health.Safety</vt:lpstr>
      <vt:lpstr>High</vt:lpstr>
      <vt:lpstr>Historical.Issues</vt:lpstr>
      <vt:lpstr>Human.Factor</vt:lpstr>
      <vt:lpstr>Human.Resource</vt:lpstr>
      <vt:lpstr>Impact</vt:lpstr>
      <vt:lpstr>Impact.Areas</vt:lpstr>
      <vt:lpstr>Import.Export</vt:lpstr>
      <vt:lpstr>Inflation</vt:lpstr>
      <vt:lpstr>Infrastructure</vt:lpstr>
      <vt:lpstr>Initial.Scope.Budget.Time</vt:lpstr>
      <vt:lpstr>Initial.Systems.Design</vt:lpstr>
      <vt:lpstr>Insufficient.Process</vt:lpstr>
      <vt:lpstr>Intellectual.Property</vt:lpstr>
      <vt:lpstr>Internal</vt:lpstr>
      <vt:lpstr>Inviting.Clarifying.Closing.Offers</vt:lpstr>
      <vt:lpstr>Joint.Ventures</vt:lpstr>
      <vt:lpstr>Knowledge.Management.System</vt:lpstr>
      <vt:lpstr>Leadership.Issues</vt:lpstr>
      <vt:lpstr>Legal</vt:lpstr>
      <vt:lpstr>Legislation</vt:lpstr>
      <vt:lpstr>Lifestyle</vt:lpstr>
      <vt:lpstr>Low</vt:lpstr>
      <vt:lpstr>Manual.Tasks.Hazards</vt:lpstr>
      <vt:lpstr>Medium</vt:lpstr>
      <vt:lpstr>Mission.Vision</vt:lpstr>
      <vt:lpstr>Needs.Analysis.Planning</vt:lpstr>
      <vt:lpstr>Negotiations</vt:lpstr>
      <vt:lpstr>Network.Coverage</vt:lpstr>
      <vt:lpstr>Occupational.Health.Safety</vt:lpstr>
      <vt:lpstr>Operation</vt:lpstr>
      <vt:lpstr>Operational</vt:lpstr>
      <vt:lpstr>Opportunities</vt:lpstr>
      <vt:lpstr>Organization</vt:lpstr>
      <vt:lpstr>Outsourcing</vt:lpstr>
      <vt:lpstr>OverallStatus</vt:lpstr>
      <vt:lpstr>Patents.Licenses</vt:lpstr>
      <vt:lpstr>Physical.Hazards</vt:lpstr>
      <vt:lpstr>Political</vt:lpstr>
      <vt:lpstr>PQM</vt:lpstr>
      <vt:lpstr>Assumption!Print_Area</vt:lpstr>
      <vt:lpstr>PRR!Print_Area</vt:lpstr>
      <vt:lpstr>RBS!Print_Area</vt:lpstr>
      <vt:lpstr>'Risk-Based Cost Estimate'!Print_Area</vt:lpstr>
      <vt:lpstr>RiskRegister!Print_Area</vt:lpstr>
      <vt:lpstr>Assumption!Print_Titles</vt:lpstr>
      <vt:lpstr>'Risk-Based Cost Estimate'!Print_Titles</vt:lpstr>
      <vt:lpstr>RiskRegister!Print_Titles</vt:lpstr>
      <vt:lpstr>Probability</vt:lpstr>
      <vt:lpstr>Process.Failure</vt:lpstr>
      <vt:lpstr>Process.Quality.Issues</vt:lpstr>
      <vt:lpstr>Procurement</vt:lpstr>
      <vt:lpstr>Procurement.Process.Evaluation</vt:lpstr>
      <vt:lpstr>Production.Efficiency</vt:lpstr>
      <vt:lpstr>Program.Services.Collaboration</vt:lpstr>
      <vt:lpstr>Project.Acceptance</vt:lpstr>
      <vt:lpstr>Project.Change.Management</vt:lpstr>
      <vt:lpstr>Project.Concept.Strategy</vt:lpstr>
      <vt:lpstr>Project.Execution.Issues</vt:lpstr>
      <vt:lpstr>Project.Gates</vt:lpstr>
      <vt:lpstr>Project.Gates.WBS</vt:lpstr>
      <vt:lpstr>Project.Headlines</vt:lpstr>
      <vt:lpstr>Project.Phase</vt:lpstr>
      <vt:lpstr>Project.Pre_Charter.Review</vt:lpstr>
      <vt:lpstr>Project.Support</vt:lpstr>
      <vt:lpstr>Project.Timeline</vt:lpstr>
      <vt:lpstr>Project.Type</vt:lpstr>
      <vt:lpstr>Psychosocial.Hazards</vt:lpstr>
      <vt:lpstr>Purchasing.Documentation</vt:lpstr>
      <vt:lpstr>Purchasing.Method</vt:lpstr>
      <vt:lpstr>Quality.Pricing</vt:lpstr>
      <vt:lpstr>Quality.Systems</vt:lpstr>
      <vt:lpstr>Rate.of.Change</vt:lpstr>
      <vt:lpstr>RBS.1</vt:lpstr>
      <vt:lpstr>RBS.2.External</vt:lpstr>
      <vt:lpstr>RBS.2.Internal</vt:lpstr>
      <vt:lpstr>RBS.Matrix</vt:lpstr>
      <vt:lpstr>Regulatory.Bodies</vt:lpstr>
      <vt:lpstr>Research.Development</vt:lpstr>
      <vt:lpstr>Resource.Optimization</vt:lpstr>
      <vt:lpstr>Risk.Matrix</vt:lpstr>
      <vt:lpstr>Risk.Names</vt:lpstr>
      <vt:lpstr>Risk.Priority.Level</vt:lpstr>
      <vt:lpstr>RiskIndex</vt:lpstr>
      <vt:lpstr>RiskStrategy</vt:lpstr>
      <vt:lpstr>Scope</vt:lpstr>
      <vt:lpstr>Scope.Cost.Time</vt:lpstr>
      <vt:lpstr>Selection.Successful.Tenderer</vt:lpstr>
      <vt:lpstr>Social</vt:lpstr>
      <vt:lpstr>Social.Implications</vt:lpstr>
      <vt:lpstr>Social.Mobility</vt:lpstr>
      <vt:lpstr>Specifications</vt:lpstr>
      <vt:lpstr>Stability.Neighbors</vt:lpstr>
      <vt:lpstr>Strategic</vt:lpstr>
      <vt:lpstr>Strategy</vt:lpstr>
      <vt:lpstr>System.Failure</vt:lpstr>
      <vt:lpstr>System.Quality</vt:lpstr>
      <vt:lpstr>Tax.Regulations</vt:lpstr>
      <vt:lpstr>Taxation</vt:lpstr>
      <vt:lpstr>Taxes.Duties</vt:lpstr>
      <vt:lpstr>Technology</vt:lpstr>
      <vt:lpstr>Technology.Adoption</vt:lpstr>
      <vt:lpstr>Threats</vt:lpstr>
      <vt:lpstr>Trade.Restrictions.Reform</vt:lpstr>
      <vt:lpstr>Use.of.Outsourcing</vt:lpstr>
      <vt:lpstr>Very_High</vt:lpstr>
      <vt:lpstr>Very_Low</vt:lpstr>
      <vt:lpstr>Work.Health.Safety</vt:lpstr>
      <vt:lpstr>Working.Practices</vt:lpstr>
      <vt:lpstr>Workplace.Compliance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2023-03-24T07:10:35Z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0x010100033F822CD30E6A4D86477F0E7305D602</vt:lpwstr>
  </property>
  <property fmtid="{D5CDD505-2E9C-101B-9397-08002B2CF9AE}" pid="3" name="MSIP_Label_82fa3fd3-029b-403d-91b4-1dc930cb0e60_Enabled">
    <vt:lpwstr>true</vt:lpwstr>
  </property>
  <property fmtid="{D5CDD505-2E9C-101B-9397-08002B2CF9AE}" pid="4" name="MSIP_Label_82fa3fd3-029b-403d-91b4-1dc930cb0e60_SetDate">
    <vt:lpwstr>2021-03-22T00:04:31Z</vt:lpwstr>
  </property>
  <property fmtid="{D5CDD505-2E9C-101B-9397-08002B2CF9AE}" pid="5" name="MSIP_Label_82fa3fd3-029b-403d-91b4-1dc930cb0e60_Method">
    <vt:lpwstr>Standard</vt:lpwstr>
  </property>
  <property fmtid="{D5CDD505-2E9C-101B-9397-08002B2CF9AE}" pid="6" name="MSIP_Label_82fa3fd3-029b-403d-91b4-1dc930cb0e60_Name">
    <vt:lpwstr>82fa3fd3-029b-403d-91b4-1dc930cb0e60</vt:lpwstr>
  </property>
  <property fmtid="{D5CDD505-2E9C-101B-9397-08002B2CF9AE}" pid="7" name="MSIP_Label_82fa3fd3-029b-403d-91b4-1dc930cb0e60_SiteId">
    <vt:lpwstr>4ae48b41-0137-4599-8661-fc641fe77bea</vt:lpwstr>
  </property>
  <property fmtid="{D5CDD505-2E9C-101B-9397-08002B2CF9AE}" pid="8" name="MSIP_Label_82fa3fd3-029b-403d-91b4-1dc930cb0e60_ActionId">
    <vt:lpwstr>344d2747-32e6-4443-abe3-9f6927679458</vt:lpwstr>
  </property>
  <property fmtid="{D5CDD505-2E9C-101B-9397-08002B2CF9AE}" pid="9" name="MSIP_Label_82fa3fd3-029b-403d-91b4-1dc930cb0e60_ContentBits">
    <vt:lpwstr>0</vt:lpwstr>
  </property>
  <property fmtid="{D5CDD505-2E9C-101B-9397-08002B2CF9AE}" pid="10" name="MediaServiceImageTags">
    <vt:lpwstr/>
  </property>
  <property fmtid="{D5CDD505-2E9C-101B-9397-08002B2CF9AE}" pid="11" name="Order">
    <vt:r8>144713400</vt:r8>
  </property>
  <property fmtid="{D5CDD505-2E9C-101B-9397-08002B2CF9AE}" pid="12" name="xd_Signature">
    <vt:bool>false</vt:bool>
  </property>
  <property fmtid="{D5CDD505-2E9C-101B-9397-08002B2CF9AE}" pid="13" name="xd_ProgID">
    <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TriggerFlowInfo">
    <vt:lpwstr/>
  </property>
</Properties>
</file>