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24226"/>
  <mc:AlternateContent xmlns:mc="http://schemas.openxmlformats.org/markup-compatibility/2006">
    <mc:Choice Requires="x15">
      <x15ac:absPath xmlns:x15ac="http://schemas.microsoft.com/office/spreadsheetml/2010/11/ac" url="https://arcadiso365.sharepoint.com/teams/WAT-TDD-ALTUSWA/Shared Documents/G. REPORT/tables/"/>
    </mc:Choice>
  </mc:AlternateContent>
  <xr:revisionPtr revIDLastSave="782" documentId="13_ncr:1_{DCDAD1FD-CF51-4747-9E50-575F54C3FC1E}" xr6:coauthVersionLast="45" xr6:coauthVersionMax="45" xr10:uidLastSave="{FC4EF244-505E-460F-8A03-D136C1FD4928}"/>
  <bookViews>
    <workbookView xWindow="-120" yWindow="-120" windowWidth="20730" windowHeight="11160" tabRatio="753" activeTab="8" xr2:uid="{00000000-000D-0000-FFFF-FFFF00000000}"/>
  </bookViews>
  <sheets>
    <sheet name="Note" sheetId="2" r:id="rId1"/>
    <sheet name="May" sheetId="1" r:id="rId2"/>
    <sheet name="June" sheetId="4" r:id="rId3"/>
    <sheet name="May-June_Comp" sheetId="6" r:id="rId4"/>
    <sheet name="summary" sheetId="7" r:id="rId5"/>
    <sheet name="ContractPrice-CDE" sheetId="5" r:id="rId6"/>
    <sheet name="Progress-C" sheetId="8" r:id="rId7"/>
    <sheet name="Progress-D" sheetId="9" r:id="rId8"/>
    <sheet name="Progress-E" sheetId="10" r:id="rId9"/>
    <sheet name="Progress-CDE" sheetId="11" r:id="rId10"/>
    <sheet name="Risk0" sheetId="15" r:id="rId11"/>
    <sheet name="Risk" sheetId="12" r:id="rId12"/>
    <sheet name="Tonghop1" sheetId="13" r:id="rId13"/>
    <sheet name="Tonghop2" sheetId="14" r:id="rId14"/>
    <sheet name="Tonghop2_Table" sheetId="19" r:id="rId15"/>
    <sheet name="Contract-Sum" sheetId="16" r:id="rId16"/>
    <sheet name="Contract-Sum-Append" sheetId="17" r:id="rId17"/>
    <sheet name="Risk_Report" sheetId="18" r:id="rId18"/>
  </sheets>
  <externalReferences>
    <externalReference r:id="rId19"/>
  </externalReferences>
  <definedNames>
    <definedName name="_xlnm._FilterDatabase" localSheetId="2" hidden="1">June!$A$2:$AA$2</definedName>
    <definedName name="_xlnm._FilterDatabase" localSheetId="1" hidden="1">May!$A$1:$P$49</definedName>
    <definedName name="_xlnm._FilterDatabase" localSheetId="3" hidden="1">'May-June_Comp'!$A$1:$P$49</definedName>
    <definedName name="_xlnm._FilterDatabase" localSheetId="11" hidden="1">Risk!$A$1:$L$28</definedName>
    <definedName name="_xlnm._FilterDatabase" localSheetId="17" hidden="1">Risk_Report!$A$5:$K$32</definedName>
    <definedName name="_xlnm._FilterDatabase" localSheetId="10" hidden="1">Risk0!$A$1:$L$28</definedName>
    <definedName name="_xlnm._FilterDatabase" localSheetId="4" hidden="1">summary!$A$2:$AD$2</definedName>
    <definedName name="_xlnm.Print_Area" localSheetId="17">Risk_Report!$A$1:$K$33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1" i="14" l="1"/>
  <c r="D20" i="14"/>
  <c r="F32" i="18" l="1"/>
  <c r="H32" i="18" s="1"/>
  <c r="F31" i="18"/>
  <c r="H31" i="18" s="1"/>
  <c r="F30" i="18"/>
  <c r="J30" i="18" s="1"/>
  <c r="F29" i="18"/>
  <c r="J29" i="18" s="1"/>
  <c r="F28" i="18"/>
  <c r="J28" i="18" s="1"/>
  <c r="F27" i="18"/>
  <c r="H27" i="18" s="1"/>
  <c r="F26" i="18"/>
  <c r="J26" i="18" s="1"/>
  <c r="F25" i="18"/>
  <c r="J25" i="18" s="1"/>
  <c r="F24" i="18"/>
  <c r="J24" i="18" s="1"/>
  <c r="F23" i="18"/>
  <c r="J23" i="18" s="1"/>
  <c r="F22" i="18"/>
  <c r="J22" i="18" s="1"/>
  <c r="F21" i="18"/>
  <c r="H21" i="18" s="1"/>
  <c r="F20" i="18"/>
  <c r="H20" i="18" s="1"/>
  <c r="F19" i="18"/>
  <c r="H19" i="18" s="1"/>
  <c r="F18" i="18"/>
  <c r="H18" i="18" s="1"/>
  <c r="F17" i="18"/>
  <c r="H17" i="18" s="1"/>
  <c r="F16" i="18"/>
  <c r="H16" i="18" s="1"/>
  <c r="F15" i="18"/>
  <c r="H15" i="18" s="1"/>
  <c r="F14" i="18"/>
  <c r="H14" i="18" s="1"/>
  <c r="F13" i="18"/>
  <c r="H13" i="18" s="1"/>
  <c r="F12" i="18"/>
  <c r="H12" i="18" s="1"/>
  <c r="F11" i="18"/>
  <c r="H11" i="18" s="1"/>
  <c r="F10" i="18"/>
  <c r="H10" i="18" s="1"/>
  <c r="F9" i="18"/>
  <c r="H9" i="18" s="1"/>
  <c r="F8" i="18"/>
  <c r="H8" i="18" s="1"/>
  <c r="A8" i="18"/>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F7" i="18"/>
  <c r="J7" i="18" s="1"/>
  <c r="A7" i="18"/>
  <c r="F6" i="18"/>
  <c r="J6" i="18" s="1"/>
  <c r="J10" i="18" l="1"/>
  <c r="H6" i="18"/>
  <c r="J20" i="18"/>
  <c r="J27" i="18"/>
  <c r="J18" i="18"/>
  <c r="J12" i="18"/>
  <c r="J8" i="18"/>
  <c r="J14" i="18"/>
  <c r="H26" i="18"/>
  <c r="J16" i="18"/>
  <c r="J32" i="18"/>
  <c r="H29" i="18"/>
  <c r="J9" i="18"/>
  <c r="J11" i="18"/>
  <c r="J13" i="18"/>
  <c r="J15" i="18"/>
  <c r="J17" i="18"/>
  <c r="J19" i="18"/>
  <c r="J21" i="18"/>
  <c r="H28" i="18"/>
  <c r="J31" i="18"/>
  <c r="H24" i="18"/>
  <c r="F33" i="18"/>
  <c r="C11" i="14"/>
  <c r="C9" i="14"/>
  <c r="D3" i="14"/>
  <c r="C3" i="14"/>
  <c r="D4" i="14"/>
  <c r="C4" i="14"/>
  <c r="D9" i="14"/>
  <c r="C8" i="14"/>
  <c r="C7" i="14"/>
  <c r="AE3" i="13"/>
  <c r="AE4" i="13"/>
  <c r="AE5" i="13"/>
  <c r="AE6" i="13"/>
  <c r="AE7" i="13"/>
  <c r="AE8" i="13"/>
  <c r="AE9" i="13"/>
  <c r="AE10" i="13"/>
  <c r="AE11" i="13"/>
  <c r="AE12" i="13"/>
  <c r="AE13" i="13"/>
  <c r="AE14" i="13"/>
  <c r="AE15" i="13"/>
  <c r="AE16" i="13"/>
  <c r="AE17" i="13"/>
  <c r="AE18" i="13"/>
  <c r="AE19" i="13"/>
  <c r="AE20" i="13"/>
  <c r="AE21" i="13"/>
  <c r="AE22" i="13"/>
  <c r="AE23" i="13"/>
  <c r="AE24" i="13"/>
  <c r="AE25" i="13"/>
  <c r="AE26" i="13"/>
  <c r="AE27" i="13"/>
  <c r="AE28" i="13"/>
  <c r="AE29" i="13"/>
  <c r="AE30" i="13"/>
  <c r="AE31" i="13"/>
  <c r="AE32" i="13"/>
  <c r="AE33" i="13"/>
  <c r="AE34" i="13"/>
  <c r="AE35" i="13"/>
  <c r="AE36" i="13"/>
  <c r="AE37" i="13"/>
  <c r="AE38" i="13"/>
  <c r="AE39" i="13"/>
  <c r="AE40" i="13"/>
  <c r="AE41" i="13"/>
  <c r="AE42" i="13"/>
  <c r="AE43" i="13"/>
  <c r="AE2" i="13"/>
  <c r="AE44" i="13"/>
  <c r="AB3" i="13"/>
  <c r="AB4" i="13"/>
  <c r="AB5" i="13"/>
  <c r="AB6" i="13"/>
  <c r="AB7" i="13"/>
  <c r="AB8" i="13"/>
  <c r="AB9" i="13"/>
  <c r="AB10" i="13"/>
  <c r="AB11" i="13"/>
  <c r="AB12" i="13"/>
  <c r="AB13" i="13"/>
  <c r="AB14" i="13"/>
  <c r="AB15" i="13"/>
  <c r="AB16" i="13"/>
  <c r="AB17" i="13"/>
  <c r="AB18" i="13"/>
  <c r="AB19" i="13"/>
  <c r="AB20" i="13"/>
  <c r="AB21" i="13"/>
  <c r="AB22" i="13"/>
  <c r="AB23" i="13"/>
  <c r="AB24" i="13"/>
  <c r="AB25" i="13"/>
  <c r="AB26" i="13"/>
  <c r="AB27" i="13"/>
  <c r="AB28" i="13"/>
  <c r="AB29" i="13"/>
  <c r="AB30" i="13"/>
  <c r="AB31" i="13"/>
  <c r="AB32" i="13"/>
  <c r="AB33" i="13"/>
  <c r="AB34" i="13"/>
  <c r="AB35" i="13"/>
  <c r="AB36" i="13"/>
  <c r="AB37" i="13"/>
  <c r="AB38" i="13"/>
  <c r="AB39" i="13"/>
  <c r="AB40" i="13"/>
  <c r="AB41" i="13"/>
  <c r="AB42" i="13"/>
  <c r="AB43" i="13"/>
  <c r="AB2" i="13"/>
  <c r="AF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2" i="5"/>
  <c r="AC2" i="5"/>
  <c r="AC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13"/>
  <c r="AD44" i="5"/>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J3" i="12"/>
  <c r="F2" i="12"/>
  <c r="F29" i="15"/>
  <c r="J28" i="15"/>
  <c r="H28" i="15"/>
  <c r="J27" i="15"/>
  <c r="H27" i="15"/>
  <c r="J26" i="15"/>
  <c r="J25" i="15"/>
  <c r="H25" i="15"/>
  <c r="J24" i="15"/>
  <c r="H24" i="15"/>
  <c r="J23" i="15"/>
  <c r="H23" i="15"/>
  <c r="J22" i="15"/>
  <c r="H22" i="15"/>
  <c r="J21" i="15"/>
  <c r="J20" i="15"/>
  <c r="H20" i="15"/>
  <c r="J19" i="15"/>
  <c r="J18" i="15"/>
  <c r="J17" i="15"/>
  <c r="H17" i="15"/>
  <c r="J16" i="15"/>
  <c r="H16" i="15"/>
  <c r="J15" i="15"/>
  <c r="H15" i="15"/>
  <c r="J14" i="15"/>
  <c r="H14" i="15"/>
  <c r="J13" i="15"/>
  <c r="H13" i="15"/>
  <c r="J12" i="15"/>
  <c r="H12" i="15"/>
  <c r="J11" i="15"/>
  <c r="H11" i="15"/>
  <c r="J10" i="15"/>
  <c r="H10" i="15"/>
  <c r="J9" i="15"/>
  <c r="H9" i="15"/>
  <c r="J8" i="15"/>
  <c r="H8" i="15"/>
  <c r="J7" i="15"/>
  <c r="H7" i="15"/>
  <c r="J6" i="15"/>
  <c r="H6" i="15"/>
  <c r="H29" i="15" s="1"/>
  <c r="J5" i="15"/>
  <c r="H5" i="15"/>
  <c r="J4" i="15"/>
  <c r="H4" i="15"/>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J3" i="15"/>
  <c r="J29" i="15" s="1"/>
  <c r="A3" i="15"/>
  <c r="J2" i="15"/>
  <c r="H2" i="15"/>
  <c r="C2" i="14"/>
  <c r="C18" i="14"/>
  <c r="D18" i="14" s="1"/>
  <c r="C17" i="14"/>
  <c r="D17" i="14" s="1"/>
  <c r="A6" i="12"/>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4" i="12"/>
  <c r="A5" i="12" s="1"/>
  <c r="A3" i="12"/>
  <c r="J21" i="12"/>
  <c r="H33" i="18" l="1"/>
  <c r="J33" i="18"/>
  <c r="C5" i="14"/>
  <c r="D2" i="14"/>
  <c r="D5" i="14" s="1"/>
  <c r="C19" i="14"/>
  <c r="D19" i="14" s="1"/>
  <c r="J28" i="12"/>
  <c r="J27" i="12"/>
  <c r="J26" i="12"/>
  <c r="J25" i="12"/>
  <c r="J24" i="12"/>
  <c r="J23" i="12"/>
  <c r="J22" i="12"/>
  <c r="J20" i="12"/>
  <c r="J19" i="12"/>
  <c r="J18" i="12"/>
  <c r="J17" i="12"/>
  <c r="J16" i="12"/>
  <c r="J15" i="12"/>
  <c r="J14" i="12"/>
  <c r="J13" i="12"/>
  <c r="J12" i="12"/>
  <c r="J11" i="12"/>
  <c r="J10" i="12"/>
  <c r="J9" i="12"/>
  <c r="J8" i="12"/>
  <c r="J7" i="12"/>
  <c r="J6" i="12"/>
  <c r="J5" i="12"/>
  <c r="J4" i="12"/>
  <c r="J2" i="12"/>
  <c r="H11" i="12"/>
  <c r="F29" i="12"/>
  <c r="D8" i="14" l="1"/>
  <c r="D12" i="14" s="1"/>
  <c r="D15" i="14" s="1"/>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2" i="5"/>
  <c r="K43" i="13" l="1"/>
  <c r="J3" i="13"/>
  <c r="K3" i="13"/>
  <c r="J4" i="13"/>
  <c r="K4" i="13"/>
  <c r="J5" i="13"/>
  <c r="K5" i="13"/>
  <c r="J6" i="13"/>
  <c r="K6" i="13"/>
  <c r="J7" i="13"/>
  <c r="K7" i="13"/>
  <c r="J8" i="13"/>
  <c r="K8" i="13"/>
  <c r="J9" i="13"/>
  <c r="K9" i="13"/>
  <c r="J10" i="13"/>
  <c r="K10" i="13"/>
  <c r="J11" i="13"/>
  <c r="K11" i="13"/>
  <c r="J12" i="13"/>
  <c r="K12" i="13"/>
  <c r="J13" i="13"/>
  <c r="K13" i="13"/>
  <c r="J14" i="13"/>
  <c r="K14" i="13"/>
  <c r="J15" i="13"/>
  <c r="K15" i="13"/>
  <c r="J16" i="13"/>
  <c r="K16" i="13"/>
  <c r="J17" i="13"/>
  <c r="K17" i="13"/>
  <c r="J18" i="13"/>
  <c r="K18" i="13"/>
  <c r="J19" i="13"/>
  <c r="K19" i="13"/>
  <c r="J20" i="13"/>
  <c r="K20" i="13"/>
  <c r="J21" i="13"/>
  <c r="K21" i="13"/>
  <c r="J22" i="13"/>
  <c r="K22" i="13"/>
  <c r="J23" i="13"/>
  <c r="K23" i="13"/>
  <c r="J24" i="13"/>
  <c r="K24" i="13"/>
  <c r="J25" i="13"/>
  <c r="K25" i="13"/>
  <c r="J26" i="13"/>
  <c r="K26" i="13"/>
  <c r="J27" i="13"/>
  <c r="K27" i="13"/>
  <c r="J28" i="13"/>
  <c r="K28" i="13"/>
  <c r="J29" i="13"/>
  <c r="K29" i="13"/>
  <c r="J30" i="13"/>
  <c r="K30" i="13"/>
  <c r="J31" i="13"/>
  <c r="K31" i="13"/>
  <c r="J32" i="13"/>
  <c r="K32" i="13"/>
  <c r="J33" i="13"/>
  <c r="K33" i="13"/>
  <c r="J34" i="13"/>
  <c r="K34" i="13"/>
  <c r="J35" i="13"/>
  <c r="K35" i="13"/>
  <c r="J36" i="13"/>
  <c r="K36" i="13"/>
  <c r="J37" i="13"/>
  <c r="K37" i="13"/>
  <c r="J38" i="13"/>
  <c r="K38" i="13"/>
  <c r="J39" i="13"/>
  <c r="K39" i="13"/>
  <c r="J40" i="13"/>
  <c r="K40" i="13"/>
  <c r="J41" i="13"/>
  <c r="K41" i="13"/>
  <c r="J42" i="13"/>
  <c r="K42" i="13"/>
  <c r="J43" i="13"/>
  <c r="K2" i="13"/>
  <c r="K1" i="13"/>
  <c r="L44" i="5"/>
  <c r="L32" i="5"/>
  <c r="L35" i="5"/>
  <c r="L36" i="5"/>
  <c r="L37" i="5"/>
  <c r="L38" i="5"/>
  <c r="L39" i="5"/>
  <c r="L40" i="5"/>
  <c r="L43" i="5"/>
  <c r="K44" i="13" l="1"/>
  <c r="D2" i="13"/>
  <c r="E2" i="13"/>
  <c r="F2" i="13"/>
  <c r="G2" i="13"/>
  <c r="H2" i="13"/>
  <c r="I2" i="13"/>
  <c r="J2" i="13"/>
  <c r="L2" i="13"/>
  <c r="M2" i="13"/>
  <c r="N2" i="13"/>
  <c r="O2" i="13"/>
  <c r="Q2" i="13"/>
  <c r="R2" i="13"/>
  <c r="D3" i="13"/>
  <c r="E3" i="13"/>
  <c r="F3" i="13"/>
  <c r="G3" i="13"/>
  <c r="H3" i="13"/>
  <c r="I3" i="13"/>
  <c r="L3" i="13"/>
  <c r="M3" i="13"/>
  <c r="N3" i="13"/>
  <c r="O3" i="13"/>
  <c r="Q3" i="13"/>
  <c r="R3" i="13"/>
  <c r="D4" i="13"/>
  <c r="E4" i="13"/>
  <c r="F4" i="13"/>
  <c r="G4" i="13"/>
  <c r="H4" i="13"/>
  <c r="I4" i="13"/>
  <c r="L4" i="13"/>
  <c r="Y4" i="13" s="1"/>
  <c r="M4" i="13"/>
  <c r="N4" i="13"/>
  <c r="O4" i="13"/>
  <c r="Q4" i="13"/>
  <c r="R4" i="13"/>
  <c r="D5" i="13"/>
  <c r="E5" i="13"/>
  <c r="F5" i="13"/>
  <c r="G5" i="13"/>
  <c r="H5" i="13"/>
  <c r="I5" i="13"/>
  <c r="L5" i="13"/>
  <c r="M5" i="13"/>
  <c r="N5" i="13"/>
  <c r="O5" i="13"/>
  <c r="Q5" i="13"/>
  <c r="R5" i="13"/>
  <c r="D6" i="13"/>
  <c r="E6" i="13"/>
  <c r="F6" i="13"/>
  <c r="G6" i="13"/>
  <c r="H6" i="13"/>
  <c r="I6" i="13"/>
  <c r="L6" i="13"/>
  <c r="Y6" i="13" s="1"/>
  <c r="M6" i="13"/>
  <c r="N6" i="13"/>
  <c r="O6" i="13"/>
  <c r="Q6" i="13"/>
  <c r="S6" i="13" s="1"/>
  <c r="R6" i="13"/>
  <c r="U6" i="13" s="1"/>
  <c r="D7" i="13"/>
  <c r="E7" i="13"/>
  <c r="F7" i="13"/>
  <c r="G7" i="13"/>
  <c r="H7" i="13"/>
  <c r="I7" i="13"/>
  <c r="U7" i="13"/>
  <c r="L7" i="13"/>
  <c r="M7" i="13"/>
  <c r="N7" i="13"/>
  <c r="O7" i="13"/>
  <c r="Q7" i="13"/>
  <c r="R7" i="13"/>
  <c r="D8" i="13"/>
  <c r="E8" i="13"/>
  <c r="F8" i="13"/>
  <c r="G8" i="13"/>
  <c r="H8" i="13"/>
  <c r="I8" i="13"/>
  <c r="L8" i="13"/>
  <c r="M8" i="13"/>
  <c r="N8" i="13"/>
  <c r="O8" i="13"/>
  <c r="Q8" i="13"/>
  <c r="R8" i="13"/>
  <c r="S8" i="13" s="1"/>
  <c r="D9" i="13"/>
  <c r="E9" i="13"/>
  <c r="F9" i="13"/>
  <c r="G9" i="13"/>
  <c r="H9" i="13"/>
  <c r="I9" i="13"/>
  <c r="L9" i="13"/>
  <c r="Y9" i="13" s="1"/>
  <c r="Z9" i="13" s="1"/>
  <c r="M9" i="13"/>
  <c r="N9" i="13"/>
  <c r="O9" i="13"/>
  <c r="Q9" i="13"/>
  <c r="R9" i="13"/>
  <c r="S9" i="13" s="1"/>
  <c r="D10" i="13"/>
  <c r="E10" i="13"/>
  <c r="F10" i="13"/>
  <c r="G10" i="13"/>
  <c r="H10" i="13"/>
  <c r="I10" i="13"/>
  <c r="L10" i="13"/>
  <c r="Y10" i="13" s="1"/>
  <c r="M10" i="13"/>
  <c r="N10" i="13"/>
  <c r="O10" i="13"/>
  <c r="Q10" i="13"/>
  <c r="R10" i="13"/>
  <c r="U10" i="13" s="1"/>
  <c r="D11" i="13"/>
  <c r="E11" i="13"/>
  <c r="F11" i="13"/>
  <c r="G11" i="13"/>
  <c r="H11" i="13"/>
  <c r="I11" i="13"/>
  <c r="L11" i="13"/>
  <c r="M11" i="13"/>
  <c r="N11" i="13"/>
  <c r="O11" i="13"/>
  <c r="Q11" i="13"/>
  <c r="R11" i="13"/>
  <c r="D12" i="13"/>
  <c r="E12" i="13"/>
  <c r="F12" i="13"/>
  <c r="G12" i="13"/>
  <c r="H12" i="13"/>
  <c r="I12" i="13"/>
  <c r="L12" i="13"/>
  <c r="M12" i="13"/>
  <c r="N12" i="13"/>
  <c r="O12" i="13"/>
  <c r="Q12" i="13"/>
  <c r="R12" i="13"/>
  <c r="D13" i="13"/>
  <c r="E13" i="13"/>
  <c r="F13" i="13"/>
  <c r="G13" i="13"/>
  <c r="H13" i="13"/>
  <c r="I13" i="13"/>
  <c r="L13" i="13"/>
  <c r="Y13" i="13" s="1"/>
  <c r="Z13" i="13" s="1"/>
  <c r="M13" i="13"/>
  <c r="N13" i="13"/>
  <c r="O13" i="13"/>
  <c r="Q13" i="13"/>
  <c r="R13" i="13"/>
  <c r="D14" i="13"/>
  <c r="E14" i="13"/>
  <c r="F14" i="13"/>
  <c r="T14" i="13" s="1"/>
  <c r="G14" i="13"/>
  <c r="H14" i="13"/>
  <c r="I14" i="13"/>
  <c r="L14" i="13"/>
  <c r="M14" i="13"/>
  <c r="N14" i="13"/>
  <c r="O14" i="13"/>
  <c r="Q14" i="13"/>
  <c r="S14" i="13" s="1"/>
  <c r="R14" i="13"/>
  <c r="U14" i="13" s="1"/>
  <c r="D15" i="13"/>
  <c r="E15" i="13"/>
  <c r="F15" i="13"/>
  <c r="G15" i="13"/>
  <c r="H15" i="13"/>
  <c r="I15" i="13"/>
  <c r="L15" i="13"/>
  <c r="M15" i="13"/>
  <c r="N15" i="13"/>
  <c r="O15" i="13"/>
  <c r="Q15" i="13"/>
  <c r="R15" i="13"/>
  <c r="D16" i="13"/>
  <c r="E16" i="13"/>
  <c r="F16" i="13"/>
  <c r="G16" i="13"/>
  <c r="H16" i="13"/>
  <c r="I16" i="13"/>
  <c r="L16" i="13"/>
  <c r="M16" i="13"/>
  <c r="N16" i="13"/>
  <c r="O16" i="13"/>
  <c r="Q16" i="13"/>
  <c r="R16" i="13"/>
  <c r="D17" i="13"/>
  <c r="E17" i="13"/>
  <c r="F17" i="13"/>
  <c r="G17" i="13"/>
  <c r="H17" i="13"/>
  <c r="I17" i="13"/>
  <c r="L17" i="13"/>
  <c r="Y17" i="13" s="1"/>
  <c r="M17" i="13"/>
  <c r="N17" i="13"/>
  <c r="O17" i="13"/>
  <c r="Q17" i="13"/>
  <c r="R17" i="13"/>
  <c r="D18" i="13"/>
  <c r="E18" i="13"/>
  <c r="F18" i="13"/>
  <c r="G18" i="13"/>
  <c r="H18" i="13"/>
  <c r="I18" i="13"/>
  <c r="L18" i="13"/>
  <c r="M18" i="13"/>
  <c r="N18" i="13"/>
  <c r="O18" i="13"/>
  <c r="Q18" i="13"/>
  <c r="R18" i="13"/>
  <c r="D19" i="13"/>
  <c r="E19" i="13"/>
  <c r="F19" i="13"/>
  <c r="G19" i="13"/>
  <c r="H19" i="13"/>
  <c r="I19" i="13"/>
  <c r="L19" i="13"/>
  <c r="M19" i="13"/>
  <c r="N19" i="13"/>
  <c r="O19" i="13"/>
  <c r="Q19" i="13"/>
  <c r="R19" i="13"/>
  <c r="D20" i="13"/>
  <c r="E20" i="13"/>
  <c r="F20" i="13"/>
  <c r="G20" i="13"/>
  <c r="H20" i="13"/>
  <c r="I20" i="13"/>
  <c r="L20" i="13"/>
  <c r="M20" i="13"/>
  <c r="N20" i="13"/>
  <c r="O20" i="13"/>
  <c r="Q20" i="13"/>
  <c r="R20" i="13"/>
  <c r="D21" i="13"/>
  <c r="E21" i="13"/>
  <c r="F21" i="13"/>
  <c r="G21" i="13"/>
  <c r="H21" i="13"/>
  <c r="I21" i="13"/>
  <c r="L21" i="13"/>
  <c r="M21" i="13"/>
  <c r="N21" i="13"/>
  <c r="O21" i="13"/>
  <c r="Q21" i="13"/>
  <c r="R21" i="13"/>
  <c r="D22" i="13"/>
  <c r="E22" i="13"/>
  <c r="F22" i="13"/>
  <c r="G22" i="13"/>
  <c r="H22" i="13"/>
  <c r="I22" i="13"/>
  <c r="L22" i="13"/>
  <c r="M22" i="13"/>
  <c r="N22" i="13"/>
  <c r="O22" i="13"/>
  <c r="Q22" i="13"/>
  <c r="R22" i="13"/>
  <c r="U22" i="13" s="1"/>
  <c r="D23" i="13"/>
  <c r="E23" i="13"/>
  <c r="F23" i="13"/>
  <c r="G23" i="13"/>
  <c r="H23" i="13"/>
  <c r="I23" i="13"/>
  <c r="L23" i="13"/>
  <c r="M23" i="13"/>
  <c r="N23" i="13"/>
  <c r="O23" i="13"/>
  <c r="Q23" i="13"/>
  <c r="R23" i="13"/>
  <c r="S23" i="13" s="1"/>
  <c r="D24" i="13"/>
  <c r="E24" i="13"/>
  <c r="F24" i="13"/>
  <c r="G24" i="13"/>
  <c r="H24" i="13"/>
  <c r="I24" i="13"/>
  <c r="L24" i="13"/>
  <c r="M24" i="13"/>
  <c r="N24" i="13"/>
  <c r="O24" i="13"/>
  <c r="Q24" i="13"/>
  <c r="R24" i="13"/>
  <c r="D25" i="13"/>
  <c r="E25" i="13"/>
  <c r="F25" i="13"/>
  <c r="G25" i="13"/>
  <c r="H25" i="13"/>
  <c r="I25" i="13"/>
  <c r="L25" i="13"/>
  <c r="M25" i="13"/>
  <c r="N25" i="13"/>
  <c r="O25" i="13"/>
  <c r="Q25" i="13"/>
  <c r="R25" i="13"/>
  <c r="D26" i="13"/>
  <c r="E26" i="13"/>
  <c r="F26" i="13"/>
  <c r="G26" i="13"/>
  <c r="H26" i="13"/>
  <c r="I26" i="13"/>
  <c r="L26" i="13"/>
  <c r="M26" i="13"/>
  <c r="N26" i="13"/>
  <c r="O26" i="13"/>
  <c r="Q26" i="13"/>
  <c r="R26" i="13"/>
  <c r="D27" i="13"/>
  <c r="E27" i="13"/>
  <c r="F27" i="13"/>
  <c r="G27" i="13"/>
  <c r="H27" i="13"/>
  <c r="I27" i="13"/>
  <c r="L27" i="13"/>
  <c r="M27" i="13"/>
  <c r="N27" i="13"/>
  <c r="O27" i="13"/>
  <c r="Q27" i="13"/>
  <c r="R27" i="13"/>
  <c r="D28" i="13"/>
  <c r="E28" i="13"/>
  <c r="F28" i="13"/>
  <c r="G28" i="13"/>
  <c r="H28" i="13"/>
  <c r="I28" i="13"/>
  <c r="L28" i="13"/>
  <c r="M28" i="13"/>
  <c r="N28" i="13"/>
  <c r="O28" i="13"/>
  <c r="Q28" i="13"/>
  <c r="R28" i="13"/>
  <c r="D29" i="13"/>
  <c r="E29" i="13"/>
  <c r="F29" i="13"/>
  <c r="G29" i="13"/>
  <c r="H29" i="13"/>
  <c r="I29" i="13"/>
  <c r="L29" i="13"/>
  <c r="M29" i="13"/>
  <c r="N29" i="13"/>
  <c r="O29" i="13"/>
  <c r="Q29" i="13"/>
  <c r="R29" i="13"/>
  <c r="D30" i="13"/>
  <c r="E30" i="13"/>
  <c r="F30" i="13"/>
  <c r="G30" i="13"/>
  <c r="H30" i="13"/>
  <c r="I30" i="13"/>
  <c r="L30" i="13"/>
  <c r="M30" i="13"/>
  <c r="N30" i="13"/>
  <c r="O30" i="13"/>
  <c r="Q30" i="13"/>
  <c r="R30" i="13"/>
  <c r="D31" i="13"/>
  <c r="E31" i="13"/>
  <c r="F31" i="13"/>
  <c r="G31" i="13"/>
  <c r="H31" i="13"/>
  <c r="I31" i="13"/>
  <c r="L31" i="13"/>
  <c r="M31" i="13"/>
  <c r="N31" i="13"/>
  <c r="O31" i="13"/>
  <c r="Q31" i="13"/>
  <c r="R31" i="13"/>
  <c r="D32" i="13"/>
  <c r="E32" i="13"/>
  <c r="F32" i="13"/>
  <c r="G32" i="13"/>
  <c r="H32" i="13"/>
  <c r="I32" i="13"/>
  <c r="L32" i="13"/>
  <c r="M32" i="13"/>
  <c r="N32" i="13"/>
  <c r="O32" i="13"/>
  <c r="Q32" i="13"/>
  <c r="R32" i="13"/>
  <c r="D33" i="13"/>
  <c r="E33" i="13"/>
  <c r="F33" i="13"/>
  <c r="G33" i="13"/>
  <c r="H33" i="13"/>
  <c r="I33" i="13"/>
  <c r="L33" i="13"/>
  <c r="M33" i="13"/>
  <c r="N33" i="13"/>
  <c r="O33" i="13"/>
  <c r="Q33" i="13"/>
  <c r="R33" i="13"/>
  <c r="D34" i="13"/>
  <c r="E34" i="13"/>
  <c r="F34" i="13"/>
  <c r="G34" i="13"/>
  <c r="H34" i="13"/>
  <c r="I34" i="13"/>
  <c r="L34" i="13"/>
  <c r="M34" i="13"/>
  <c r="N34" i="13"/>
  <c r="O34" i="13"/>
  <c r="Q34" i="13"/>
  <c r="R34" i="13"/>
  <c r="D35" i="13"/>
  <c r="E35" i="13"/>
  <c r="F35" i="13"/>
  <c r="G35" i="13"/>
  <c r="H35" i="13"/>
  <c r="I35" i="13"/>
  <c r="L35" i="13"/>
  <c r="M35" i="13"/>
  <c r="N35" i="13"/>
  <c r="O35" i="13"/>
  <c r="Q35" i="13"/>
  <c r="R35" i="13"/>
  <c r="S35" i="13" s="1"/>
  <c r="D36" i="13"/>
  <c r="E36" i="13"/>
  <c r="F36" i="13"/>
  <c r="G36" i="13"/>
  <c r="H36" i="13"/>
  <c r="I36" i="13"/>
  <c r="L36" i="13"/>
  <c r="M36" i="13"/>
  <c r="N36" i="13"/>
  <c r="O36" i="13"/>
  <c r="Q36" i="13"/>
  <c r="R36" i="13"/>
  <c r="S36" i="13" s="1"/>
  <c r="D37" i="13"/>
  <c r="E37" i="13"/>
  <c r="F37" i="13"/>
  <c r="G37" i="13"/>
  <c r="H37" i="13"/>
  <c r="I37" i="13"/>
  <c r="L37" i="13"/>
  <c r="M37" i="13"/>
  <c r="N37" i="13"/>
  <c r="O37" i="13"/>
  <c r="Q37" i="13"/>
  <c r="R37" i="13"/>
  <c r="D38" i="13"/>
  <c r="E38" i="13"/>
  <c r="F38" i="13"/>
  <c r="G38" i="13"/>
  <c r="H38" i="13"/>
  <c r="I38" i="13"/>
  <c r="L38" i="13"/>
  <c r="M38" i="13"/>
  <c r="N38" i="13"/>
  <c r="O38" i="13"/>
  <c r="Q38" i="13"/>
  <c r="R38" i="13"/>
  <c r="D39" i="13"/>
  <c r="E39" i="13"/>
  <c r="F39" i="13"/>
  <c r="G39" i="13"/>
  <c r="H39" i="13"/>
  <c r="I39" i="13"/>
  <c r="L39" i="13"/>
  <c r="M39" i="13"/>
  <c r="N39" i="13"/>
  <c r="O39" i="13"/>
  <c r="Q39" i="13"/>
  <c r="R39" i="13"/>
  <c r="S39" i="13" s="1"/>
  <c r="D40" i="13"/>
  <c r="E40" i="13"/>
  <c r="F40" i="13"/>
  <c r="G40" i="13"/>
  <c r="H40" i="13"/>
  <c r="I40" i="13"/>
  <c r="L40" i="13"/>
  <c r="M40" i="13"/>
  <c r="N40" i="13"/>
  <c r="O40" i="13"/>
  <c r="Q40" i="13"/>
  <c r="R40" i="13"/>
  <c r="D41" i="13"/>
  <c r="E41" i="13"/>
  <c r="F41" i="13"/>
  <c r="G41" i="13"/>
  <c r="H41" i="13"/>
  <c r="I41" i="13"/>
  <c r="L41" i="13"/>
  <c r="M41" i="13"/>
  <c r="N41" i="13"/>
  <c r="O41" i="13"/>
  <c r="Q41" i="13"/>
  <c r="R41" i="13"/>
  <c r="D42" i="13"/>
  <c r="E42" i="13"/>
  <c r="F42" i="13"/>
  <c r="G42" i="13"/>
  <c r="H42" i="13"/>
  <c r="I42" i="13"/>
  <c r="L42" i="13"/>
  <c r="M42" i="13"/>
  <c r="N42" i="13"/>
  <c r="O42" i="13"/>
  <c r="Q42" i="13"/>
  <c r="R42" i="13"/>
  <c r="D43" i="13"/>
  <c r="E43" i="13"/>
  <c r="F43" i="13"/>
  <c r="G43" i="13"/>
  <c r="H43" i="13"/>
  <c r="I43" i="13"/>
  <c r="L43" i="13"/>
  <c r="M43" i="13"/>
  <c r="N43" i="13"/>
  <c r="O43" i="13"/>
  <c r="P43" i="13"/>
  <c r="Q43" i="13"/>
  <c r="R43"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2" i="13"/>
  <c r="Y43" i="13"/>
  <c r="Z43" i="13" s="1"/>
  <c r="Y42" i="13"/>
  <c r="Z42" i="13" s="1"/>
  <c r="Y41" i="13"/>
  <c r="Z41" i="13" s="1"/>
  <c r="Y40" i="13"/>
  <c r="Z40" i="13" s="1"/>
  <c r="Y39" i="13"/>
  <c r="Z39" i="13" s="1"/>
  <c r="Y38" i="13"/>
  <c r="Z38" i="13" s="1"/>
  <c r="Y37" i="13"/>
  <c r="Z37" i="13" s="1"/>
  <c r="Y36" i="13"/>
  <c r="Z36" i="13" s="1"/>
  <c r="Y35" i="13"/>
  <c r="Z35" i="13" s="1"/>
  <c r="Y34" i="13"/>
  <c r="Z34" i="13" s="1"/>
  <c r="Y33" i="13"/>
  <c r="Z33" i="13" s="1"/>
  <c r="Y32" i="13"/>
  <c r="Z32" i="13" s="1"/>
  <c r="Y31" i="13"/>
  <c r="Z31" i="13" s="1"/>
  <c r="Y30" i="13"/>
  <c r="Z30" i="13" s="1"/>
  <c r="Y29" i="13"/>
  <c r="Z29" i="13" s="1"/>
  <c r="Y28" i="13"/>
  <c r="Z28" i="13" s="1"/>
  <c r="Y27" i="13"/>
  <c r="Z27" i="13" s="1"/>
  <c r="Y26" i="13"/>
  <c r="Z26" i="13" s="1"/>
  <c r="Y25" i="13"/>
  <c r="Z25" i="13" s="1"/>
  <c r="Y24" i="13"/>
  <c r="Z24" i="13" s="1"/>
  <c r="U24" i="13"/>
  <c r="Y23" i="13"/>
  <c r="Z23" i="13" s="1"/>
  <c r="Y22" i="13"/>
  <c r="Z22" i="13" s="1"/>
  <c r="S22" i="13"/>
  <c r="Y21" i="13"/>
  <c r="Z21" i="13" s="1"/>
  <c r="Y20" i="13"/>
  <c r="Z20" i="13" s="1"/>
  <c r="T20" i="13"/>
  <c r="S20" i="13"/>
  <c r="Y19" i="13"/>
  <c r="Y18" i="13"/>
  <c r="Z18" i="13" s="1"/>
  <c r="U18" i="13"/>
  <c r="S18" i="13"/>
  <c r="Y16" i="13"/>
  <c r="Z16" i="13" s="1"/>
  <c r="S16" i="13"/>
  <c r="Y15" i="13"/>
  <c r="Y14" i="13"/>
  <c r="Z14" i="13" s="1"/>
  <c r="Y12" i="13"/>
  <c r="Z12" i="13" s="1"/>
  <c r="U12" i="13"/>
  <c r="Y11" i="13"/>
  <c r="Z11" i="13" s="1"/>
  <c r="S11" i="13"/>
  <c r="Y8" i="13"/>
  <c r="Z8" i="13" s="1"/>
  <c r="Y7" i="13"/>
  <c r="Z7" i="13" s="1"/>
  <c r="T6" i="13"/>
  <c r="Y5" i="13"/>
  <c r="Z5" i="13" s="1"/>
  <c r="U4" i="13"/>
  <c r="T4" i="13"/>
  <c r="Y3" i="13"/>
  <c r="S3" i="13"/>
  <c r="Y2" i="13"/>
  <c r="Z2" i="13" s="1"/>
  <c r="U15" i="13" l="1"/>
  <c r="U2" i="13"/>
  <c r="S10" i="13"/>
  <c r="S27" i="13"/>
  <c r="Z10" i="13"/>
  <c r="Z6" i="13"/>
  <c r="S31" i="13"/>
  <c r="T18" i="13"/>
  <c r="Z4" i="13"/>
  <c r="U26" i="13"/>
  <c r="T10" i="13"/>
  <c r="M44" i="13"/>
  <c r="Q44" i="13"/>
  <c r="S34" i="13"/>
  <c r="S41" i="13"/>
  <c r="T42" i="13"/>
  <c r="S26" i="13"/>
  <c r="O44" i="13"/>
  <c r="T2" i="13"/>
  <c r="T22" i="13"/>
  <c r="Z17" i="13"/>
  <c r="S33" i="13"/>
  <c r="S4" i="13"/>
  <c r="S12" i="13"/>
  <c r="Z19" i="13"/>
  <c r="U39" i="13"/>
  <c r="U35" i="13"/>
  <c r="U27" i="13"/>
  <c r="U23" i="13"/>
  <c r="U19" i="13"/>
  <c r="U11" i="13"/>
  <c r="U3" i="13"/>
  <c r="Z3" i="13"/>
  <c r="T12" i="13"/>
  <c r="Z15" i="13"/>
  <c r="S38" i="13"/>
  <c r="S30" i="13"/>
  <c r="T24" i="13"/>
  <c r="U20" i="13"/>
  <c r="U16" i="13"/>
  <c r="T16" i="13"/>
  <c r="U8" i="13"/>
  <c r="T8" i="13"/>
  <c r="S19" i="13"/>
  <c r="T27" i="13"/>
  <c r="T31" i="13"/>
  <c r="T35" i="13"/>
  <c r="T39" i="13"/>
  <c r="T43" i="13"/>
  <c r="U31" i="13"/>
  <c r="U40" i="13"/>
  <c r="U36" i="13"/>
  <c r="U32" i="13"/>
  <c r="U28" i="13"/>
  <c r="T3" i="13"/>
  <c r="T11" i="13"/>
  <c r="T23" i="13"/>
  <c r="S7" i="13"/>
  <c r="U13" i="13"/>
  <c r="S15" i="13"/>
  <c r="T19" i="13"/>
  <c r="T7" i="13"/>
  <c r="T15" i="13"/>
  <c r="S28" i="13"/>
  <c r="S32" i="13"/>
  <c r="S40" i="13"/>
  <c r="S42" i="13"/>
  <c r="U42" i="13"/>
  <c r="U38" i="13"/>
  <c r="T38" i="13"/>
  <c r="U34" i="13"/>
  <c r="T34" i="13"/>
  <c r="U30" i="13"/>
  <c r="T30" i="13"/>
  <c r="T26" i="13"/>
  <c r="F44" i="13"/>
  <c r="D44" i="13"/>
  <c r="N44" i="13"/>
  <c r="E44" i="13"/>
  <c r="G44" i="13"/>
  <c r="T5" i="13"/>
  <c r="S43" i="13"/>
  <c r="I44" i="13"/>
  <c r="L44" i="13"/>
  <c r="U5" i="13"/>
  <c r="S29" i="13"/>
  <c r="J44" i="13"/>
  <c r="H44" i="13"/>
  <c r="T9" i="13"/>
  <c r="U9" i="13"/>
  <c r="S37" i="13"/>
  <c r="S21" i="13"/>
  <c r="S24" i="13"/>
  <c r="S25" i="13"/>
  <c r="T28" i="13"/>
  <c r="T29" i="13"/>
  <c r="T32" i="13"/>
  <c r="T33" i="13"/>
  <c r="T36" i="13"/>
  <c r="T37" i="13"/>
  <c r="T40" i="13"/>
  <c r="T41" i="13"/>
  <c r="U43" i="13"/>
  <c r="R44" i="13"/>
  <c r="S17" i="13"/>
  <c r="T21" i="13"/>
  <c r="T25" i="13"/>
  <c r="U29" i="13"/>
  <c r="U33" i="13"/>
  <c r="U37" i="13"/>
  <c r="U41" i="13"/>
  <c r="S5" i="13"/>
  <c r="S13" i="13"/>
  <c r="T17" i="13"/>
  <c r="U21" i="13"/>
  <c r="U25" i="13"/>
  <c r="T13" i="13"/>
  <c r="U17" i="13"/>
  <c r="C44" i="13"/>
  <c r="S2" i="13"/>
  <c r="N44" i="5"/>
  <c r="O44" i="5"/>
  <c r="P44" i="5"/>
  <c r="R44" i="5"/>
  <c r="T44" i="5"/>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2" i="5"/>
  <c r="S44" i="13" l="1"/>
  <c r="AB44" i="13"/>
  <c r="U44" i="13"/>
  <c r="AA44" i="13"/>
  <c r="T44" i="13"/>
  <c r="P2" i="13"/>
  <c r="P3" i="13"/>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R2" i="5"/>
  <c r="R20" i="5" l="1"/>
  <c r="R18" i="5"/>
  <c r="R6" i="5"/>
  <c r="R5" i="5"/>
  <c r="R39" i="5"/>
  <c r="R35" i="5"/>
  <c r="R31" i="5"/>
  <c r="R27" i="5"/>
  <c r="R23" i="5"/>
  <c r="R3" i="5"/>
  <c r="R19" i="5"/>
  <c r="R15" i="5"/>
  <c r="R11" i="5"/>
  <c r="R7" i="5"/>
  <c r="R42" i="5"/>
  <c r="R41" i="5"/>
  <c r="R40" i="5"/>
  <c r="R38" i="5"/>
  <c r="R37" i="5"/>
  <c r="R36" i="5"/>
  <c r="R34" i="5"/>
  <c r="R33" i="5"/>
  <c r="R32" i="5"/>
  <c r="R30" i="5"/>
  <c r="R29" i="5"/>
  <c r="R28" i="5"/>
  <c r="R26" i="5"/>
  <c r="R25" i="5"/>
  <c r="R24" i="5"/>
  <c r="R22" i="5"/>
  <c r="R21" i="5"/>
  <c r="R17" i="5"/>
  <c r="R16" i="5"/>
  <c r="R14" i="5"/>
  <c r="R13" i="5"/>
  <c r="R12" i="5"/>
  <c r="R10" i="5"/>
  <c r="R9" i="5"/>
  <c r="R8" i="5"/>
  <c r="R4" i="5"/>
  <c r="AB41" i="5"/>
  <c r="AB42" i="5"/>
  <c r="AB43" i="5"/>
  <c r="H28" i="12" l="1"/>
  <c r="H27" i="12"/>
  <c r="H25" i="12"/>
  <c r="H24" i="12"/>
  <c r="H23" i="12"/>
  <c r="H22" i="12"/>
  <c r="H20" i="12"/>
  <c r="H17" i="12"/>
  <c r="H16" i="12"/>
  <c r="H15" i="12"/>
  <c r="H14" i="12"/>
  <c r="H13" i="12"/>
  <c r="H12" i="12"/>
  <c r="H10" i="12"/>
  <c r="H9" i="12"/>
  <c r="H8" i="12"/>
  <c r="H7" i="12"/>
  <c r="H6" i="12"/>
  <c r="H5" i="12"/>
  <c r="H4" i="12"/>
  <c r="H2" i="12"/>
  <c r="J29" i="12" l="1"/>
  <c r="D7" i="14" s="1"/>
  <c r="D11" i="14" s="1"/>
  <c r="D14" i="14" s="1"/>
  <c r="H29" i="12"/>
  <c r="E43" i="11" l="1"/>
  <c r="F43" i="11" s="1"/>
  <c r="F3" i="11"/>
  <c r="G3" i="11" s="1"/>
  <c r="H3" i="11" s="1"/>
  <c r="F4" i="11"/>
  <c r="G4" i="11" s="1"/>
  <c r="H4" i="11" s="1"/>
  <c r="F5" i="11"/>
  <c r="G5" i="11" s="1"/>
  <c r="H5" i="11" s="1"/>
  <c r="F6" i="11"/>
  <c r="G6" i="11" s="1"/>
  <c r="F7" i="11"/>
  <c r="G7" i="11" s="1"/>
  <c r="H7" i="11" s="1"/>
  <c r="F8" i="11"/>
  <c r="G8" i="11" s="1"/>
  <c r="H8" i="11" s="1"/>
  <c r="F9" i="11"/>
  <c r="G9" i="11" s="1"/>
  <c r="H9" i="11" s="1"/>
  <c r="F10" i="11"/>
  <c r="G10" i="11" s="1"/>
  <c r="F11" i="11"/>
  <c r="G11" i="11" s="1"/>
  <c r="H11" i="11" s="1"/>
  <c r="F12" i="11"/>
  <c r="G12" i="11" s="1"/>
  <c r="H12" i="11" s="1"/>
  <c r="F13" i="11"/>
  <c r="G13" i="11" s="1"/>
  <c r="H13" i="11" s="1"/>
  <c r="F14" i="11"/>
  <c r="G14" i="11" s="1"/>
  <c r="F15" i="11"/>
  <c r="G15" i="11" s="1"/>
  <c r="H15" i="11" s="1"/>
  <c r="F16" i="11"/>
  <c r="G16" i="11" s="1"/>
  <c r="H16" i="11" s="1"/>
  <c r="F17" i="11"/>
  <c r="G17" i="11" s="1"/>
  <c r="H17" i="11" s="1"/>
  <c r="F18" i="11"/>
  <c r="G18" i="11" s="1"/>
  <c r="F19" i="11"/>
  <c r="G19" i="11" s="1"/>
  <c r="H19" i="11" s="1"/>
  <c r="F20" i="11"/>
  <c r="G20" i="11" s="1"/>
  <c r="H20" i="11" s="1"/>
  <c r="F21" i="11"/>
  <c r="G21" i="11" s="1"/>
  <c r="F22" i="11"/>
  <c r="G22" i="11" s="1"/>
  <c r="H22" i="11" s="1"/>
  <c r="F23" i="11"/>
  <c r="G23" i="11" s="1"/>
  <c r="H23" i="11" s="1"/>
  <c r="F24" i="11"/>
  <c r="G24" i="11" s="1"/>
  <c r="H24" i="11" s="1"/>
  <c r="F25" i="11"/>
  <c r="G25" i="11" s="1"/>
  <c r="F26" i="11"/>
  <c r="G26" i="11" s="1"/>
  <c r="F27" i="11"/>
  <c r="G27" i="11" s="1"/>
  <c r="H27" i="11" s="1"/>
  <c r="F28" i="11"/>
  <c r="G28" i="11" s="1"/>
  <c r="H28" i="11" s="1"/>
  <c r="F29" i="11"/>
  <c r="G29" i="11" s="1"/>
  <c r="H29" i="11" s="1"/>
  <c r="F30" i="11"/>
  <c r="G30" i="11" s="1"/>
  <c r="H30" i="11" s="1"/>
  <c r="F31" i="11"/>
  <c r="G31" i="11" s="1"/>
  <c r="H31" i="11" s="1"/>
  <c r="F32" i="11"/>
  <c r="G32" i="11" s="1"/>
  <c r="H32" i="11" s="1"/>
  <c r="F33" i="11"/>
  <c r="G33" i="11" s="1"/>
  <c r="F34" i="11"/>
  <c r="G34" i="11" s="1"/>
  <c r="F35" i="11"/>
  <c r="G35" i="11" s="1"/>
  <c r="H35" i="11" s="1"/>
  <c r="F36" i="11"/>
  <c r="G36" i="11" s="1"/>
  <c r="H36" i="11" s="1"/>
  <c r="F37" i="11"/>
  <c r="G37" i="11" s="1"/>
  <c r="F38" i="11"/>
  <c r="G38" i="11" s="1"/>
  <c r="F39" i="11"/>
  <c r="G39" i="11" s="1"/>
  <c r="H39" i="11" s="1"/>
  <c r="F40" i="11"/>
  <c r="G40" i="11" s="1"/>
  <c r="H40" i="11" s="1"/>
  <c r="F41" i="11"/>
  <c r="G41" i="11" s="1"/>
  <c r="F42" i="11"/>
  <c r="G42" i="11" s="1"/>
  <c r="F2" i="11"/>
  <c r="G2" i="11" s="1"/>
  <c r="H2" i="11" s="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2" i="11"/>
  <c r="F3" i="10"/>
  <c r="G3" i="10" s="1"/>
  <c r="H3" i="10" s="1"/>
  <c r="F4" i="10"/>
  <c r="G4" i="10" s="1"/>
  <c r="H4" i="10" s="1"/>
  <c r="F5" i="10"/>
  <c r="G5" i="10" s="1"/>
  <c r="H5" i="10" s="1"/>
  <c r="F6" i="10"/>
  <c r="G6" i="10" s="1"/>
  <c r="H6" i="10" s="1"/>
  <c r="F7" i="10"/>
  <c r="G7" i="10" s="1"/>
  <c r="H7" i="10" s="1"/>
  <c r="F8" i="10"/>
  <c r="G8" i="10" s="1"/>
  <c r="H8" i="10" s="1"/>
  <c r="F9" i="10"/>
  <c r="G9" i="10" s="1"/>
  <c r="H9" i="10" s="1"/>
  <c r="F10" i="10"/>
  <c r="G10" i="10" s="1"/>
  <c r="H10" i="10" s="1"/>
  <c r="F11" i="10"/>
  <c r="G11" i="10" s="1"/>
  <c r="H11" i="10" s="1"/>
  <c r="F12" i="10"/>
  <c r="G12" i="10" s="1"/>
  <c r="H12" i="10" s="1"/>
  <c r="F13" i="10"/>
  <c r="G13" i="10" s="1"/>
  <c r="H13" i="10" s="1"/>
  <c r="F14" i="10"/>
  <c r="G14" i="10" s="1"/>
  <c r="H14" i="10" s="1"/>
  <c r="F15" i="10"/>
  <c r="G15" i="10" s="1"/>
  <c r="H15" i="10" s="1"/>
  <c r="F16" i="10"/>
  <c r="G16" i="10" s="1"/>
  <c r="H16" i="10" s="1"/>
  <c r="F17" i="10"/>
  <c r="G17" i="10" s="1"/>
  <c r="H17" i="10" s="1"/>
  <c r="F18" i="10"/>
  <c r="G18" i="10" s="1"/>
  <c r="H18" i="10" s="1"/>
  <c r="F19" i="10"/>
  <c r="G19" i="10" s="1"/>
  <c r="H19" i="10" s="1"/>
  <c r="F20" i="10"/>
  <c r="G20" i="10" s="1"/>
  <c r="H20" i="10" s="1"/>
  <c r="F21" i="10"/>
  <c r="G21" i="10" s="1"/>
  <c r="H21" i="10" s="1"/>
  <c r="F22" i="10"/>
  <c r="G22" i="10" s="1"/>
  <c r="H22" i="10" s="1"/>
  <c r="F23" i="10"/>
  <c r="G23" i="10" s="1"/>
  <c r="H23" i="10" s="1"/>
  <c r="F24" i="10"/>
  <c r="G24" i="10" s="1"/>
  <c r="H24" i="10" s="1"/>
  <c r="F25" i="10"/>
  <c r="G25" i="10" s="1"/>
  <c r="H25" i="10" s="1"/>
  <c r="F26" i="10"/>
  <c r="G26" i="10" s="1"/>
  <c r="H26" i="10" s="1"/>
  <c r="F27" i="10"/>
  <c r="G27" i="10" s="1"/>
  <c r="H27" i="10" s="1"/>
  <c r="F28" i="10"/>
  <c r="G28" i="10" s="1"/>
  <c r="H28" i="10" s="1"/>
  <c r="F29" i="10"/>
  <c r="G29" i="10" s="1"/>
  <c r="H29" i="10" s="1"/>
  <c r="F30" i="10"/>
  <c r="G30" i="10" s="1"/>
  <c r="H30" i="10" s="1"/>
  <c r="F31" i="10"/>
  <c r="G31" i="10" s="1"/>
  <c r="H31" i="10" s="1"/>
  <c r="F32" i="10"/>
  <c r="G32" i="10" s="1"/>
  <c r="H32" i="10" s="1"/>
  <c r="F33" i="10"/>
  <c r="G33" i="10" s="1"/>
  <c r="H33" i="10" s="1"/>
  <c r="F34" i="10"/>
  <c r="G34" i="10" s="1"/>
  <c r="H34" i="10" s="1"/>
  <c r="F35" i="10"/>
  <c r="G35" i="10" s="1"/>
  <c r="H35" i="10" s="1"/>
  <c r="F36" i="10"/>
  <c r="G36" i="10" s="1"/>
  <c r="H36" i="10" s="1"/>
  <c r="F37" i="10"/>
  <c r="G37" i="10" s="1"/>
  <c r="H37" i="10" s="1"/>
  <c r="F38" i="10"/>
  <c r="G38" i="10" s="1"/>
  <c r="H38" i="10" s="1"/>
  <c r="F39" i="10"/>
  <c r="G39" i="10" s="1"/>
  <c r="H39" i="10" s="1"/>
  <c r="F40" i="10"/>
  <c r="G40" i="10" s="1"/>
  <c r="H40" i="10" s="1"/>
  <c r="F41" i="10"/>
  <c r="G41" i="10" s="1"/>
  <c r="H41" i="10" s="1"/>
  <c r="F42" i="10"/>
  <c r="G42" i="10" s="1"/>
  <c r="G43" i="10" s="1"/>
  <c r="F2" i="10"/>
  <c r="G2" i="10" s="1"/>
  <c r="H2" i="10" s="1"/>
  <c r="E43" i="10"/>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F87" i="10" s="1"/>
  <c r="Z3" i="5"/>
  <c r="Z4" i="5"/>
  <c r="Z5" i="5"/>
  <c r="Z6" i="5"/>
  <c r="Z7" i="5"/>
  <c r="Z8" i="5"/>
  <c r="Z9" i="5"/>
  <c r="Z10" i="5"/>
  <c r="AA10" i="5" s="1"/>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2" i="5"/>
  <c r="F43" i="10" l="1"/>
  <c r="F54" i="10"/>
  <c r="F86" i="10"/>
  <c r="F75" i="10"/>
  <c r="F64" i="10"/>
  <c r="F80" i="10"/>
  <c r="F70" i="10"/>
  <c r="F59" i="10"/>
  <c r="F48" i="10"/>
  <c r="F82" i="10"/>
  <c r="F71" i="10"/>
  <c r="F60" i="10"/>
  <c r="F50" i="10"/>
  <c r="F76" i="10"/>
  <c r="F66" i="10"/>
  <c r="F55" i="10"/>
  <c r="F44" i="10"/>
  <c r="F84" i="10"/>
  <c r="F79" i="10"/>
  <c r="F74" i="10"/>
  <c r="F68" i="10"/>
  <c r="F63" i="10"/>
  <c r="F58" i="10"/>
  <c r="F52" i="10"/>
  <c r="F47" i="10"/>
  <c r="F83" i="10"/>
  <c r="F78" i="10"/>
  <c r="F72" i="10"/>
  <c r="F67" i="10"/>
  <c r="F62" i="10"/>
  <c r="F56" i="10"/>
  <c r="F51" i="10"/>
  <c r="F46" i="10"/>
  <c r="G44" i="10"/>
  <c r="H43" i="10"/>
  <c r="H38" i="11"/>
  <c r="H14" i="11"/>
  <c r="H42" i="10"/>
  <c r="H41" i="11"/>
  <c r="H37" i="11"/>
  <c r="H33" i="11"/>
  <c r="H25" i="11"/>
  <c r="H6" i="11"/>
  <c r="F85" i="10"/>
  <c r="F81" i="10"/>
  <c r="F77" i="10"/>
  <c r="F73" i="10"/>
  <c r="F69" i="10"/>
  <c r="F65" i="10"/>
  <c r="F61" i="10"/>
  <c r="F57" i="10"/>
  <c r="F53" i="10"/>
  <c r="F49" i="10"/>
  <c r="F45" i="10"/>
  <c r="H42" i="11"/>
  <c r="H34" i="11"/>
  <c r="H26" i="11"/>
  <c r="H18" i="11"/>
  <c r="H10" i="11"/>
  <c r="H21" i="11"/>
  <c r="E44" i="11"/>
  <c r="F44" i="11" s="1"/>
  <c r="E45" i="11"/>
  <c r="F45" i="11" s="1"/>
  <c r="G43" i="11"/>
  <c r="H43" i="11" s="1"/>
  <c r="AA4" i="5"/>
  <c r="AA5" i="5"/>
  <c r="AA6" i="5"/>
  <c r="AA7" i="5"/>
  <c r="AA8" i="5"/>
  <c r="AA9"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3" i="5"/>
  <c r="AA2" i="5"/>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2" i="10"/>
  <c r="F3" i="9"/>
  <c r="G3" i="9" s="1"/>
  <c r="H3" i="9" s="1"/>
  <c r="F4" i="9"/>
  <c r="G4" i="9" s="1"/>
  <c r="H4" i="9" s="1"/>
  <c r="F5" i="9"/>
  <c r="F6" i="9"/>
  <c r="G6" i="9" s="1"/>
  <c r="H6" i="9" s="1"/>
  <c r="F7" i="9"/>
  <c r="G7" i="9" s="1"/>
  <c r="H7" i="9" s="1"/>
  <c r="F8" i="9"/>
  <c r="G8" i="9" s="1"/>
  <c r="H8" i="9" s="1"/>
  <c r="F9" i="9"/>
  <c r="G9" i="9" s="1"/>
  <c r="H9" i="9" s="1"/>
  <c r="F10" i="9"/>
  <c r="G10" i="9" s="1"/>
  <c r="H10" i="9" s="1"/>
  <c r="F11" i="9"/>
  <c r="G11" i="9" s="1"/>
  <c r="H11" i="9" s="1"/>
  <c r="F12" i="9"/>
  <c r="G12" i="9" s="1"/>
  <c r="H12" i="9" s="1"/>
  <c r="F13" i="9"/>
  <c r="G13" i="9" s="1"/>
  <c r="H13" i="9" s="1"/>
  <c r="F14" i="9"/>
  <c r="G14" i="9" s="1"/>
  <c r="H14" i="9" s="1"/>
  <c r="F15" i="9"/>
  <c r="G15" i="9" s="1"/>
  <c r="H15" i="9" s="1"/>
  <c r="F16" i="9"/>
  <c r="G16" i="9" s="1"/>
  <c r="H16" i="9" s="1"/>
  <c r="F17" i="9"/>
  <c r="F18" i="9"/>
  <c r="G18" i="9" s="1"/>
  <c r="H18" i="9" s="1"/>
  <c r="F19" i="9"/>
  <c r="G19" i="9" s="1"/>
  <c r="H19" i="9" s="1"/>
  <c r="F20" i="9"/>
  <c r="G20" i="9" s="1"/>
  <c r="H20" i="9" s="1"/>
  <c r="F21" i="9"/>
  <c r="G21" i="9" s="1"/>
  <c r="H21" i="9" s="1"/>
  <c r="F22" i="9"/>
  <c r="F23" i="9"/>
  <c r="G23" i="9" s="1"/>
  <c r="H23" i="9" s="1"/>
  <c r="F24" i="9"/>
  <c r="G24" i="9" s="1"/>
  <c r="H24" i="9" s="1"/>
  <c r="F25" i="9"/>
  <c r="G25" i="9" s="1"/>
  <c r="H25" i="9" s="1"/>
  <c r="F26" i="9"/>
  <c r="G26" i="9" s="1"/>
  <c r="H26" i="9" s="1"/>
  <c r="F27" i="9"/>
  <c r="G27" i="9" s="1"/>
  <c r="H27" i="9" s="1"/>
  <c r="F28" i="9"/>
  <c r="G28" i="9" s="1"/>
  <c r="H28" i="9" s="1"/>
  <c r="F29" i="9"/>
  <c r="G29" i="9" s="1"/>
  <c r="H29" i="9" s="1"/>
  <c r="F30" i="9"/>
  <c r="G30" i="9" s="1"/>
  <c r="H30" i="9" s="1"/>
  <c r="F31" i="9"/>
  <c r="G31" i="9" s="1"/>
  <c r="H31" i="9" s="1"/>
  <c r="F32" i="9"/>
  <c r="G32" i="9" s="1"/>
  <c r="H32" i="9" s="1"/>
  <c r="F33" i="9"/>
  <c r="F34" i="9"/>
  <c r="G34" i="9" s="1"/>
  <c r="H34" i="9" s="1"/>
  <c r="F35" i="9"/>
  <c r="G35" i="9" s="1"/>
  <c r="H35" i="9" s="1"/>
  <c r="F36" i="9"/>
  <c r="G36" i="9" s="1"/>
  <c r="H36" i="9" s="1"/>
  <c r="F37" i="9"/>
  <c r="G37" i="9" s="1"/>
  <c r="H37" i="9" s="1"/>
  <c r="F38" i="9"/>
  <c r="F39" i="9"/>
  <c r="G39" i="9" s="1"/>
  <c r="H39" i="9" s="1"/>
  <c r="F40" i="9"/>
  <c r="G40" i="9" s="1"/>
  <c r="H40" i="9" s="1"/>
  <c r="F41" i="9"/>
  <c r="G41" i="9" s="1"/>
  <c r="H41" i="9" s="1"/>
  <c r="F42" i="9"/>
  <c r="G42" i="9" s="1"/>
  <c r="H42" i="9" s="1"/>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2" i="9"/>
  <c r="G2" i="9" s="1"/>
  <c r="H2" i="9" s="1"/>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2" i="9"/>
  <c r="G38" i="9"/>
  <c r="H38" i="9" s="1"/>
  <c r="G33" i="9"/>
  <c r="H33" i="9" s="1"/>
  <c r="G22" i="9"/>
  <c r="H22" i="9" s="1"/>
  <c r="G17" i="9"/>
  <c r="H17" i="9" s="1"/>
  <c r="G5" i="9"/>
  <c r="H5" i="9" s="1"/>
  <c r="F2" i="8"/>
  <c r="G2" i="8" s="1"/>
  <c r="H2" i="8" s="1"/>
  <c r="G45" i="10" l="1"/>
  <c r="H44" i="10"/>
  <c r="G44" i="11"/>
  <c r="H44" i="11" s="1"/>
  <c r="E46" i="11"/>
  <c r="F46" i="11" s="1"/>
  <c r="G43" i="9"/>
  <c r="H43" i="9" s="1"/>
  <c r="AB44" i="5"/>
  <c r="AC44" i="5"/>
  <c r="F3" i="8"/>
  <c r="G3" i="8" s="1"/>
  <c r="H3" i="8" s="1"/>
  <c r="F4" i="8"/>
  <c r="G4" i="8" s="1"/>
  <c r="H4" i="8" s="1"/>
  <c r="F5" i="8"/>
  <c r="G5" i="8" s="1"/>
  <c r="H5" i="8" s="1"/>
  <c r="F6" i="8"/>
  <c r="G6" i="8" s="1"/>
  <c r="H6" i="8" s="1"/>
  <c r="F7" i="8"/>
  <c r="G7" i="8" s="1"/>
  <c r="H7" i="8" s="1"/>
  <c r="F8" i="8"/>
  <c r="G8" i="8" s="1"/>
  <c r="H8" i="8" s="1"/>
  <c r="F9" i="8"/>
  <c r="G9" i="8" s="1"/>
  <c r="H9" i="8" s="1"/>
  <c r="F10" i="8"/>
  <c r="G10" i="8" s="1"/>
  <c r="H10" i="8" s="1"/>
  <c r="F11" i="8"/>
  <c r="G11" i="8" s="1"/>
  <c r="H11" i="8" s="1"/>
  <c r="F12" i="8"/>
  <c r="G12" i="8" s="1"/>
  <c r="H12" i="8" s="1"/>
  <c r="F13" i="8"/>
  <c r="G13" i="8" s="1"/>
  <c r="H13" i="8" s="1"/>
  <c r="F14" i="8"/>
  <c r="G14" i="8" s="1"/>
  <c r="H14" i="8" s="1"/>
  <c r="F15" i="8"/>
  <c r="G15" i="8" s="1"/>
  <c r="H15" i="8" s="1"/>
  <c r="F16" i="8"/>
  <c r="G16" i="8" s="1"/>
  <c r="H16" i="8" s="1"/>
  <c r="F17" i="8"/>
  <c r="G17" i="8" s="1"/>
  <c r="H17" i="8" s="1"/>
  <c r="F18" i="8"/>
  <c r="G18" i="8" s="1"/>
  <c r="H18" i="8" s="1"/>
  <c r="F19" i="8"/>
  <c r="G19" i="8" s="1"/>
  <c r="H19" i="8" s="1"/>
  <c r="F20" i="8"/>
  <c r="G20" i="8" s="1"/>
  <c r="H20" i="8" s="1"/>
  <c r="F21" i="8"/>
  <c r="G21" i="8" s="1"/>
  <c r="H21" i="8" s="1"/>
  <c r="F22" i="8"/>
  <c r="G22" i="8" s="1"/>
  <c r="H22" i="8" s="1"/>
  <c r="F23" i="8"/>
  <c r="G23" i="8" s="1"/>
  <c r="H23" i="8" s="1"/>
  <c r="F24" i="8"/>
  <c r="G24" i="8" s="1"/>
  <c r="H24" i="8" s="1"/>
  <c r="F25" i="8"/>
  <c r="G25" i="8" s="1"/>
  <c r="H25" i="8" s="1"/>
  <c r="F26" i="8"/>
  <c r="G26" i="8" s="1"/>
  <c r="H26" i="8" s="1"/>
  <c r="F27" i="8"/>
  <c r="G27" i="8" s="1"/>
  <c r="H27" i="8" s="1"/>
  <c r="F28" i="8"/>
  <c r="G28" i="8" s="1"/>
  <c r="H28" i="8" s="1"/>
  <c r="F29" i="8"/>
  <c r="G29" i="8" s="1"/>
  <c r="H29" i="8" s="1"/>
  <c r="F30" i="8"/>
  <c r="G30" i="8" s="1"/>
  <c r="H30" i="8" s="1"/>
  <c r="F31" i="8"/>
  <c r="G31" i="8" s="1"/>
  <c r="H31" i="8" s="1"/>
  <c r="F32" i="8"/>
  <c r="G32" i="8" s="1"/>
  <c r="H32" i="8" s="1"/>
  <c r="F33" i="8"/>
  <c r="G33" i="8" s="1"/>
  <c r="H33" i="8" s="1"/>
  <c r="F34" i="8"/>
  <c r="G34" i="8" s="1"/>
  <c r="H34" i="8" s="1"/>
  <c r="F35" i="8"/>
  <c r="G35" i="8" s="1"/>
  <c r="H35" i="8" s="1"/>
  <c r="F36" i="8"/>
  <c r="G36" i="8" s="1"/>
  <c r="H36" i="8" s="1"/>
  <c r="F37" i="8"/>
  <c r="G37" i="8" s="1"/>
  <c r="H37" i="8" s="1"/>
  <c r="F38" i="8"/>
  <c r="G38" i="8" s="1"/>
  <c r="H38" i="8" s="1"/>
  <c r="F39" i="8"/>
  <c r="G39" i="8" s="1"/>
  <c r="H39" i="8" s="1"/>
  <c r="F40" i="8"/>
  <c r="G40" i="8" s="1"/>
  <c r="H40" i="8" s="1"/>
  <c r="F41" i="8"/>
  <c r="G41" i="8" s="1"/>
  <c r="H41" i="8" s="1"/>
  <c r="F42" i="8"/>
  <c r="G42" i="8" s="1"/>
  <c r="G43" i="8" s="1"/>
  <c r="G44" i="8" s="1"/>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U3" i="5"/>
  <c r="V3" i="5"/>
  <c r="U4" i="5"/>
  <c r="V4" i="5"/>
  <c r="U5" i="5"/>
  <c r="V5" i="5"/>
  <c r="U6" i="5"/>
  <c r="V6" i="5"/>
  <c r="U7" i="5"/>
  <c r="V7" i="5"/>
  <c r="U8" i="5"/>
  <c r="V8" i="5"/>
  <c r="U9" i="5"/>
  <c r="V9" i="5"/>
  <c r="U10" i="5"/>
  <c r="V10" i="5"/>
  <c r="U11" i="5"/>
  <c r="V11" i="5"/>
  <c r="U12" i="5"/>
  <c r="V12" i="5"/>
  <c r="U13" i="5"/>
  <c r="V13" i="5"/>
  <c r="U14" i="5"/>
  <c r="V14" i="5"/>
  <c r="U15" i="5"/>
  <c r="V15" i="5"/>
  <c r="U16" i="5"/>
  <c r="V16" i="5"/>
  <c r="U17" i="5"/>
  <c r="V17" i="5"/>
  <c r="U18" i="5"/>
  <c r="V18" i="5"/>
  <c r="U19" i="5"/>
  <c r="V19" i="5"/>
  <c r="U20" i="5"/>
  <c r="V20" i="5"/>
  <c r="U21" i="5"/>
  <c r="V21" i="5"/>
  <c r="U22" i="5"/>
  <c r="V22" i="5"/>
  <c r="U23" i="5"/>
  <c r="V23" i="5"/>
  <c r="U24" i="5"/>
  <c r="V24" i="5"/>
  <c r="U25" i="5"/>
  <c r="V25" i="5"/>
  <c r="U26" i="5"/>
  <c r="V26" i="5"/>
  <c r="U27" i="5"/>
  <c r="V27" i="5"/>
  <c r="U28" i="5"/>
  <c r="V28" i="5"/>
  <c r="U29" i="5"/>
  <c r="V29" i="5"/>
  <c r="U30" i="5"/>
  <c r="V30" i="5"/>
  <c r="U31" i="5"/>
  <c r="V31" i="5"/>
  <c r="U32" i="5"/>
  <c r="V32" i="5"/>
  <c r="U33" i="5"/>
  <c r="V33" i="5"/>
  <c r="U34" i="5"/>
  <c r="V34" i="5"/>
  <c r="U35" i="5"/>
  <c r="V35" i="5"/>
  <c r="U36" i="5"/>
  <c r="V36" i="5"/>
  <c r="U37" i="5"/>
  <c r="V37" i="5"/>
  <c r="U38" i="5"/>
  <c r="V38" i="5"/>
  <c r="U39" i="5"/>
  <c r="V39" i="5"/>
  <c r="U40" i="5"/>
  <c r="V40" i="5"/>
  <c r="U41" i="5"/>
  <c r="V41" i="5"/>
  <c r="U42" i="5"/>
  <c r="V42" i="5"/>
  <c r="U43" i="5"/>
  <c r="V43" i="5"/>
  <c r="V2" i="5"/>
  <c r="U2" i="5"/>
  <c r="AF44" i="5" l="1"/>
  <c r="H42" i="8"/>
  <c r="H43" i="8"/>
  <c r="G46" i="10"/>
  <c r="H45" i="10"/>
  <c r="E47" i="11"/>
  <c r="F47" i="11" s="1"/>
  <c r="G45" i="11"/>
  <c r="H45" i="11" s="1"/>
  <c r="G44" i="9"/>
  <c r="H44" i="9" s="1"/>
  <c r="G45" i="8"/>
  <c r="H44" i="8"/>
  <c r="S44" i="5"/>
  <c r="G47" i="10" l="1"/>
  <c r="H46" i="10"/>
  <c r="G46" i="11"/>
  <c r="H46" i="11" s="1"/>
  <c r="E48" i="11"/>
  <c r="F48" i="11" s="1"/>
  <c r="G45" i="9"/>
  <c r="H45" i="9" s="1"/>
  <c r="G46" i="8"/>
  <c r="H45" i="8"/>
  <c r="M44" i="5"/>
  <c r="G48" i="10" l="1"/>
  <c r="H47" i="10"/>
  <c r="E49" i="11"/>
  <c r="F49" i="11" s="1"/>
  <c r="G47" i="11"/>
  <c r="H47" i="11" s="1"/>
  <c r="G46" i="9"/>
  <c r="H46" i="9" s="1"/>
  <c r="G47" i="8"/>
  <c r="H46" i="8"/>
  <c r="Z45" i="7"/>
  <c r="Y45" i="7"/>
  <c r="AD45" i="7" s="1"/>
  <c r="X45" i="7"/>
  <c r="W45" i="7"/>
  <c r="S45" i="7"/>
  <c r="Z44" i="7"/>
  <c r="AB44" i="7" s="1"/>
  <c r="X44" i="7"/>
  <c r="AC44" i="7" s="1"/>
  <c r="S44" i="7"/>
  <c r="Z43" i="7"/>
  <c r="Y43" i="7"/>
  <c r="X43" i="7"/>
  <c r="W43" i="7"/>
  <c r="S43" i="7"/>
  <c r="Z42" i="7"/>
  <c r="Y42" i="7"/>
  <c r="AB42" i="7" s="1"/>
  <c r="X42" i="7"/>
  <c r="W42" i="7"/>
  <c r="S42" i="7"/>
  <c r="Z41" i="7"/>
  <c r="Y41" i="7"/>
  <c r="X41" i="7"/>
  <c r="W41" i="7"/>
  <c r="S41" i="7"/>
  <c r="Z40" i="7"/>
  <c r="Y40" i="7"/>
  <c r="X40" i="7"/>
  <c r="W40" i="7"/>
  <c r="S40" i="7"/>
  <c r="Z39" i="7"/>
  <c r="Y39" i="7"/>
  <c r="X39" i="7"/>
  <c r="W39" i="7"/>
  <c r="S39" i="7"/>
  <c r="Z38" i="7"/>
  <c r="Y38" i="7"/>
  <c r="X38" i="7"/>
  <c r="W38" i="7"/>
  <c r="S38" i="7"/>
  <c r="Z37" i="7"/>
  <c r="Y37" i="7"/>
  <c r="X37" i="7"/>
  <c r="W37" i="7"/>
  <c r="AA37" i="7" s="1"/>
  <c r="S37" i="7"/>
  <c r="Z36" i="7"/>
  <c r="Y36" i="7"/>
  <c r="AD36" i="7" s="1"/>
  <c r="X36" i="7"/>
  <c r="W36" i="7"/>
  <c r="S36" i="7"/>
  <c r="Z35" i="7"/>
  <c r="Y35" i="7"/>
  <c r="X35" i="7"/>
  <c r="W35" i="7"/>
  <c r="AC35" i="7" s="1"/>
  <c r="S35" i="7"/>
  <c r="Z34" i="7"/>
  <c r="Y34" i="7"/>
  <c r="AD34" i="7" s="1"/>
  <c r="X34" i="7"/>
  <c r="W34" i="7"/>
  <c r="S34" i="7"/>
  <c r="Z33" i="7"/>
  <c r="Y33" i="7"/>
  <c r="X33" i="7"/>
  <c r="W33" i="7"/>
  <c r="S33" i="7"/>
  <c r="Z32" i="7"/>
  <c r="Y32" i="7"/>
  <c r="X32" i="7"/>
  <c r="W32" i="7"/>
  <c r="S32" i="7"/>
  <c r="Z31" i="7"/>
  <c r="Y31" i="7"/>
  <c r="X31" i="7"/>
  <c r="W31" i="7"/>
  <c r="S31" i="7"/>
  <c r="Z30" i="7"/>
  <c r="Y30" i="7"/>
  <c r="X30" i="7"/>
  <c r="W30" i="7"/>
  <c r="S30" i="7"/>
  <c r="Z29" i="7"/>
  <c r="Y29" i="7"/>
  <c r="X29" i="7"/>
  <c r="W29" i="7"/>
  <c r="S29" i="7"/>
  <c r="Z28" i="7"/>
  <c r="Y28" i="7"/>
  <c r="X28" i="7"/>
  <c r="W28" i="7"/>
  <c r="AC28" i="7" s="1"/>
  <c r="S28" i="7"/>
  <c r="Z27" i="7"/>
  <c r="Y27" i="7"/>
  <c r="X27" i="7"/>
  <c r="W27" i="7"/>
  <c r="AC27" i="7" s="1"/>
  <c r="S27" i="7"/>
  <c r="Z26" i="7"/>
  <c r="Y26" i="7"/>
  <c r="AD26" i="7" s="1"/>
  <c r="X26" i="7"/>
  <c r="W26" i="7"/>
  <c r="S26" i="7"/>
  <c r="Z25" i="7"/>
  <c r="Y25" i="7"/>
  <c r="AD25" i="7" s="1"/>
  <c r="X25" i="7"/>
  <c r="W25" i="7"/>
  <c r="S25" i="7"/>
  <c r="Z24" i="7"/>
  <c r="Y24" i="7"/>
  <c r="X24" i="7"/>
  <c r="W24" i="7"/>
  <c r="S24" i="7"/>
  <c r="Z23" i="7"/>
  <c r="Y23" i="7"/>
  <c r="X23" i="7"/>
  <c r="W23" i="7"/>
  <c r="S23" i="7"/>
  <c r="Z22" i="7"/>
  <c r="Y22" i="7"/>
  <c r="AD22" i="7" s="1"/>
  <c r="X22" i="7"/>
  <c r="W22" i="7"/>
  <c r="S22" i="7"/>
  <c r="Z21" i="7"/>
  <c r="Y21" i="7"/>
  <c r="X21" i="7"/>
  <c r="W21" i="7"/>
  <c r="S21" i="7"/>
  <c r="Z20" i="7"/>
  <c r="Y20" i="7"/>
  <c r="X20" i="7"/>
  <c r="W20" i="7"/>
  <c r="AC20" i="7" s="1"/>
  <c r="S20" i="7"/>
  <c r="Z19" i="7"/>
  <c r="Y19" i="7"/>
  <c r="AD19" i="7" s="1"/>
  <c r="X19" i="7"/>
  <c r="W19" i="7"/>
  <c r="AA19" i="7" s="1"/>
  <c r="S19" i="7"/>
  <c r="Z18" i="7"/>
  <c r="Y18" i="7"/>
  <c r="X18" i="7"/>
  <c r="W18" i="7"/>
  <c r="S18" i="7"/>
  <c r="Z17" i="7"/>
  <c r="Y17" i="7"/>
  <c r="X17" i="7"/>
  <c r="W17" i="7"/>
  <c r="AC17" i="7" s="1"/>
  <c r="S17" i="7"/>
  <c r="Z16" i="7"/>
  <c r="Y16" i="7"/>
  <c r="X16" i="7"/>
  <c r="W16" i="7"/>
  <c r="S16" i="7"/>
  <c r="Z15" i="7"/>
  <c r="Y15" i="7"/>
  <c r="X15" i="7"/>
  <c r="W15" i="7"/>
  <c r="S15" i="7"/>
  <c r="Z14" i="7"/>
  <c r="Y14" i="7"/>
  <c r="X14" i="7"/>
  <c r="W14" i="7"/>
  <c r="S14" i="7"/>
  <c r="Z13" i="7"/>
  <c r="Y13" i="7"/>
  <c r="X13" i="7"/>
  <c r="W13" i="7"/>
  <c r="S13" i="7"/>
  <c r="Z12" i="7"/>
  <c r="AD12" i="7" s="1"/>
  <c r="X12" i="7"/>
  <c r="AC12" i="7" s="1"/>
  <c r="S12" i="7"/>
  <c r="Z11" i="7"/>
  <c r="Y11" i="7"/>
  <c r="X11" i="7"/>
  <c r="W11" i="7"/>
  <c r="S11" i="7"/>
  <c r="Z10" i="7"/>
  <c r="Y10" i="7"/>
  <c r="X10" i="7"/>
  <c r="W10" i="7"/>
  <c r="AC10" i="7" s="1"/>
  <c r="S10" i="7"/>
  <c r="Z9" i="7"/>
  <c r="Y9" i="7"/>
  <c r="X9" i="7"/>
  <c r="W9" i="7"/>
  <c r="AA9" i="7" s="1"/>
  <c r="S9" i="7"/>
  <c r="Z8" i="7"/>
  <c r="Y8" i="7"/>
  <c r="AD8" i="7" s="1"/>
  <c r="X8" i="7"/>
  <c r="W8" i="7"/>
  <c r="S8" i="7"/>
  <c r="Z7" i="7"/>
  <c r="Y7" i="7"/>
  <c r="X7" i="7"/>
  <c r="W7" i="7"/>
  <c r="AC7" i="7" s="1"/>
  <c r="S7" i="7"/>
  <c r="Z6" i="7"/>
  <c r="Y6" i="7"/>
  <c r="X6" i="7"/>
  <c r="W6" i="7"/>
  <c r="S6" i="7"/>
  <c r="Z5" i="7"/>
  <c r="Y5" i="7"/>
  <c r="AD5" i="7" s="1"/>
  <c r="X5" i="7"/>
  <c r="W5" i="7"/>
  <c r="S5" i="7"/>
  <c r="Z4" i="7"/>
  <c r="Y4" i="7"/>
  <c r="AD4" i="7" s="1"/>
  <c r="X4" i="7"/>
  <c r="W4" i="7"/>
  <c r="S4" i="7"/>
  <c r="Z3" i="7"/>
  <c r="Y3" i="7"/>
  <c r="X3" i="7"/>
  <c r="W3" i="7"/>
  <c r="S3" i="7"/>
  <c r="Z2" i="7"/>
  <c r="Y2" i="7"/>
  <c r="X2" i="7"/>
  <c r="W2" i="7"/>
  <c r="S2" i="7"/>
  <c r="G49" i="10" l="1"/>
  <c r="H48" i="10"/>
  <c r="G48" i="11"/>
  <c r="H48" i="11" s="1"/>
  <c r="E50" i="11"/>
  <c r="F50" i="11" s="1"/>
  <c r="G47" i="9"/>
  <c r="H47" i="9" s="1"/>
  <c r="H47" i="8"/>
  <c r="G48" i="8"/>
  <c r="AB26" i="7"/>
  <c r="AB19" i="7"/>
  <c r="AB10" i="7"/>
  <c r="AB20" i="7"/>
  <c r="AC37" i="7"/>
  <c r="AB28" i="7"/>
  <c r="AB36" i="7"/>
  <c r="AB27" i="7"/>
  <c r="AA23" i="7"/>
  <c r="AB18" i="7"/>
  <c r="AC31" i="7"/>
  <c r="AC38" i="7"/>
  <c r="AA44" i="7"/>
  <c r="AA43" i="7"/>
  <c r="AC6" i="7"/>
  <c r="AC11" i="7"/>
  <c r="AC13" i="7"/>
  <c r="AC30" i="7"/>
  <c r="AD37" i="7"/>
  <c r="AB38" i="7"/>
  <c r="AD3" i="7"/>
  <c r="AD13" i="7"/>
  <c r="AD21" i="7"/>
  <c r="AD40" i="7"/>
  <c r="AC42" i="7"/>
  <c r="AB11" i="7"/>
  <c r="AC15" i="7"/>
  <c r="AC21" i="7"/>
  <c r="AC24" i="7"/>
  <c r="AB29" i="7"/>
  <c r="AB8" i="7"/>
  <c r="AC34" i="7"/>
  <c r="AD7" i="7"/>
  <c r="AD10" i="7"/>
  <c r="AA13" i="7"/>
  <c r="AD18" i="7"/>
  <c r="AA27" i="7"/>
  <c r="AD31" i="7"/>
  <c r="AC33" i="7"/>
  <c r="AB34" i="7"/>
  <c r="AC36" i="7"/>
  <c r="AC40" i="7"/>
  <c r="AB41" i="7"/>
  <c r="AD44" i="7"/>
  <c r="AB9" i="7"/>
  <c r="AC3" i="7"/>
  <c r="AC14" i="7"/>
  <c r="AD24" i="7"/>
  <c r="AC26" i="7"/>
  <c r="AD27" i="7"/>
  <c r="AD28" i="7"/>
  <c r="AD33" i="7"/>
  <c r="AA35" i="7"/>
  <c r="AB43" i="7"/>
  <c r="AA45" i="7"/>
  <c r="AD20" i="7"/>
  <c r="AD23" i="7"/>
  <c r="AD30" i="7"/>
  <c r="AA39" i="7"/>
  <c r="AC16" i="7"/>
  <c r="AC29" i="7"/>
  <c r="AB14" i="7"/>
  <c r="AB35" i="7"/>
  <c r="AD39" i="7"/>
  <c r="AC41" i="7"/>
  <c r="W46" i="7"/>
  <c r="AB22" i="7"/>
  <c r="AA31" i="7"/>
  <c r="AC43" i="7"/>
  <c r="Y46" i="7"/>
  <c r="AB3" i="7"/>
  <c r="AD11" i="7"/>
  <c r="AB12" i="7"/>
  <c r="AD16" i="7"/>
  <c r="AC18" i="7"/>
  <c r="AB21" i="7"/>
  <c r="AD42" i="7"/>
  <c r="AB13" i="7"/>
  <c r="X46" i="7"/>
  <c r="AA12" i="7"/>
  <c r="Z46" i="7"/>
  <c r="AA3" i="7"/>
  <c r="AC5" i="7"/>
  <c r="AD6" i="7"/>
  <c r="AC8" i="7"/>
  <c r="AD9" i="7"/>
  <c r="AD15" i="7"/>
  <c r="AA20" i="7"/>
  <c r="AA21" i="7"/>
  <c r="AC23" i="7"/>
  <c r="AD29" i="7"/>
  <c r="AB30" i="7"/>
  <c r="AC32" i="7"/>
  <c r="AD38" i="7"/>
  <c r="AD41" i="7"/>
  <c r="AB4" i="7"/>
  <c r="AA2" i="7"/>
  <c r="AA11" i="7"/>
  <c r="AA15" i="7"/>
  <c r="AC19" i="7"/>
  <c r="AA28" i="7"/>
  <c r="AA29" i="7"/>
  <c r="AB37" i="7"/>
  <c r="AB45" i="7"/>
  <c r="AA10" i="7"/>
  <c r="AB2" i="7"/>
  <c r="AC4" i="7"/>
  <c r="AC9" i="7"/>
  <c r="AD14" i="7"/>
  <c r="AD17" i="7"/>
  <c r="AC22" i="7"/>
  <c r="AC25" i="7"/>
  <c r="AD32" i="7"/>
  <c r="AD35" i="7"/>
  <c r="AA36" i="7"/>
  <c r="AC39" i="7"/>
  <c r="AD43" i="7"/>
  <c r="AC45" i="7"/>
  <c r="AC2" i="7"/>
  <c r="AA4" i="7"/>
  <c r="AA14" i="7"/>
  <c r="AA22" i="7"/>
  <c r="AA30" i="7"/>
  <c r="AA38" i="7"/>
  <c r="AB5" i="7"/>
  <c r="AA6" i="7"/>
  <c r="AB15" i="7"/>
  <c r="AA16" i="7"/>
  <c r="AB23" i="7"/>
  <c r="AA24" i="7"/>
  <c r="AB31" i="7"/>
  <c r="AA32" i="7"/>
  <c r="AB39" i="7"/>
  <c r="AA40" i="7"/>
  <c r="AD2" i="7"/>
  <c r="AA5" i="7"/>
  <c r="AB6" i="7"/>
  <c r="AA7" i="7"/>
  <c r="AB16" i="7"/>
  <c r="AA17" i="7"/>
  <c r="AB24" i="7"/>
  <c r="AA25" i="7"/>
  <c r="AB32" i="7"/>
  <c r="AA33" i="7"/>
  <c r="AB40" i="7"/>
  <c r="AA41" i="7"/>
  <c r="AB7" i="7"/>
  <c r="AA8" i="7"/>
  <c r="AB17" i="7"/>
  <c r="AA18" i="7"/>
  <c r="AB25" i="7"/>
  <c r="AA26" i="7"/>
  <c r="AB33" i="7"/>
  <c r="AA34" i="7"/>
  <c r="AA42" i="7"/>
  <c r="G50" i="10" l="1"/>
  <c r="H49" i="10"/>
  <c r="E51" i="11"/>
  <c r="F51" i="11" s="1"/>
  <c r="G49" i="11"/>
  <c r="H49" i="11" s="1"/>
  <c r="G48" i="9"/>
  <c r="H48" i="9" s="1"/>
  <c r="G49" i="8"/>
  <c r="H48" i="8"/>
  <c r="AB46" i="7"/>
  <c r="AA46" i="7"/>
  <c r="G51" i="10" l="1"/>
  <c r="H50" i="10"/>
  <c r="G50" i="11"/>
  <c r="H50" i="11" s="1"/>
  <c r="E52" i="11"/>
  <c r="F52" i="11" s="1"/>
  <c r="G49" i="9"/>
  <c r="H49" i="9" s="1"/>
  <c r="H49" i="8"/>
  <c r="G50" i="8"/>
  <c r="F3" i="6"/>
  <c r="G3" i="6"/>
  <c r="H3" i="6"/>
  <c r="I3" i="6"/>
  <c r="J3" i="6"/>
  <c r="K3" i="6"/>
  <c r="L3" i="6"/>
  <c r="M3" i="6"/>
  <c r="N3" i="6"/>
  <c r="O3" i="6"/>
  <c r="P3" i="6"/>
  <c r="F4" i="6"/>
  <c r="G4" i="6"/>
  <c r="H4" i="6"/>
  <c r="I4" i="6"/>
  <c r="J4" i="6"/>
  <c r="K4" i="6"/>
  <c r="L4" i="6"/>
  <c r="M4" i="6"/>
  <c r="N4" i="6"/>
  <c r="O4" i="6"/>
  <c r="P4" i="6"/>
  <c r="F5" i="6"/>
  <c r="G5" i="6"/>
  <c r="H5" i="6"/>
  <c r="I5" i="6"/>
  <c r="J5" i="6"/>
  <c r="K5" i="6"/>
  <c r="L5" i="6"/>
  <c r="M5" i="6"/>
  <c r="N5" i="6"/>
  <c r="O5" i="6"/>
  <c r="P5" i="6"/>
  <c r="F6" i="6"/>
  <c r="G6" i="6"/>
  <c r="H6" i="6"/>
  <c r="I6" i="6"/>
  <c r="J6" i="6"/>
  <c r="K6" i="6"/>
  <c r="L6" i="6"/>
  <c r="M6" i="6"/>
  <c r="N6" i="6"/>
  <c r="O6" i="6"/>
  <c r="P6" i="6"/>
  <c r="F7" i="6"/>
  <c r="G7" i="6"/>
  <c r="H7" i="6"/>
  <c r="I7" i="6"/>
  <c r="J7" i="6"/>
  <c r="K7" i="6"/>
  <c r="L7" i="6"/>
  <c r="M7" i="6"/>
  <c r="N7" i="6"/>
  <c r="O7" i="6"/>
  <c r="P7" i="6"/>
  <c r="F8" i="6"/>
  <c r="G8" i="6"/>
  <c r="H8" i="6"/>
  <c r="I8" i="6"/>
  <c r="J8" i="6"/>
  <c r="K8" i="6"/>
  <c r="L8" i="6"/>
  <c r="M8" i="6"/>
  <c r="N8" i="6"/>
  <c r="O8" i="6"/>
  <c r="P8" i="6"/>
  <c r="F9" i="6"/>
  <c r="G9" i="6"/>
  <c r="H9" i="6"/>
  <c r="I9" i="6"/>
  <c r="J9" i="6"/>
  <c r="K9" i="6"/>
  <c r="L9" i="6"/>
  <c r="M9" i="6"/>
  <c r="N9" i="6"/>
  <c r="O9" i="6"/>
  <c r="P9" i="6"/>
  <c r="F10" i="6"/>
  <c r="G10" i="6"/>
  <c r="H10" i="6"/>
  <c r="I10" i="6"/>
  <c r="J10" i="6"/>
  <c r="K10" i="6"/>
  <c r="L10" i="6"/>
  <c r="M10" i="6"/>
  <c r="N10" i="6"/>
  <c r="O10" i="6"/>
  <c r="P10" i="6"/>
  <c r="F11" i="6"/>
  <c r="G11" i="6"/>
  <c r="H11" i="6"/>
  <c r="I11" i="6"/>
  <c r="J11" i="6"/>
  <c r="K11" i="6"/>
  <c r="L11" i="6"/>
  <c r="M11" i="6"/>
  <c r="N11" i="6"/>
  <c r="O11" i="6"/>
  <c r="P11" i="6"/>
  <c r="F12" i="6"/>
  <c r="G12" i="6"/>
  <c r="H12" i="6"/>
  <c r="I12" i="6"/>
  <c r="J12" i="6"/>
  <c r="K12" i="6"/>
  <c r="L12" i="6"/>
  <c r="M12" i="6"/>
  <c r="N12" i="6"/>
  <c r="O12" i="6"/>
  <c r="P12" i="6"/>
  <c r="F13" i="6"/>
  <c r="G13" i="6"/>
  <c r="H13" i="6"/>
  <c r="I13" i="6"/>
  <c r="J13" i="6"/>
  <c r="K13" i="6"/>
  <c r="L13" i="6"/>
  <c r="M13" i="6"/>
  <c r="N13" i="6"/>
  <c r="O13" i="6"/>
  <c r="P13" i="6"/>
  <c r="F14" i="6"/>
  <c r="G14" i="6"/>
  <c r="H14" i="6"/>
  <c r="I14" i="6"/>
  <c r="J14" i="6"/>
  <c r="K14" i="6"/>
  <c r="L14" i="6"/>
  <c r="M14" i="6"/>
  <c r="N14" i="6"/>
  <c r="O14" i="6"/>
  <c r="P14" i="6"/>
  <c r="F15" i="6"/>
  <c r="G15" i="6"/>
  <c r="H15" i="6"/>
  <c r="I15" i="6"/>
  <c r="J15" i="6"/>
  <c r="K15" i="6"/>
  <c r="L15" i="6"/>
  <c r="M15" i="6"/>
  <c r="N15" i="6"/>
  <c r="O15" i="6"/>
  <c r="P15" i="6"/>
  <c r="F16" i="6"/>
  <c r="G16" i="6"/>
  <c r="H16" i="6"/>
  <c r="I16" i="6"/>
  <c r="J16" i="6"/>
  <c r="K16" i="6"/>
  <c r="L16" i="6"/>
  <c r="M16" i="6"/>
  <c r="N16" i="6"/>
  <c r="O16" i="6"/>
  <c r="P16" i="6"/>
  <c r="F17" i="6"/>
  <c r="G17" i="6"/>
  <c r="H17" i="6"/>
  <c r="I17" i="6"/>
  <c r="J17" i="6"/>
  <c r="K17" i="6"/>
  <c r="L17" i="6"/>
  <c r="M17" i="6"/>
  <c r="N17" i="6"/>
  <c r="O17" i="6"/>
  <c r="P17" i="6"/>
  <c r="F18" i="6"/>
  <c r="G18" i="6"/>
  <c r="H18" i="6"/>
  <c r="I18" i="6"/>
  <c r="J18" i="6"/>
  <c r="K18" i="6"/>
  <c r="L18" i="6"/>
  <c r="M18" i="6"/>
  <c r="N18" i="6"/>
  <c r="O18" i="6"/>
  <c r="P18" i="6"/>
  <c r="F19" i="6"/>
  <c r="G19" i="6"/>
  <c r="H19" i="6"/>
  <c r="I19" i="6"/>
  <c r="J19" i="6"/>
  <c r="K19" i="6"/>
  <c r="L19" i="6"/>
  <c r="M19" i="6"/>
  <c r="N19" i="6"/>
  <c r="O19" i="6"/>
  <c r="P19" i="6"/>
  <c r="F20" i="6"/>
  <c r="G20" i="6"/>
  <c r="H20" i="6"/>
  <c r="I20" i="6"/>
  <c r="J20" i="6"/>
  <c r="K20" i="6"/>
  <c r="L20" i="6"/>
  <c r="M20" i="6"/>
  <c r="N20" i="6"/>
  <c r="O20" i="6"/>
  <c r="P20" i="6"/>
  <c r="F21" i="6"/>
  <c r="G21" i="6"/>
  <c r="H21" i="6"/>
  <c r="I21" i="6"/>
  <c r="J21" i="6"/>
  <c r="K21" i="6"/>
  <c r="L21" i="6"/>
  <c r="M21" i="6"/>
  <c r="N21" i="6"/>
  <c r="O21" i="6"/>
  <c r="P21" i="6"/>
  <c r="F22" i="6"/>
  <c r="G22" i="6"/>
  <c r="H22" i="6"/>
  <c r="I22" i="6"/>
  <c r="J22" i="6"/>
  <c r="K22" i="6"/>
  <c r="L22" i="6"/>
  <c r="M22" i="6"/>
  <c r="N22" i="6"/>
  <c r="O22" i="6"/>
  <c r="P22" i="6"/>
  <c r="F23" i="6"/>
  <c r="G23" i="6"/>
  <c r="H23" i="6"/>
  <c r="I23" i="6"/>
  <c r="J23" i="6"/>
  <c r="K23" i="6"/>
  <c r="L23" i="6"/>
  <c r="M23" i="6"/>
  <c r="N23" i="6"/>
  <c r="O23" i="6"/>
  <c r="P23" i="6"/>
  <c r="F24" i="6"/>
  <c r="G24" i="6"/>
  <c r="H24" i="6"/>
  <c r="I24" i="6"/>
  <c r="J24" i="6"/>
  <c r="K24" i="6"/>
  <c r="L24" i="6"/>
  <c r="M24" i="6"/>
  <c r="N24" i="6"/>
  <c r="O24" i="6"/>
  <c r="P24" i="6"/>
  <c r="F25" i="6"/>
  <c r="G25" i="6"/>
  <c r="H25" i="6"/>
  <c r="I25" i="6"/>
  <c r="J25" i="6"/>
  <c r="K25" i="6"/>
  <c r="L25" i="6"/>
  <c r="M25" i="6"/>
  <c r="N25" i="6"/>
  <c r="O25" i="6"/>
  <c r="P25" i="6"/>
  <c r="F26" i="6"/>
  <c r="G26" i="6"/>
  <c r="H26" i="6"/>
  <c r="I26" i="6"/>
  <c r="J26" i="6"/>
  <c r="K26" i="6"/>
  <c r="L26" i="6"/>
  <c r="M26" i="6"/>
  <c r="N26" i="6"/>
  <c r="O26" i="6"/>
  <c r="P26" i="6"/>
  <c r="F27" i="6"/>
  <c r="G27" i="6"/>
  <c r="H27" i="6"/>
  <c r="I27" i="6"/>
  <c r="J27" i="6"/>
  <c r="K27" i="6"/>
  <c r="L27" i="6"/>
  <c r="M27" i="6"/>
  <c r="N27" i="6"/>
  <c r="O27" i="6"/>
  <c r="P27" i="6"/>
  <c r="F28" i="6"/>
  <c r="G28" i="6"/>
  <c r="H28" i="6"/>
  <c r="I28" i="6"/>
  <c r="J28" i="6"/>
  <c r="K28" i="6"/>
  <c r="L28" i="6"/>
  <c r="M28" i="6"/>
  <c r="N28" i="6"/>
  <c r="O28" i="6"/>
  <c r="P28" i="6"/>
  <c r="F29" i="6"/>
  <c r="G29" i="6"/>
  <c r="H29" i="6"/>
  <c r="I29" i="6"/>
  <c r="J29" i="6"/>
  <c r="K29" i="6"/>
  <c r="L29" i="6"/>
  <c r="M29" i="6"/>
  <c r="N29" i="6"/>
  <c r="O29" i="6"/>
  <c r="P29" i="6"/>
  <c r="F30" i="6"/>
  <c r="G30" i="6"/>
  <c r="H30" i="6"/>
  <c r="I30" i="6"/>
  <c r="J30" i="6"/>
  <c r="K30" i="6"/>
  <c r="L30" i="6"/>
  <c r="M30" i="6"/>
  <c r="N30" i="6"/>
  <c r="O30" i="6"/>
  <c r="P30" i="6"/>
  <c r="F31" i="6"/>
  <c r="G31" i="6"/>
  <c r="H31" i="6"/>
  <c r="I31" i="6"/>
  <c r="J31" i="6"/>
  <c r="K31" i="6"/>
  <c r="L31" i="6"/>
  <c r="M31" i="6"/>
  <c r="N31" i="6"/>
  <c r="O31" i="6"/>
  <c r="P31" i="6"/>
  <c r="F32" i="6"/>
  <c r="G32" i="6"/>
  <c r="H32" i="6"/>
  <c r="I32" i="6"/>
  <c r="J32" i="6"/>
  <c r="K32" i="6"/>
  <c r="L32" i="6"/>
  <c r="M32" i="6"/>
  <c r="N32" i="6"/>
  <c r="O32" i="6"/>
  <c r="P32" i="6"/>
  <c r="F33" i="6"/>
  <c r="G33" i="6"/>
  <c r="H33" i="6"/>
  <c r="I33" i="6"/>
  <c r="J33" i="6"/>
  <c r="K33" i="6"/>
  <c r="L33" i="6"/>
  <c r="M33" i="6"/>
  <c r="N33" i="6"/>
  <c r="O33" i="6"/>
  <c r="P33" i="6"/>
  <c r="F34" i="6"/>
  <c r="G34" i="6"/>
  <c r="H34" i="6"/>
  <c r="I34" i="6"/>
  <c r="J34" i="6"/>
  <c r="K34" i="6"/>
  <c r="L34" i="6"/>
  <c r="M34" i="6"/>
  <c r="N34" i="6"/>
  <c r="O34" i="6"/>
  <c r="P34" i="6"/>
  <c r="F35" i="6"/>
  <c r="G35" i="6"/>
  <c r="H35" i="6"/>
  <c r="I35" i="6"/>
  <c r="J35" i="6"/>
  <c r="K35" i="6"/>
  <c r="L35" i="6"/>
  <c r="M35" i="6"/>
  <c r="N35" i="6"/>
  <c r="O35" i="6"/>
  <c r="P35" i="6"/>
  <c r="F36" i="6"/>
  <c r="G36" i="6"/>
  <c r="H36" i="6"/>
  <c r="I36" i="6"/>
  <c r="J36" i="6"/>
  <c r="K36" i="6"/>
  <c r="L36" i="6"/>
  <c r="M36" i="6"/>
  <c r="N36" i="6"/>
  <c r="O36" i="6"/>
  <c r="P36" i="6"/>
  <c r="F37" i="6"/>
  <c r="G37" i="6"/>
  <c r="H37" i="6"/>
  <c r="I37" i="6"/>
  <c r="J37" i="6"/>
  <c r="K37" i="6"/>
  <c r="L37" i="6"/>
  <c r="M37" i="6"/>
  <c r="N37" i="6"/>
  <c r="O37" i="6"/>
  <c r="P37" i="6"/>
  <c r="F38" i="6"/>
  <c r="G38" i="6"/>
  <c r="H38" i="6"/>
  <c r="I38" i="6"/>
  <c r="J38" i="6"/>
  <c r="K38" i="6"/>
  <c r="L38" i="6"/>
  <c r="M38" i="6"/>
  <c r="N38" i="6"/>
  <c r="O38" i="6"/>
  <c r="P38" i="6"/>
  <c r="F39" i="6"/>
  <c r="G39" i="6"/>
  <c r="H39" i="6"/>
  <c r="I39" i="6"/>
  <c r="J39" i="6"/>
  <c r="K39" i="6"/>
  <c r="L39" i="6"/>
  <c r="M39" i="6"/>
  <c r="N39" i="6"/>
  <c r="O39" i="6"/>
  <c r="P39" i="6"/>
  <c r="F40" i="6"/>
  <c r="G40" i="6"/>
  <c r="H40" i="6"/>
  <c r="I40" i="6"/>
  <c r="J40" i="6"/>
  <c r="K40" i="6"/>
  <c r="L40" i="6"/>
  <c r="M40" i="6"/>
  <c r="N40" i="6"/>
  <c r="O40" i="6"/>
  <c r="P40" i="6"/>
  <c r="F41" i="6"/>
  <c r="G41" i="6"/>
  <c r="H41" i="6"/>
  <c r="I41" i="6"/>
  <c r="J41" i="6"/>
  <c r="K41" i="6"/>
  <c r="L41" i="6"/>
  <c r="M41" i="6"/>
  <c r="N41" i="6"/>
  <c r="O41" i="6"/>
  <c r="P41" i="6"/>
  <c r="F42" i="6"/>
  <c r="G42" i="6"/>
  <c r="H42" i="6"/>
  <c r="I42" i="6"/>
  <c r="J42" i="6"/>
  <c r="K42" i="6"/>
  <c r="L42" i="6"/>
  <c r="M42" i="6"/>
  <c r="N42" i="6"/>
  <c r="O42" i="6"/>
  <c r="P42" i="6"/>
  <c r="F43" i="6"/>
  <c r="G43" i="6"/>
  <c r="H43" i="6"/>
  <c r="I43" i="6"/>
  <c r="J43" i="6"/>
  <c r="K43" i="6"/>
  <c r="L43" i="6"/>
  <c r="M43" i="6"/>
  <c r="N43" i="6"/>
  <c r="O43" i="6"/>
  <c r="P43" i="6"/>
  <c r="F44" i="6"/>
  <c r="G44" i="6"/>
  <c r="H44" i="6"/>
  <c r="I44" i="6"/>
  <c r="J44" i="6"/>
  <c r="K44" i="6"/>
  <c r="L44" i="6"/>
  <c r="M44" i="6"/>
  <c r="N44" i="6"/>
  <c r="O44" i="6"/>
  <c r="P44" i="6"/>
  <c r="F45" i="6"/>
  <c r="G45" i="6"/>
  <c r="H45" i="6"/>
  <c r="I45" i="6"/>
  <c r="J45" i="6"/>
  <c r="K45" i="6"/>
  <c r="L45" i="6"/>
  <c r="M45" i="6"/>
  <c r="N45" i="6"/>
  <c r="O45" i="6"/>
  <c r="P45" i="6"/>
  <c r="F46" i="6"/>
  <c r="G46" i="6"/>
  <c r="H46" i="6"/>
  <c r="I46" i="6"/>
  <c r="J46" i="6"/>
  <c r="K46" i="6"/>
  <c r="L46" i="6"/>
  <c r="M46" i="6"/>
  <c r="N46" i="6"/>
  <c r="O46" i="6"/>
  <c r="P46"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3" i="6"/>
  <c r="I47" i="6"/>
  <c r="I47" i="1"/>
  <c r="H47" i="1"/>
  <c r="Y44" i="4"/>
  <c r="AA12" i="4"/>
  <c r="U3" i="4"/>
  <c r="W3" i="4"/>
  <c r="U4" i="4"/>
  <c r="W4" i="4"/>
  <c r="U5" i="4"/>
  <c r="W5" i="4"/>
  <c r="U6" i="4"/>
  <c r="W6" i="4"/>
  <c r="U7" i="4"/>
  <c r="W7" i="4"/>
  <c r="U8" i="4"/>
  <c r="W8" i="4"/>
  <c r="U9" i="4"/>
  <c r="W9" i="4"/>
  <c r="U10" i="4"/>
  <c r="W10" i="4"/>
  <c r="U11" i="4"/>
  <c r="W11" i="4"/>
  <c r="U12" i="4"/>
  <c r="X12" i="4" s="1"/>
  <c r="W12" i="4"/>
  <c r="Y12" i="4" s="1"/>
  <c r="U13" i="4"/>
  <c r="W13" i="4"/>
  <c r="U14" i="4"/>
  <c r="W14" i="4"/>
  <c r="U15" i="4"/>
  <c r="W15" i="4"/>
  <c r="U16" i="4"/>
  <c r="W16" i="4"/>
  <c r="U17" i="4"/>
  <c r="W17" i="4"/>
  <c r="U18" i="4"/>
  <c r="W18" i="4"/>
  <c r="U19" i="4"/>
  <c r="W19" i="4"/>
  <c r="U20" i="4"/>
  <c r="W20" i="4"/>
  <c r="U21" i="4"/>
  <c r="W21" i="4"/>
  <c r="U22" i="4"/>
  <c r="W22" i="4"/>
  <c r="U23" i="4"/>
  <c r="W23" i="4"/>
  <c r="U24" i="4"/>
  <c r="W24" i="4"/>
  <c r="U25" i="4"/>
  <c r="W25" i="4"/>
  <c r="U26" i="4"/>
  <c r="W26" i="4"/>
  <c r="U27" i="4"/>
  <c r="W27" i="4"/>
  <c r="U28" i="4"/>
  <c r="W28" i="4"/>
  <c r="U29" i="4"/>
  <c r="W29" i="4"/>
  <c r="U30" i="4"/>
  <c r="W30" i="4"/>
  <c r="U31" i="4"/>
  <c r="W31" i="4"/>
  <c r="U32" i="4"/>
  <c r="W32" i="4"/>
  <c r="U33" i="4"/>
  <c r="W33" i="4"/>
  <c r="U34" i="4"/>
  <c r="W34" i="4"/>
  <c r="U35" i="4"/>
  <c r="W35" i="4"/>
  <c r="U36" i="4"/>
  <c r="W36" i="4"/>
  <c r="U37" i="4"/>
  <c r="W37" i="4"/>
  <c r="U38" i="4"/>
  <c r="W38" i="4"/>
  <c r="U39" i="4"/>
  <c r="W39" i="4"/>
  <c r="U40" i="4"/>
  <c r="W40" i="4"/>
  <c r="U41" i="4"/>
  <c r="W41" i="4"/>
  <c r="U42" i="4"/>
  <c r="W42" i="4"/>
  <c r="U43" i="4"/>
  <c r="W43" i="4"/>
  <c r="U44" i="4"/>
  <c r="Z44" i="4" s="1"/>
  <c r="W44" i="4"/>
  <c r="AA44" i="4" s="1"/>
  <c r="U45" i="4"/>
  <c r="W45" i="4"/>
  <c r="W2" i="4"/>
  <c r="W46" i="4" s="1"/>
  <c r="U2" i="4"/>
  <c r="U46" i="4" s="1"/>
  <c r="V3" i="4"/>
  <c r="Y3" i="4" s="1"/>
  <c r="V4" i="4"/>
  <c r="AA4" i="4" s="1"/>
  <c r="V5" i="4"/>
  <c r="Y5" i="4" s="1"/>
  <c r="V6" i="4"/>
  <c r="AA6" i="4" s="1"/>
  <c r="V7" i="4"/>
  <c r="Y7" i="4" s="1"/>
  <c r="V8" i="4"/>
  <c r="AA8" i="4" s="1"/>
  <c r="V9" i="4"/>
  <c r="Y9" i="4" s="1"/>
  <c r="V10" i="4"/>
  <c r="AA10" i="4" s="1"/>
  <c r="V11" i="4"/>
  <c r="Y11" i="4" s="1"/>
  <c r="V13" i="4"/>
  <c r="Y13" i="4" s="1"/>
  <c r="V14" i="4"/>
  <c r="AA14" i="4" s="1"/>
  <c r="V15" i="4"/>
  <c r="Y15" i="4" s="1"/>
  <c r="V16" i="4"/>
  <c r="AA16" i="4" s="1"/>
  <c r="V17" i="4"/>
  <c r="Y17" i="4" s="1"/>
  <c r="V18" i="4"/>
  <c r="AA18" i="4" s="1"/>
  <c r="V19" i="4"/>
  <c r="AA19" i="4" s="1"/>
  <c r="V20" i="4"/>
  <c r="AA20" i="4" s="1"/>
  <c r="V21" i="4"/>
  <c r="Y21" i="4" s="1"/>
  <c r="V22" i="4"/>
  <c r="AA22" i="4" s="1"/>
  <c r="V23" i="4"/>
  <c r="Y23" i="4" s="1"/>
  <c r="V24" i="4"/>
  <c r="AA24" i="4" s="1"/>
  <c r="V25" i="4"/>
  <c r="Y25" i="4" s="1"/>
  <c r="V26" i="4"/>
  <c r="AA26" i="4" s="1"/>
  <c r="V27" i="4"/>
  <c r="AA27" i="4" s="1"/>
  <c r="V28" i="4"/>
  <c r="AA28" i="4" s="1"/>
  <c r="V29" i="4"/>
  <c r="Y29" i="4" s="1"/>
  <c r="V30" i="4"/>
  <c r="AA30" i="4" s="1"/>
  <c r="V31" i="4"/>
  <c r="Y31" i="4" s="1"/>
  <c r="V32" i="4"/>
  <c r="AA32" i="4" s="1"/>
  <c r="V33" i="4"/>
  <c r="Y33" i="4" s="1"/>
  <c r="V34" i="4"/>
  <c r="AA34" i="4" s="1"/>
  <c r="V35" i="4"/>
  <c r="AA35" i="4" s="1"/>
  <c r="V36" i="4"/>
  <c r="AA36" i="4" s="1"/>
  <c r="V37" i="4"/>
  <c r="Y37" i="4" s="1"/>
  <c r="V38" i="4"/>
  <c r="AA38" i="4" s="1"/>
  <c r="V39" i="4"/>
  <c r="AA39" i="4" s="1"/>
  <c r="V40" i="4"/>
  <c r="AA40" i="4" s="1"/>
  <c r="V41" i="4"/>
  <c r="Y41" i="4" s="1"/>
  <c r="V42" i="4"/>
  <c r="AA42" i="4" s="1"/>
  <c r="V43" i="4"/>
  <c r="AA43" i="4" s="1"/>
  <c r="V45" i="4"/>
  <c r="Y45" i="4" s="1"/>
  <c r="V2" i="4"/>
  <c r="Y2" i="4" s="1"/>
  <c r="T3" i="4"/>
  <c r="Z3" i="4" s="1"/>
  <c r="T4" i="4"/>
  <c r="Z4" i="4" s="1"/>
  <c r="T5" i="4"/>
  <c r="X5" i="4" s="1"/>
  <c r="T6" i="4"/>
  <c r="Z6" i="4" s="1"/>
  <c r="T7" i="4"/>
  <c r="Z7" i="4" s="1"/>
  <c r="T8" i="4"/>
  <c r="Z8" i="4" s="1"/>
  <c r="T9" i="4"/>
  <c r="X9" i="4" s="1"/>
  <c r="T10" i="4"/>
  <c r="Z10" i="4" s="1"/>
  <c r="T11" i="4"/>
  <c r="Z11" i="4" s="1"/>
  <c r="T13" i="4"/>
  <c r="X13" i="4" s="1"/>
  <c r="T14" i="4"/>
  <c r="Z14" i="4" s="1"/>
  <c r="T15" i="4"/>
  <c r="Z15" i="4" s="1"/>
  <c r="T16" i="4"/>
  <c r="Z16" i="4" s="1"/>
  <c r="T17" i="4"/>
  <c r="X17" i="4" s="1"/>
  <c r="T18" i="4"/>
  <c r="Z18" i="4" s="1"/>
  <c r="T19" i="4"/>
  <c r="Z19" i="4" s="1"/>
  <c r="T20" i="4"/>
  <c r="Z20" i="4" s="1"/>
  <c r="T21" i="4"/>
  <c r="X21" i="4" s="1"/>
  <c r="T22" i="4"/>
  <c r="Z22" i="4" s="1"/>
  <c r="T23" i="4"/>
  <c r="Z23" i="4" s="1"/>
  <c r="T24" i="4"/>
  <c r="Z24" i="4" s="1"/>
  <c r="T25" i="4"/>
  <c r="X25" i="4" s="1"/>
  <c r="T26" i="4"/>
  <c r="Z26" i="4" s="1"/>
  <c r="T27" i="4"/>
  <c r="Z27" i="4" s="1"/>
  <c r="T28" i="4"/>
  <c r="Z28" i="4" s="1"/>
  <c r="T29" i="4"/>
  <c r="X29" i="4" s="1"/>
  <c r="T30" i="4"/>
  <c r="Z30" i="4" s="1"/>
  <c r="T31" i="4"/>
  <c r="Z31" i="4" s="1"/>
  <c r="T32" i="4"/>
  <c r="Z32" i="4" s="1"/>
  <c r="T33" i="4"/>
  <c r="X33" i="4" s="1"/>
  <c r="T34" i="4"/>
  <c r="Z34" i="4" s="1"/>
  <c r="T35" i="4"/>
  <c r="Z35" i="4" s="1"/>
  <c r="T36" i="4"/>
  <c r="Z36" i="4" s="1"/>
  <c r="T37" i="4"/>
  <c r="X37" i="4" s="1"/>
  <c r="T38" i="4"/>
  <c r="Z38" i="4" s="1"/>
  <c r="T39" i="4"/>
  <c r="Z39" i="4" s="1"/>
  <c r="T40" i="4"/>
  <c r="Z40" i="4" s="1"/>
  <c r="T41" i="4"/>
  <c r="X41" i="4" s="1"/>
  <c r="T42" i="4"/>
  <c r="X42" i="4" s="1"/>
  <c r="T43" i="4"/>
  <c r="Z43" i="4" s="1"/>
  <c r="T45" i="4"/>
  <c r="X45" i="4" s="1"/>
  <c r="T2" i="4"/>
  <c r="Z2" i="4" s="1"/>
  <c r="D44" i="5"/>
  <c r="E44" i="5"/>
  <c r="F44" i="5"/>
  <c r="U44" i="5" s="1"/>
  <c r="G44" i="5"/>
  <c r="H44" i="5"/>
  <c r="I44" i="5"/>
  <c r="J44" i="5"/>
  <c r="V44" i="5" s="1"/>
  <c r="C44" i="5"/>
  <c r="G52" i="10" l="1"/>
  <c r="H51" i="10"/>
  <c r="G51" i="11"/>
  <c r="H51" i="11" s="1"/>
  <c r="E53" i="11"/>
  <c r="F53" i="11" s="1"/>
  <c r="G50" i="9"/>
  <c r="H50" i="9" s="1"/>
  <c r="G51" i="8"/>
  <c r="H50" i="8"/>
  <c r="Y8" i="4"/>
  <c r="Y6" i="4"/>
  <c r="Y40" i="4"/>
  <c r="Y36" i="4"/>
  <c r="Y32" i="4"/>
  <c r="Y24" i="4"/>
  <c r="Y20" i="4"/>
  <c r="AA29" i="4"/>
  <c r="Z12" i="4"/>
  <c r="X44" i="4"/>
  <c r="AA2" i="4"/>
  <c r="AA25" i="4"/>
  <c r="AA11" i="4"/>
  <c r="AA23" i="4"/>
  <c r="AA7" i="4"/>
  <c r="AA21" i="4"/>
  <c r="AA5" i="4"/>
  <c r="Z42" i="4"/>
  <c r="AA17" i="4"/>
  <c r="AA3" i="4"/>
  <c r="Y28" i="4"/>
  <c r="Y4" i="4"/>
  <c r="H47" i="6"/>
  <c r="AA37" i="4"/>
  <c r="AA15" i="4"/>
  <c r="AA33" i="4"/>
  <c r="AA13" i="4"/>
  <c r="AA31" i="4"/>
  <c r="Y16" i="4"/>
  <c r="V46" i="4"/>
  <c r="Y46" i="4" s="1"/>
  <c r="AA45" i="4"/>
  <c r="AA41" i="4"/>
  <c r="Z37" i="4"/>
  <c r="Z33" i="4"/>
  <c r="Z29" i="4"/>
  <c r="Z25" i="4"/>
  <c r="Z21" i="4"/>
  <c r="Z17" i="4"/>
  <c r="Z13" i="4"/>
  <c r="Z9" i="4"/>
  <c r="Z5" i="4"/>
  <c r="X40" i="4"/>
  <c r="X36" i="4"/>
  <c r="X32" i="4"/>
  <c r="X28" i="4"/>
  <c r="X24" i="4"/>
  <c r="X20" i="4"/>
  <c r="X16" i="4"/>
  <c r="X8" i="4"/>
  <c r="X4" i="4"/>
  <c r="AA9" i="4"/>
  <c r="Z45" i="4"/>
  <c r="Z41" i="4"/>
  <c r="X2" i="4"/>
  <c r="Y43" i="4"/>
  <c r="Y39" i="4"/>
  <c r="Y35" i="4"/>
  <c r="Y27" i="4"/>
  <c r="Y19" i="4"/>
  <c r="X43" i="4"/>
  <c r="X39" i="4"/>
  <c r="X35" i="4"/>
  <c r="X31" i="4"/>
  <c r="X27" i="4"/>
  <c r="X23" i="4"/>
  <c r="X19" i="4"/>
  <c r="X15" i="4"/>
  <c r="X11" i="4"/>
  <c r="X7" i="4"/>
  <c r="X3" i="4"/>
  <c r="Y42" i="4"/>
  <c r="Y38" i="4"/>
  <c r="Y34" i="4"/>
  <c r="Y30" i="4"/>
  <c r="Y26" i="4"/>
  <c r="Y22" i="4"/>
  <c r="Y18" i="4"/>
  <c r="Y14" i="4"/>
  <c r="Y10" i="4"/>
  <c r="X38" i="4"/>
  <c r="X34" i="4"/>
  <c r="X30" i="4"/>
  <c r="X26" i="4"/>
  <c r="X22" i="4"/>
  <c r="X18" i="4"/>
  <c r="X14" i="4"/>
  <c r="X10" i="4"/>
  <c r="X6" i="4"/>
  <c r="T46" i="4"/>
  <c r="X46" i="4" s="1"/>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2" i="4"/>
  <c r="G53" i="10" l="1"/>
  <c r="H52" i="10"/>
  <c r="E54" i="11"/>
  <c r="F54" i="11" s="1"/>
  <c r="G52" i="11"/>
  <c r="H52" i="11" s="1"/>
  <c r="G51" i="9"/>
  <c r="H51" i="9" s="1"/>
  <c r="G52" i="8"/>
  <c r="H51" i="8"/>
  <c r="G54" i="10" l="1"/>
  <c r="H53" i="10"/>
  <c r="E55" i="11"/>
  <c r="F55" i="11" s="1"/>
  <c r="G53" i="11"/>
  <c r="H53" i="11" s="1"/>
  <c r="G52" i="9"/>
  <c r="H52" i="9" s="1"/>
  <c r="G53" i="8"/>
  <c r="H52" i="8"/>
  <c r="G55" i="10" l="1"/>
  <c r="H54" i="10"/>
  <c r="E56" i="11"/>
  <c r="F56" i="11" s="1"/>
  <c r="G54" i="11"/>
  <c r="H54" i="11" s="1"/>
  <c r="G53" i="9"/>
  <c r="H53" i="9" s="1"/>
  <c r="G54" i="8"/>
  <c r="H53" i="8"/>
  <c r="G56" i="10" l="1"/>
  <c r="H55" i="10"/>
  <c r="G55" i="11"/>
  <c r="H55" i="11" s="1"/>
  <c r="E57" i="11"/>
  <c r="F57" i="11" s="1"/>
  <c r="G54" i="9"/>
  <c r="H54" i="9" s="1"/>
  <c r="G55" i="8"/>
  <c r="H54" i="8"/>
  <c r="G57" i="10" l="1"/>
  <c r="H56" i="10"/>
  <c r="E58" i="11"/>
  <c r="F58" i="11" s="1"/>
  <c r="G56" i="11"/>
  <c r="H56" i="11" s="1"/>
  <c r="G55" i="9"/>
  <c r="H55" i="9" s="1"/>
  <c r="G56" i="8"/>
  <c r="H55" i="8"/>
  <c r="G58" i="10" l="1"/>
  <c r="H57" i="10"/>
  <c r="G57" i="11"/>
  <c r="H57" i="11" s="1"/>
  <c r="E59" i="11"/>
  <c r="F59" i="11" s="1"/>
  <c r="G56" i="9"/>
  <c r="H56" i="9" s="1"/>
  <c r="G57" i="8"/>
  <c r="H56" i="8"/>
  <c r="G59" i="10" l="1"/>
  <c r="H58" i="10"/>
  <c r="E60" i="11"/>
  <c r="F60" i="11" s="1"/>
  <c r="G58" i="11"/>
  <c r="H58" i="11" s="1"/>
  <c r="G57" i="9"/>
  <c r="H57" i="9" s="1"/>
  <c r="H57" i="8"/>
  <c r="G58" i="8"/>
  <c r="G60" i="10" l="1"/>
  <c r="H59" i="10"/>
  <c r="G59" i="11"/>
  <c r="H59" i="11" s="1"/>
  <c r="E61" i="11"/>
  <c r="F61" i="11" s="1"/>
  <c r="G58" i="9"/>
  <c r="H58" i="9" s="1"/>
  <c r="G59" i="8"/>
  <c r="H58" i="8"/>
  <c r="G61" i="10" l="1"/>
  <c r="H60" i="10"/>
  <c r="E62" i="11"/>
  <c r="F62" i="11" s="1"/>
  <c r="G60" i="11"/>
  <c r="H60" i="11" s="1"/>
  <c r="G59" i="9"/>
  <c r="H59" i="9" s="1"/>
  <c r="G60" i="8"/>
  <c r="H59" i="8"/>
  <c r="G62" i="10" l="1"/>
  <c r="H61" i="10"/>
  <c r="G61" i="11"/>
  <c r="H61" i="11" s="1"/>
  <c r="E63" i="11"/>
  <c r="F63" i="11" s="1"/>
  <c r="G60" i="9"/>
  <c r="H60" i="9" s="1"/>
  <c r="G61" i="8"/>
  <c r="H60" i="8"/>
  <c r="G63" i="10" l="1"/>
  <c r="H62" i="10"/>
  <c r="E64" i="11"/>
  <c r="F64" i="11" s="1"/>
  <c r="G62" i="11"/>
  <c r="H62" i="11" s="1"/>
  <c r="G61" i="9"/>
  <c r="H61" i="9" s="1"/>
  <c r="G62" i="8"/>
  <c r="H61" i="8"/>
  <c r="G64" i="10" l="1"/>
  <c r="H63" i="10"/>
  <c r="G63" i="11"/>
  <c r="H63" i="11" s="1"/>
  <c r="E65" i="11"/>
  <c r="F65" i="11" s="1"/>
  <c r="G62" i="9"/>
  <c r="H62" i="9" s="1"/>
  <c r="G63" i="8"/>
  <c r="H62" i="8"/>
  <c r="G65" i="10" l="1"/>
  <c r="H64" i="10"/>
  <c r="E66" i="11"/>
  <c r="F66" i="11" s="1"/>
  <c r="G64" i="11"/>
  <c r="H64" i="11" s="1"/>
  <c r="G63" i="9"/>
  <c r="H63" i="9" s="1"/>
  <c r="H63" i="8"/>
  <c r="G64" i="8"/>
  <c r="G66" i="10" l="1"/>
  <c r="H65" i="10"/>
  <c r="G65" i="11"/>
  <c r="H65" i="11" s="1"/>
  <c r="E67" i="11"/>
  <c r="F67" i="11" s="1"/>
  <c r="G64" i="9"/>
  <c r="H64" i="9" s="1"/>
  <c r="G65" i="8"/>
  <c r="H64" i="8"/>
  <c r="G67" i="10" l="1"/>
  <c r="H66" i="10"/>
  <c r="E68" i="11"/>
  <c r="F68" i="11" s="1"/>
  <c r="G66" i="11"/>
  <c r="H66" i="11" s="1"/>
  <c r="G65" i="9"/>
  <c r="H65" i="9" s="1"/>
  <c r="H65" i="8"/>
  <c r="G66" i="8"/>
  <c r="G68" i="10" l="1"/>
  <c r="H67" i="10"/>
  <c r="G67" i="11"/>
  <c r="H67" i="11" s="1"/>
  <c r="E69" i="11"/>
  <c r="F69" i="11" s="1"/>
  <c r="G66" i="9"/>
  <c r="H66" i="9" s="1"/>
  <c r="G67" i="8"/>
  <c r="H66" i="8"/>
  <c r="G69" i="10" l="1"/>
  <c r="H68" i="10"/>
  <c r="G68" i="11"/>
  <c r="H68" i="11" s="1"/>
  <c r="E70" i="11"/>
  <c r="F70" i="11" s="1"/>
  <c r="G67" i="9"/>
  <c r="H67" i="9" s="1"/>
  <c r="G68" i="8"/>
  <c r="H67" i="8"/>
  <c r="G70" i="10" l="1"/>
  <c r="H69" i="10"/>
  <c r="E71" i="11"/>
  <c r="F71" i="11" s="1"/>
  <c r="G69" i="11"/>
  <c r="H69" i="11" s="1"/>
  <c r="G68" i="9"/>
  <c r="H68" i="9" s="1"/>
  <c r="G69" i="8"/>
  <c r="H68" i="8"/>
  <c r="G71" i="10" l="1"/>
  <c r="H70" i="10"/>
  <c r="G70" i="11"/>
  <c r="H70" i="11" s="1"/>
  <c r="E72" i="11"/>
  <c r="F72" i="11" s="1"/>
  <c r="G69" i="9"/>
  <c r="H69" i="9" s="1"/>
  <c r="G70" i="8"/>
  <c r="H69" i="8"/>
  <c r="G72" i="10" l="1"/>
  <c r="H71" i="10"/>
  <c r="E73" i="11"/>
  <c r="F73" i="11" s="1"/>
  <c r="G71" i="11"/>
  <c r="H71" i="11" s="1"/>
  <c r="G70" i="9"/>
  <c r="H70" i="9" s="1"/>
  <c r="G71" i="8"/>
  <c r="H70" i="8"/>
  <c r="G73" i="10" l="1"/>
  <c r="H72" i="10"/>
  <c r="G72" i="11"/>
  <c r="H72" i="11" s="1"/>
  <c r="E74" i="11"/>
  <c r="F74" i="11" s="1"/>
  <c r="G71" i="9"/>
  <c r="H71" i="9" s="1"/>
  <c r="G72" i="8"/>
  <c r="H71" i="8"/>
  <c r="G74" i="10" l="1"/>
  <c r="H73" i="10"/>
  <c r="E75" i="11"/>
  <c r="F75" i="11" s="1"/>
  <c r="G73" i="11"/>
  <c r="H73" i="11" s="1"/>
  <c r="G72" i="9"/>
  <c r="H72" i="9" s="1"/>
  <c r="G73" i="8"/>
  <c r="H72" i="8"/>
  <c r="G75" i="10" l="1"/>
  <c r="H74" i="10"/>
  <c r="G74" i="11"/>
  <c r="H74" i="11" s="1"/>
  <c r="E76" i="11"/>
  <c r="F76" i="11" s="1"/>
  <c r="G73" i="9"/>
  <c r="H73" i="9" s="1"/>
  <c r="H73" i="8"/>
  <c r="G74" i="8"/>
  <c r="G76" i="10" l="1"/>
  <c r="H75" i="10"/>
  <c r="E77" i="11"/>
  <c r="F77" i="11" s="1"/>
  <c r="G75" i="11"/>
  <c r="H75" i="11" s="1"/>
  <c r="G74" i="9"/>
  <c r="H74" i="9" s="1"/>
  <c r="G75" i="8"/>
  <c r="H74" i="8"/>
  <c r="G77" i="10" l="1"/>
  <c r="H76" i="10"/>
  <c r="G76" i="11"/>
  <c r="H76" i="11" s="1"/>
  <c r="E78" i="11"/>
  <c r="F78" i="11" s="1"/>
  <c r="G75" i="9"/>
  <c r="H75" i="9" s="1"/>
  <c r="G76" i="8"/>
  <c r="H75" i="8"/>
  <c r="G78" i="10" l="1"/>
  <c r="H77" i="10"/>
  <c r="E79" i="11"/>
  <c r="F79" i="11" s="1"/>
  <c r="G77" i="11"/>
  <c r="H77" i="11" s="1"/>
  <c r="G76" i="9"/>
  <c r="H76" i="9" s="1"/>
  <c r="G77" i="8"/>
  <c r="H76" i="8"/>
  <c r="G79" i="10" l="1"/>
  <c r="H78" i="10"/>
  <c r="G78" i="11"/>
  <c r="H78" i="11" s="1"/>
  <c r="E80" i="11"/>
  <c r="F80" i="11" s="1"/>
  <c r="G77" i="9"/>
  <c r="H77" i="9" s="1"/>
  <c r="G78" i="8"/>
  <c r="H77" i="8"/>
  <c r="G80" i="10" l="1"/>
  <c r="H79" i="10"/>
  <c r="E81" i="11"/>
  <c r="F81" i="11" s="1"/>
  <c r="G79" i="11"/>
  <c r="H79" i="11" s="1"/>
  <c r="G78" i="9"/>
  <c r="H78" i="9" s="1"/>
  <c r="G79" i="8"/>
  <c r="H78" i="8"/>
  <c r="G81" i="10" l="1"/>
  <c r="H80" i="10"/>
  <c r="G80" i="11"/>
  <c r="H80" i="11" s="1"/>
  <c r="E82" i="11"/>
  <c r="F82" i="11" s="1"/>
  <c r="G79" i="9"/>
  <c r="H79" i="9" s="1"/>
  <c r="G80" i="8"/>
  <c r="H79" i="8"/>
  <c r="G82" i="10" l="1"/>
  <c r="H81" i="10"/>
  <c r="E83" i="11"/>
  <c r="F83" i="11" s="1"/>
  <c r="G81" i="11"/>
  <c r="H81" i="11" s="1"/>
  <c r="G80" i="9"/>
  <c r="H80" i="9" s="1"/>
  <c r="G81" i="8"/>
  <c r="H80" i="8"/>
  <c r="G83" i="10" l="1"/>
  <c r="H82" i="10"/>
  <c r="E84" i="11"/>
  <c r="F84" i="11" s="1"/>
  <c r="G82" i="11"/>
  <c r="H82" i="11" s="1"/>
  <c r="G81" i="9"/>
  <c r="H81" i="9" s="1"/>
  <c r="G82" i="8"/>
  <c r="H81" i="8"/>
  <c r="G84" i="10" l="1"/>
  <c r="H83" i="10"/>
  <c r="G83" i="11"/>
  <c r="H83" i="11" s="1"/>
  <c r="E85" i="11"/>
  <c r="F85" i="11" s="1"/>
  <c r="G82" i="9"/>
  <c r="H82" i="9" s="1"/>
  <c r="G83" i="8"/>
  <c r="H82" i="8"/>
  <c r="G85" i="10" l="1"/>
  <c r="H84" i="10"/>
  <c r="E86" i="11"/>
  <c r="F86" i="11" s="1"/>
  <c r="G84" i="11"/>
  <c r="H84" i="11" s="1"/>
  <c r="G83" i="9"/>
  <c r="H83" i="9" s="1"/>
  <c r="G84" i="8"/>
  <c r="H83" i="8"/>
  <c r="G86" i="10" l="1"/>
  <c r="H85" i="10"/>
  <c r="G85" i="11"/>
  <c r="H85" i="11" s="1"/>
  <c r="E87" i="11"/>
  <c r="F87" i="11" s="1"/>
  <c r="G84" i="9"/>
  <c r="H84" i="9" s="1"/>
  <c r="G85" i="8"/>
  <c r="H84" i="8"/>
  <c r="G87" i="10" l="1"/>
  <c r="H87" i="10" s="1"/>
  <c r="H86" i="10"/>
  <c r="G86" i="11"/>
  <c r="H86" i="11" s="1"/>
  <c r="G85" i="9"/>
  <c r="H85" i="9" s="1"/>
  <c r="G86" i="8"/>
  <c r="H85" i="8"/>
  <c r="G87" i="11" l="1"/>
  <c r="H87" i="11" s="1"/>
  <c r="G86" i="9"/>
  <c r="H86" i="9" s="1"/>
  <c r="G87" i="8"/>
  <c r="H87" i="8" s="1"/>
  <c r="H86" i="8"/>
  <c r="G87" i="9" l="1"/>
  <c r="H87" i="9" s="1"/>
  <c r="C14" i="14" l="1"/>
  <c r="C12" i="14"/>
  <c r="C15"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R8" authorId="0" shapeId="0" xr:uid="{57EFF190-1959-47F3-8A1B-289EFC206D1F}">
      <text>
        <r>
          <rPr>
            <sz val="9"/>
            <color indexed="81"/>
            <rFont val="Tahoma"/>
            <family val="2"/>
          </rPr>
          <t>Different from Table
Typo Error</t>
        </r>
      </text>
    </comment>
    <comment ref="R19" authorId="0" shapeId="0" xr:uid="{C38BA1E4-1797-4DD7-859D-99D6F3AB3EAF}">
      <text>
        <r>
          <rPr>
            <sz val="9"/>
            <color indexed="81"/>
            <rFont val="Tahoma"/>
            <family val="2"/>
          </rPr>
          <t>Different from Table
Typo Error</t>
        </r>
      </text>
    </comment>
    <comment ref="F24" authorId="0" shapeId="0" xr:uid="{5F8D5430-6901-47BA-80F0-62303B1E2F96}">
      <text>
        <r>
          <rPr>
            <b/>
            <sz val="9"/>
            <color indexed="81"/>
            <rFont val="Tahoma"/>
            <charset val="1"/>
          </rPr>
          <t>3,644,235.00</t>
        </r>
      </text>
    </comment>
    <comment ref="F29" authorId="0" shapeId="0" xr:uid="{77C5DE4F-7457-4E4B-A19A-74DEC581ABAD}">
      <text>
        <r>
          <rPr>
            <b/>
            <sz val="9"/>
            <color indexed="81"/>
            <rFont val="Tahoma"/>
            <charset val="1"/>
          </rPr>
          <t>875,000</t>
        </r>
      </text>
    </comment>
    <comment ref="F31" authorId="0" shapeId="0" xr:uid="{C3B15F89-3145-410D-BCAE-45EA559810B9}">
      <text>
        <r>
          <rPr>
            <b/>
            <sz val="9"/>
            <color indexed="81"/>
            <rFont val="Tahoma"/>
            <charset val="1"/>
          </rPr>
          <t>15,000,000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Q8" authorId="0" shapeId="0" xr:uid="{15FB81B7-DEFA-4FBA-BDBC-4BA0432D4130}">
      <text>
        <r>
          <rPr>
            <sz val="9"/>
            <color indexed="81"/>
            <rFont val="Tahoma"/>
            <family val="2"/>
          </rPr>
          <t>Different from Table
Typo Error</t>
        </r>
      </text>
    </comment>
    <comment ref="Q19" authorId="0" shapeId="0" xr:uid="{7DD6DC9A-A77E-46AB-94C9-746AC7C9A0CE}">
      <text>
        <r>
          <rPr>
            <sz val="9"/>
            <color indexed="81"/>
            <rFont val="Tahoma"/>
            <family val="2"/>
          </rPr>
          <t>Different from Table
Typo Error</t>
        </r>
      </text>
    </comment>
  </commentList>
</comments>
</file>

<file path=xl/sharedStrings.xml><?xml version="1.0" encoding="utf-8"?>
<sst xmlns="http://schemas.openxmlformats.org/spreadsheetml/2006/main" count="2074" uniqueCount="426">
  <si>
    <t>A</t>
  </si>
  <si>
    <t>B</t>
  </si>
  <si>
    <t>C</t>
  </si>
  <si>
    <t>E</t>
  </si>
  <si>
    <t>F</t>
  </si>
  <si>
    <t>H</t>
  </si>
  <si>
    <t>I</t>
  </si>
  <si>
    <t>L</t>
  </si>
  <si>
    <t>Contract Package</t>
  </si>
  <si>
    <t>CONTRACTOR</t>
  </si>
  <si>
    <t>Initial Cost Plan</t>
  </si>
  <si>
    <t>Budget Transfer</t>
  </si>
  <si>
    <t>Reserve | Risk</t>
  </si>
  <si>
    <t>Variance</t>
  </si>
  <si>
    <t>Construction Management</t>
  </si>
  <si>
    <t>TENMAN Project Management</t>
  </si>
  <si>
    <t>C02</t>
  </si>
  <si>
    <t>LEED Consultant</t>
  </si>
  <si>
    <t>DEAN BARONE</t>
  </si>
  <si>
    <t>C03</t>
  </si>
  <si>
    <t>Architectural Services</t>
  </si>
  <si>
    <t>AIDEA</t>
  </si>
  <si>
    <t>C04</t>
  </si>
  <si>
    <t>SY2</t>
  </si>
  <si>
    <t>C05</t>
  </si>
  <si>
    <t>(MPI) Meinhardt Philippines Inc.</t>
  </si>
  <si>
    <t>C06</t>
  </si>
  <si>
    <t>ESCA</t>
  </si>
  <si>
    <t>C07</t>
  </si>
  <si>
    <t>FaÃ§ade Design Services</t>
  </si>
  <si>
    <t>LUMICON</t>
  </si>
  <si>
    <t>C08</t>
  </si>
  <si>
    <t>Landscape Design Services</t>
  </si>
  <si>
    <t>INSPIRA</t>
  </si>
  <si>
    <t>C09</t>
  </si>
  <si>
    <t>(QSI) Quantity Solutions Inc.</t>
  </si>
  <si>
    <t>C10</t>
  </si>
  <si>
    <t>COMMTECH INC.</t>
  </si>
  <si>
    <t>1000 Preliminaries</t>
  </si>
  <si>
    <t>1001</t>
  </si>
  <si>
    <t>New Forma</t>
  </si>
  <si>
    <t>CARI</t>
  </si>
  <si>
    <t>Insurances</t>
  </si>
  <si>
    <t>PNX Udenna Insurance Brokers</t>
  </si>
  <si>
    <t>OP01</t>
  </si>
  <si>
    <t>Cement (Supply only)</t>
  </si>
  <si>
    <t>HOLCIM</t>
  </si>
  <si>
    <t>OP02</t>
  </si>
  <si>
    <t>Reinforcing Steel (OSM)</t>
  </si>
  <si>
    <t>CP30</t>
  </si>
  <si>
    <t>VONOTEC, INC.</t>
  </si>
  <si>
    <t>CP11</t>
  </si>
  <si>
    <t>CP11A</t>
  </si>
  <si>
    <t>DALKIA INCORPORATED</t>
  </si>
  <si>
    <t>CP21</t>
  </si>
  <si>
    <t>4000 Builders Work</t>
  </si>
  <si>
    <t>CP01A</t>
  </si>
  <si>
    <t>OP33</t>
  </si>
  <si>
    <t>Door Hardwares</t>
  </si>
  <si>
    <t>TECHNOINOX CORPORATION</t>
  </si>
  <si>
    <t>Interior Fit-Out Works</t>
  </si>
  <si>
    <t>EE BLACK LTD</t>
  </si>
  <si>
    <t>Electrical Works</t>
  </si>
  <si>
    <t>CP05A</t>
  </si>
  <si>
    <t>CP05B</t>
  </si>
  <si>
    <t>CP07</t>
  </si>
  <si>
    <t>Plumbing &amp; Sanitary Works</t>
  </si>
  <si>
    <t>CP08</t>
  </si>
  <si>
    <t>Fire Protection Works</t>
  </si>
  <si>
    <t>CP09</t>
  </si>
  <si>
    <t>Mechanical Works</t>
  </si>
  <si>
    <t>CP13</t>
  </si>
  <si>
    <t>Vertical Transport System</t>
  </si>
  <si>
    <t>CP15</t>
  </si>
  <si>
    <t>Generator Works</t>
  </si>
  <si>
    <t>OP12</t>
  </si>
  <si>
    <t>Power Transformer (OSM)</t>
  </si>
  <si>
    <t>OP13</t>
  </si>
  <si>
    <t>Lighting Fixture</t>
  </si>
  <si>
    <t>OP15</t>
  </si>
  <si>
    <t>Plumbing Fixture</t>
  </si>
  <si>
    <t>LIXIL PHILIPPINES</t>
  </si>
  <si>
    <t>OP18</t>
  </si>
  <si>
    <t>Fire Extinguishers</t>
  </si>
  <si>
    <t>*** TBC ***</t>
  </si>
  <si>
    <t>OP27</t>
  </si>
  <si>
    <t>CP05D</t>
  </si>
  <si>
    <t>CP06E</t>
  </si>
  <si>
    <t>CP06F</t>
  </si>
  <si>
    <t>CP26</t>
  </si>
  <si>
    <t>Seismic Monitoring</t>
  </si>
  <si>
    <t>CP31</t>
  </si>
  <si>
    <t>Experiential Graphic Design (XGD)</t>
  </si>
  <si>
    <t>8000 External Works</t>
  </si>
  <si>
    <t>CP17</t>
  </si>
  <si>
    <t>OP30</t>
  </si>
  <si>
    <t>Exterior Paving Tiles</t>
  </si>
  <si>
    <t>Buying Gains/ Losses</t>
  </si>
  <si>
    <t>D = A + B+ C</t>
  </si>
  <si>
    <t>G = E + F</t>
  </si>
  <si>
    <t>J = G+ H + I</t>
  </si>
  <si>
    <t>K = D - J</t>
  </si>
  <si>
    <t>Estimated Instruction [CRs]</t>
  </si>
  <si>
    <t>Orders Placed [Awarded]</t>
  </si>
  <si>
    <t>Cost Centre</t>
  </si>
  <si>
    <t>WP No.</t>
  </si>
  <si>
    <t>Additional Budget</t>
  </si>
  <si>
    <t>Current Cost Plan</t>
  </si>
  <si>
    <t>Current Commitment</t>
  </si>
  <si>
    <t>Orders Not Placed</t>
  </si>
  <si>
    <t>Forecast Final Cost</t>
  </si>
  <si>
    <t>Net Certfied Amount</t>
  </si>
  <si>
    <t>C01</t>
  </si>
  <si>
    <t>0100 Consultants</t>
  </si>
  <si>
    <t>2000 Structure &amp; General Sitewide Prelims</t>
  </si>
  <si>
    <t>3000 Facade</t>
  </si>
  <si>
    <t>5000 Fit-Out</t>
  </si>
  <si>
    <t>CP04</t>
  </si>
  <si>
    <t>CP20</t>
  </si>
  <si>
    <t>6000 Mechanical, Electrical, Plumbing &amp; Fire (MEPF)</t>
  </si>
  <si>
    <t>7000 Electrical Low Voltage (ELV)</t>
  </si>
  <si>
    <t>CP05C</t>
  </si>
  <si>
    <t>9000 Contingencies</t>
  </si>
  <si>
    <t>Structural Design Engineering Services</t>
  </si>
  <si>
    <t>MEPF Design Engineering Services</t>
  </si>
  <si>
    <t>Cost Consultant / Quantity Surveying Services</t>
  </si>
  <si>
    <t>Third Party Testing and Commissioning</t>
  </si>
  <si>
    <t>Document Control / EDMS / Project Cloud</t>
  </si>
  <si>
    <t>TERP ASIA CONSTRUCTION CORPORATION</t>
  </si>
  <si>
    <t>Structure and General Sitewide Prelims</t>
  </si>
  <si>
    <t>CP01</t>
  </si>
  <si>
    <t>STEEL ASIA MANUFACTURING</t>
  </si>
  <si>
    <t>Building Maintenance / Access / BMU</t>
  </si>
  <si>
    <t>Curtain Wall &amp; Structural Steel (Bldg.C&amp;D)</t>
  </si>
  <si>
    <t>Curtain Wall &amp; Structural Steel (Bldg.E)</t>
  </si>
  <si>
    <t>Supply &amp; Apply Waterproofing to Toilets, Doghouses &amp; Roof Deck, Mechanical Rooms and Landscape Areas</t>
  </si>
  <si>
    <t>HIGH PERFORMANCE SOLUTIONS INC.</t>
  </si>
  <si>
    <t>GLAZETECH GLASS &amp; ALUMINUM INSTALLATION INC</t>
  </si>
  <si>
    <t>Masonry &amp; Rendering, Metal Doors &amp; Hardwares, Office FloorMasonry &amp; Rendering, Metal Doors &amp; Hardwares, Office Floor Toppings Etc.</t>
  </si>
  <si>
    <t xml:space="preserve"> BETA ELECTRIC CORPORATION</t>
  </si>
  <si>
    <t>Building Management System (BMS)</t>
  </si>
  <si>
    <t>Fire Detection &amp; Alarm System (FDAS)</t>
  </si>
  <si>
    <t>JARDINE SCHINDLER ELEVATOR CORPORATION</t>
  </si>
  <si>
    <t>POWERGEN INTEGRATED SOLUTIONS COMPANY, LTD</t>
  </si>
  <si>
    <t>GENTEC DISTRIBUTION CORPORATION</t>
  </si>
  <si>
    <t>STEALTH VENTURES CORPORATION</t>
  </si>
  <si>
    <t>Supply and Delivery of Air Conditioning System - VRF</t>
  </si>
  <si>
    <t>DAIKIN AIRCONDITIONING PHILIPPINES INC.</t>
  </si>
  <si>
    <t>Community Distributive Antenna System (CDAS)</t>
  </si>
  <si>
    <t>Structured Cabling System &amp; Public Address (SCS &amp; PA)</t>
  </si>
  <si>
    <t>BETA ELECTRIC CORPORATION</t>
  </si>
  <si>
    <t>SUBIC BAY CONSULTANCY AND ALLIED SERVICES CORPORATION</t>
  </si>
  <si>
    <t>Access Control, Guard Tour and Turnstile</t>
  </si>
  <si>
    <t>Closed Circuit Television System (CCTV)</t>
  </si>
  <si>
    <t>PRESTIGE ADVANCE SYSTEMS INCORPORATED</t>
  </si>
  <si>
    <t>Landscape (Softscape, Hardscape &amp; Exterior Tiles)</t>
  </si>
  <si>
    <t>GREEN ENVIROSCAPE SERVICES INC.</t>
  </si>
  <si>
    <t>Building Information Modelling (BIM) Services</t>
  </si>
  <si>
    <t>Con</t>
  </si>
  <si>
    <t>Budget_Total</t>
  </si>
  <si>
    <t>Awarded_Total</t>
  </si>
  <si>
    <t>Items</t>
  </si>
  <si>
    <t>Main Package</t>
  </si>
  <si>
    <t>Awarded_C</t>
  </si>
  <si>
    <t>Awarded_D</t>
  </si>
  <si>
    <t>Awarded_E</t>
  </si>
  <si>
    <t>Budget_C</t>
  </si>
  <si>
    <t>Budget_D</t>
  </si>
  <si>
    <t>Budget_E</t>
  </si>
  <si>
    <t>Remarks</t>
  </si>
  <si>
    <t>Testing &amp; Commissioning (3rd Party)</t>
  </si>
  <si>
    <t xml:space="preserve">Structure and General Sitewide </t>
  </si>
  <si>
    <t>CP01a</t>
  </si>
  <si>
    <t>Masonry &amp; Rendering, Metal
Doors &amp; Hardwares, Office Floor</t>
  </si>
  <si>
    <t xml:space="preserve">Electrical Works </t>
  </si>
  <si>
    <t>Building Management System
(BMS)</t>
  </si>
  <si>
    <t xml:space="preserve">Fire Detection &amp; Alarm System </t>
  </si>
  <si>
    <t>Structured Cabling System &amp;
Public Address (SCS &amp; PA)</t>
  </si>
  <si>
    <t xml:space="preserve">Access Control, Guard Tour and </t>
  </si>
  <si>
    <t>Closed Circuit Television System
(CCTV)</t>
  </si>
  <si>
    <t xml:space="preserve">Plumbing &amp; Sanitary Works </t>
  </si>
  <si>
    <t xml:space="preserve">Fire Protection Works </t>
  </si>
  <si>
    <t xml:space="preserve">Mechanical Works </t>
  </si>
  <si>
    <t>Curtain Wall &amp; Structural Steel
(Bldg.C&amp;D)</t>
  </si>
  <si>
    <t>CP11a</t>
  </si>
  <si>
    <t>Curtain Wall &amp; Structural Steel
(Bldg.E)</t>
  </si>
  <si>
    <t xml:space="preserve">Generator Works </t>
  </si>
  <si>
    <t>Landscape (Softscape,
Hardscape &amp; Exterior Tiles)</t>
  </si>
  <si>
    <t xml:space="preserve">Fit-Out Works </t>
  </si>
  <si>
    <t xml:space="preserve">Waterproofing </t>
  </si>
  <si>
    <t>Building Maintenance Unit
(BMU)</t>
  </si>
  <si>
    <t>Experiential Graphic Design
(XGD)</t>
  </si>
  <si>
    <t xml:space="preserve">Lighting Fixture </t>
  </si>
  <si>
    <t>Total</t>
  </si>
  <si>
    <t xml:space="preserve">Vertical Transport System </t>
  </si>
  <si>
    <t xml:space="preserve">LEED Consultant </t>
  </si>
  <si>
    <t xml:space="preserve">Architectural Services </t>
  </si>
  <si>
    <t>Structural Design Engineering
Services</t>
  </si>
  <si>
    <t>MEPF Design Engineering
Services</t>
  </si>
  <si>
    <t>Building Information Modelling
(BIM) Services</t>
  </si>
  <si>
    <t xml:space="preserve">Façade Design Services </t>
  </si>
  <si>
    <t xml:space="preserve">Landscape Design Services </t>
  </si>
  <si>
    <t>Cost Consultant / Quantity
Surveying Services</t>
  </si>
  <si>
    <t xml:space="preserve">Insurances </t>
  </si>
  <si>
    <t xml:space="preserve">Cement (Supply only) </t>
  </si>
  <si>
    <t xml:space="preserve">Reinforcing Steel (OSM) </t>
  </si>
  <si>
    <t xml:space="preserve">Door Hardwares </t>
  </si>
  <si>
    <t xml:space="preserve">Power Transformer (OSM) </t>
  </si>
  <si>
    <t xml:space="preserve">Plumbing Fixture </t>
  </si>
  <si>
    <t xml:space="preserve">Fire Extinguishers </t>
  </si>
  <si>
    <t>Supply and Delivery of Air
Conditioning System - VRF</t>
  </si>
  <si>
    <t>Community Distributive Antenna
System (CDAS)</t>
  </si>
  <si>
    <t xml:space="preserve">Seismic Monitoring </t>
  </si>
  <si>
    <t xml:space="preserve">Contingencies </t>
  </si>
  <si>
    <t>Check_Awarded_Total</t>
  </si>
  <si>
    <t>Check_Budget_Total</t>
  </si>
  <si>
    <t>Diff_Awarded</t>
  </si>
  <si>
    <t>Diff_Budget</t>
  </si>
  <si>
    <t>Grand_Total</t>
  </si>
  <si>
    <t>Item</t>
  </si>
  <si>
    <t>Description</t>
  </si>
  <si>
    <t>Difference in Net Certfied Amount between May and June 2020 reporting</t>
  </si>
  <si>
    <t>Difference between WAP2-Project-Cost-Report_June-2020 &amp; Indicative Forecast_Cost to Complete</t>
  </si>
  <si>
    <t>Difference budgeted cost (Current Cost Plan) for some of the packages between the two file but with similar total cost.</t>
  </si>
  <si>
    <t>Provided information on the Indicative Forecast File is separated into buildings C,D &amp; E while WAP-Project-Cost consider only the total.</t>
  </si>
  <si>
    <t>ContractPackage</t>
  </si>
  <si>
    <t>ConfirmedPayment</t>
  </si>
  <si>
    <t>PercentAwarded</t>
  </si>
  <si>
    <t>PercentBudget</t>
  </si>
  <si>
    <t>Certified_Progress</t>
  </si>
  <si>
    <t>ContractStatus</t>
  </si>
  <si>
    <t>Downpayment %</t>
  </si>
  <si>
    <t>Downpayment_Amt</t>
  </si>
  <si>
    <t>Billing_Progress</t>
  </si>
  <si>
    <t>Billing_Progress_perc</t>
  </si>
  <si>
    <t>Date</t>
  </si>
  <si>
    <t>Week</t>
  </si>
  <si>
    <t>Cum_Plan_Percent</t>
  </si>
  <si>
    <t>Cum_Award_Plan</t>
  </si>
  <si>
    <t>Actual_award_Percent</t>
  </si>
  <si>
    <t>Cum_Actual_Value_award</t>
  </si>
  <si>
    <t>Predict_percent</t>
  </si>
  <si>
    <t>Predict_value</t>
  </si>
  <si>
    <t>Payment_percent</t>
  </si>
  <si>
    <t>Payment_to_date</t>
  </si>
  <si>
    <t>Percentage</t>
  </si>
  <si>
    <t>05/15/2018</t>
  </si>
  <si>
    <t>05/30/2018</t>
  </si>
  <si>
    <t>06/15/2018</t>
  </si>
  <si>
    <t>06/30/2018</t>
  </si>
  <si>
    <t>07/15/2018</t>
  </si>
  <si>
    <t>07/30/2018</t>
  </si>
  <si>
    <t>08/15/2018</t>
  </si>
  <si>
    <t>08/30/2018</t>
  </si>
  <si>
    <t>09/15/2018</t>
  </si>
  <si>
    <t>09/30/2018</t>
  </si>
  <si>
    <t>10/15/2018</t>
  </si>
  <si>
    <t>10/30/2018</t>
  </si>
  <si>
    <t>11/15/2018</t>
  </si>
  <si>
    <t>11/30/2018</t>
  </si>
  <si>
    <t>12/15/2018</t>
  </si>
  <si>
    <t>12/30/2018</t>
  </si>
  <si>
    <t>1/15/2019</t>
  </si>
  <si>
    <t>1/30/2019</t>
  </si>
  <si>
    <t>2/15/2019</t>
  </si>
  <si>
    <t>2/30/2019</t>
  </si>
  <si>
    <t>3/15/2019</t>
  </si>
  <si>
    <t>3/30/2019</t>
  </si>
  <si>
    <t>4/15/2019</t>
  </si>
  <si>
    <t>4/30/2019</t>
  </si>
  <si>
    <t>05/15/2019</t>
  </si>
  <si>
    <t>05/30/2019</t>
  </si>
  <si>
    <t>06/15/2019</t>
  </si>
  <si>
    <t>06/30/2019</t>
  </si>
  <si>
    <t>07/15/2019</t>
  </si>
  <si>
    <t>07/30/2019</t>
  </si>
  <si>
    <t>08/15/2019</t>
  </si>
  <si>
    <t>08/30/2019</t>
  </si>
  <si>
    <t>09/15/2019</t>
  </si>
  <si>
    <t>09/30/2019</t>
  </si>
  <si>
    <t>10/15/2019</t>
  </si>
  <si>
    <t>10/30/2019</t>
  </si>
  <si>
    <t>11/15/2019</t>
  </si>
  <si>
    <t>11/30/2019</t>
  </si>
  <si>
    <t>12/15/2019</t>
  </si>
  <si>
    <t>12/30/2019</t>
  </si>
  <si>
    <t>1/15/2020</t>
  </si>
  <si>
    <t>Termination_Demobilization</t>
  </si>
  <si>
    <t>Termination_Supplier</t>
  </si>
  <si>
    <t>Termination_Cost</t>
  </si>
  <si>
    <t>Risk_Claim_Cost</t>
  </si>
  <si>
    <t>Binary</t>
  </si>
  <si>
    <t>No contract received</t>
  </si>
  <si>
    <t>No approved payment input</t>
  </si>
  <si>
    <t>Approved payment is less than downpayment</t>
  </si>
  <si>
    <t>30% of USD (Indent)
10% of PHP (Local)</t>
  </si>
  <si>
    <t>Received but no signature proof</t>
  </si>
  <si>
    <t>Contract Package  = 338M, Approved payment is less than downpayment</t>
  </si>
  <si>
    <t>Approved_Payment</t>
  </si>
  <si>
    <t>ID</t>
  </si>
  <si>
    <t>Status</t>
  </si>
  <si>
    <t>Risk</t>
  </si>
  <si>
    <t>Value</t>
  </si>
  <si>
    <t>Risk_Level</t>
  </si>
  <si>
    <t>Project Wide</t>
  </si>
  <si>
    <t xml:space="preserve">PENDING </t>
  </si>
  <si>
    <t xml:space="preserve">Increased Cost for Consultants contracts and payments excluding TPM
cost for Building E </t>
  </si>
  <si>
    <t xml:space="preserve">Sutherland Changes - Consultant's Cost (BMS, FDAS, MVAC) </t>
  </si>
  <si>
    <t>Builder's Work</t>
  </si>
  <si>
    <t xml:space="preserve">Plastering Works in Toilet claimed by TACC </t>
  </si>
  <si>
    <t>MEPF</t>
  </si>
  <si>
    <t xml:space="preserve">Genset - Double Handling of Genset etc due to site not ready </t>
  </si>
  <si>
    <t xml:space="preserve">OP12 - Double Handling of Transformer, etc due to site not ready </t>
  </si>
  <si>
    <t xml:space="preserve">CP13 - Double Handling of Lifts due to early delivery </t>
  </si>
  <si>
    <t xml:space="preserve">Plumbing - Phase 1 Irrigation Lines not backfilled </t>
  </si>
  <si>
    <t xml:space="preserve">Offsite Storage for MVSG &amp; LVSG </t>
  </si>
  <si>
    <t xml:space="preserve">Interest Charge for Late Payment </t>
  </si>
  <si>
    <t xml:space="preserve">CP15 - processing of Genset Permit to Install </t>
  </si>
  <si>
    <t xml:space="preserve">Cancelation fee and a possible cost increase USD 145,329.07 should
the additional 6 Generators order not be fulfilled by December. </t>
  </si>
  <si>
    <t>External_Works</t>
  </si>
  <si>
    <t>Overlap in scope between the Phase 1 Landscape and Phase 2
Landscape</t>
  </si>
  <si>
    <t>Commercial</t>
  </si>
  <si>
    <t>EOT Claim projected for all contractors for 17 mos for Buildings C &amp; D
as of May 2020 (excludes 3-months COVID-19 lock down except for
plant by Terp like TC, alimaks, etc)</t>
  </si>
  <si>
    <t>EOT Claim projected for all contractors for 17 mos for Buildings E as of
May 2020 (excludes 3-months COVID-19 lock down, except for plant by
Terp like TC, alimaks, etc)</t>
  </si>
  <si>
    <t xml:space="preserve">Acceleration Cost for CSA and MEPF Contractors at Bldg E only </t>
  </si>
  <si>
    <t xml:space="preserve">CP &amp; OP Orders not placed to be transferred to the Contingency
(Anticipated to be spent) </t>
  </si>
  <si>
    <t xml:space="preserve">Allowance for Future Changes - Client/ Tenant led changes </t>
  </si>
  <si>
    <t xml:space="preserve">Contractor's Restart Cost for Building C &amp; D </t>
  </si>
  <si>
    <t xml:space="preserve">Additional TACC Labor Impact Cost due to deceleration </t>
  </si>
  <si>
    <t xml:space="preserve">Possible termination of Façade Contract for Building C &amp; D </t>
  </si>
  <si>
    <t xml:space="preserve">2nd Extension of CARI (1st extension expires on 04 Apr 2020) </t>
  </si>
  <si>
    <t xml:space="preserve">Additional 3rd Party T &amp; C Cost due different completion dates of each
Buildings </t>
  </si>
  <si>
    <t xml:space="preserve">COVID-19 regulatory cost impact </t>
  </si>
  <si>
    <t xml:space="preserve">Works Funded from Other Budget - Sutherland </t>
  </si>
  <si>
    <t>This will be likely due to extra meetings &amp; site visits 20% of consultant budget.</t>
  </si>
  <si>
    <t>This is possible and quantum difficult to estimate right now.</t>
  </si>
  <si>
    <t>Note: -Updated to include labor components of Bldg D that was missed out previously - Replied to all Contractors for Labor Escalation Claim requesting for the supporting documents for assessment. - 11/15:(total awarded amount*30%)/512)*25 - Recent wage increase which was implemented in Region 3 was not applied by the Contractor only taking into account the NCR wage increase alone.</t>
  </si>
  <si>
    <t>- Increased for Sep 2019 cost report as per high level estimate from QSI (Php 2.5M) - Allowance for additional cost to design changes</t>
  </si>
  <si>
    <t>- Agreed Php 10.5M, please refer to Glenson Lim email dated 12 Feb 2020 to Malcolm Ward and David Meade, CR to be raised upon receipt of details of agreed amount. Cost to be advised after meeting between GGDC and TACC -Refer to CGC-L-WAP2-TER-0030 dated 12 Nov 2019 for the letter response of GGDC on the claim of TACC</t>
  </si>
  <si>
    <t>10/2019; risk likelihood was increased to 75% from 50% 07/2019: Reduced allowance due to Genset pull out 06/2019: CP15 to claim for Permit to Install 03/2019: Adjusted due to GGDC provision of lay-down area 01/2019: Overall Allowance covers transportation and lifting facilities. 12/2018: Possibly come early as contractor now producing even w/out payment; Allowance for Mobile Crane 100T - 700k @ 2 days; 60T - 450k for 4 days</t>
  </si>
  <si>
    <t>10/2019; risk likelihood was increased to 75% from 50% '03/2019: Adjusted due to GGDC provision of slay-down area Possibly come early as contractor now producing; Allowance for Mobile Crane 60T - 450k for 4 days</t>
  </si>
  <si>
    <t>10/2019; risk likelihood was increased to 75% from 50% '03/2019: Adjusted due to GGDC provision of slay-down area 02/2019: Adjusted to reflect the revised cost but used factor 75% from previously submitted rate. 01/2019: Factored 60% from Contractor's submitted quotation (Approx Cost - 5.021M 12/2018: Minimal risk; possible to use the Owner's laydown area; Contractor to advise if laydown area can be used</t>
  </si>
  <si>
    <t>Allowance</t>
  </si>
  <si>
    <t>-BEC is still claiming for 1 month storage cost as per letter ref BEC_LET_WAP2_CP04_0061. - Allowance for Storage Facility considered for 6 months '- Cancelled, BEC instructed to deliver MVSG and LVSG at temporay carpark warehouse of GGDC, letter ref. CGC-L-WAP2-046</t>
  </si>
  <si>
    <t>- Allowance considered for 3 months, please refer to Glenson Lim's email dated 19 Aug 2019. - Please refer to JSEC letter ref JSEC_LET_WAP2_0020 dated 02 July 2019.</t>
  </si>
  <si>
    <t>-WAP2_CR_0148 raised for costing by QSI Allowance considered , please refer to GGDC letter ref CGC-L WAP2-PIS-0004 dated 20 Aug 2019 - Please refer to quotation from Powergen dated 07 Nov 2019 (Php 160k) Missed in the original building permit</t>
  </si>
  <si>
    <t>Powergen informed GGDC thru their letter dated 27 December 2019 stating that Cummins UK has cancelled their order for Bldg C &amp; D due to non payment in full and will bill them separately the cancellation charges amounting to 2.6M Php Powergen informed GGDC thru their letter dated 25 Oct 2019 attached to this letter of a possible cost claim regarding cancellation fee from Cummins. This was reiterated by TPM on 18 Nov 2019 email. On 17 Dec 2019, Ysmael of Powergen called TPM  advising that they had been penalised by Cummins Philippines. G ELECTRICAL LOW VOLTAGE</t>
  </si>
  <si>
    <t>Calculation based on the reduced Bldg C &amp; D Prolongation Cost due to inactivity Updated calculation based on the latest EoT claim by Terp (CP01 and CP01A).</t>
  </si>
  <si>
    <t>Calculation based on the reduced days of delays with reference to original completion date of CP01 ie 17 months from Oct 2018. Updated calculation based on the latest EoT claim by Terp (CP01 and CP01A)</t>
  </si>
  <si>
    <t>PMI for Acceleration of the Works at Building E was issued to all Contractors as of 06 Mar 2020. No cost allowance as this was not implemented due to sudden work stoppage notice from GGDC dated 18 Mar 2020. PMI needs to be superseded / cancelled.</t>
  </si>
  <si>
    <t>Remaining Allowance for ONP; CR to return budget to Contingency was already carried out;ONP for CP17 included</t>
  </si>
  <si>
    <t>03/2019: 50% reduction</t>
  </si>
  <si>
    <t>- Additional budget to be applied</t>
  </si>
  <si>
    <t>- Allowance for remobilization cost</t>
  </si>
  <si>
    <t>- Additional allowance due to inflation and retender</t>
  </si>
  <si>
    <t>Contractor All Risks Insurance</t>
  </si>
  <si>
    <t>Possible additional cost claim by Commtech due to stagerred building handover, thus there are possible mobilisation, demobilisation and remobilisation for Commtech resources.</t>
  </si>
  <si>
    <t>Possible cost claim by Contractors due to additional regulatory requirement to comply with the new health and safety standard, so far CP-21 (water proofing package) has intimated a probable cost claim.</t>
  </si>
  <si>
    <t>Some of the approved change request were taken by Sutherland and arrangement had been made for SGS to directly pay the contractors by issuing a Purchase Order. Cost allocation based on confirmed packages by SGS (NTP issued to Beta) Initially put under risk but shall be reflected in the project cost report as soon as finalised with SGS.</t>
  </si>
  <si>
    <t>VARIOUS</t>
  </si>
  <si>
    <t>GGDC</t>
  </si>
  <si>
    <t>Cert_Amount_Total</t>
  </si>
  <si>
    <t>Please provide information</t>
  </si>
  <si>
    <t>Cert_Amount_C</t>
  </si>
  <si>
    <t>Cert_Amount_D</t>
  </si>
  <si>
    <t>Cert_Amount_E</t>
  </si>
  <si>
    <t>Certified_Diff</t>
  </si>
  <si>
    <t>NotYetAward</t>
  </si>
  <si>
    <t>Notarized contract received</t>
  </si>
  <si>
    <t>Different from Notarized Contract = 3,644,235.00</t>
  </si>
  <si>
    <t>Different from Notarized Contract = 875000</t>
  </si>
  <si>
    <t>Different from Notarized Contract = 15000000.</t>
  </si>
  <si>
    <t>Notarized contract received. Fee may vary as per contract.</t>
  </si>
  <si>
    <t>Further details said rate will be based on calculation in Appendix 1</t>
  </si>
  <si>
    <t>PO Received</t>
  </si>
  <si>
    <t>Approved PO = 37,720,400</t>
  </si>
  <si>
    <t>Approved PO = 528,095,111.06</t>
  </si>
  <si>
    <t>Certified_Jan2020</t>
  </si>
  <si>
    <t>Possible increased in Shipping costs associated with using nominated freight forwarders</t>
  </si>
  <si>
    <t>Government mandated wage increase. (Region 3)
* Projected calculation for the period: NOVEMBER 2018 - NOVEMBER 2019 based on NCR Wage Increase</t>
  </si>
  <si>
    <t>Prob</t>
  </si>
  <si>
    <t>CP</t>
  </si>
  <si>
    <t>Potentiall increase at least 10% on the price of long-lead items</t>
  </si>
  <si>
    <t>Cons</t>
  </si>
  <si>
    <t>Factor</t>
  </si>
  <si>
    <t>Due to delayed payment to Contractors/ Suppliers and with equipment arriving on site or at Contractor's premises, there is potential risk for litigation</t>
  </si>
  <si>
    <t>Contingencies</t>
  </si>
  <si>
    <t>Over_budget</t>
  </si>
  <si>
    <t>Min</t>
  </si>
  <si>
    <t>Max</t>
  </si>
  <si>
    <t>Awarded</t>
  </si>
  <si>
    <t>Budgeted</t>
  </si>
  <si>
    <t>PM/CM services</t>
  </si>
  <si>
    <t>Remark</t>
  </si>
  <si>
    <t>To completion 1</t>
  </si>
  <si>
    <t>Unpaid WIP</t>
  </si>
  <si>
    <t>To Completion 2</t>
  </si>
  <si>
    <t>Un-awarded</t>
  </si>
  <si>
    <t>No.</t>
  </si>
  <si>
    <t>Saving</t>
  </si>
  <si>
    <t>without risks</t>
  </si>
  <si>
    <t>Potential VOs</t>
  </si>
  <si>
    <t>With probabilistic</t>
  </si>
  <si>
    <t>Progress</t>
  </si>
  <si>
    <t>With potential VOs</t>
  </si>
  <si>
    <t>Scenarios</t>
  </si>
  <si>
    <t>Cost Report (June 2020)</t>
  </si>
  <si>
    <t>S-curve</t>
  </si>
  <si>
    <t>To Completion 3</t>
  </si>
  <si>
    <t>risks (10%)</t>
  </si>
  <si>
    <t>Notes:</t>
  </si>
  <si>
    <t xml:space="preserve"> 5 = 2 + 3 + 4</t>
  </si>
  <si>
    <t xml:space="preserve"> 6 = 5 x 1.1 </t>
  </si>
  <si>
    <t>and unpaid WIP</t>
  </si>
  <si>
    <t>Awarded_C (in M PhP)</t>
  </si>
  <si>
    <t>Awarded_D (in M PhP)</t>
  </si>
  <si>
    <t>Awarded_E  (in M PhP)</t>
  </si>
  <si>
    <t>Awarded_Total  (in M PhP)</t>
  </si>
  <si>
    <t>Budget_C  (in M PhP)</t>
  </si>
  <si>
    <t>Budget_D  (in M PhP)</t>
  </si>
  <si>
    <t>Budget_E  (in M PhP)</t>
  </si>
  <si>
    <t>Budget_Total  (in M PhP)</t>
  </si>
  <si>
    <t>Project Name: Project Hope - TDD of West Aeropark Buildings</t>
  </si>
  <si>
    <t>Subject: WAP2 Contract Packages</t>
  </si>
  <si>
    <t xml:space="preserve">Increased Cost for Consultants contracts and payments excluding TPM cost for Building E </t>
  </si>
  <si>
    <t>Subject: RISK AND POTENTIAL VARIATION ORDER (MILLIONS PESO)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</si>
</sst>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_-* #,##0.0_-;\-* #,##0.0_-;_-* &quot;-&quot;??_-;_-@_-"/>
    <numFmt numFmtId="166" formatCode="_-* #,##0.000_-;\-* #,##0.000_-;_-* &quot;-&quot;??_-;_-@_-"/>
    <numFmt numFmtId="167" formatCode="0.000"/>
  </numFmts>
  <fonts count="18" x14ac:knownFonts="1">
    <font>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
      <sz val="9"/>
      <color indexed="81"/>
      <name val="Tahoma"/>
      <family val="2"/>
    </font>
    <font>
      <b/>
      <sz val="9"/>
      <color indexed="81"/>
      <name val="Tahoma"/>
      <charset val="1"/>
    </font>
    <font>
      <b/>
      <sz val="11"/>
      <color rgb="FFFF0000"/>
      <name val="Calibri"/>
      <family val="2"/>
      <scheme val="minor"/>
    </font>
    <font>
      <sz val="11"/>
      <name val="Calibri"/>
      <family val="2"/>
      <scheme val="minor"/>
    </font>
    <font>
      <b/>
      <sz val="11"/>
      <color theme="0"/>
      <name val="Calibri"/>
      <family val="2"/>
      <scheme val="minor"/>
    </font>
    <font>
      <sz val="10"/>
      <color theme="1"/>
      <name val="Arial"/>
      <family val="2"/>
    </font>
    <font>
      <b/>
      <sz val="18"/>
      <color theme="1"/>
      <name val="Calibri"/>
      <family val="2"/>
      <scheme val="minor"/>
    </font>
    <font>
      <sz val="10"/>
      <color theme="0"/>
      <name val="Arial"/>
      <family val="2"/>
    </font>
    <font>
      <b/>
      <sz val="10"/>
      <color theme="0"/>
      <name val="Arial"/>
      <family val="2"/>
    </font>
    <font>
      <b/>
      <sz val="10"/>
      <color theme="1"/>
      <name val="Arial"/>
      <family val="2"/>
    </font>
    <font>
      <sz val="10"/>
      <color rgb="FFFF0000"/>
      <name val="Arial"/>
      <family val="2"/>
    </font>
    <font>
      <b/>
      <sz val="10"/>
      <color rgb="FFFF0000"/>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rgb="FFE4610F"/>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hair">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s>
  <cellStyleXfs count="3">
    <xf numFmtId="0" fontId="0" fillId="0" borderId="0"/>
    <xf numFmtId="164" fontId="3" fillId="0" borderId="0" applyFont="0" applyFill="0" applyBorder="0" applyAlignment="0" applyProtection="0"/>
    <xf numFmtId="9" fontId="3" fillId="0" borderId="0" applyFont="0" applyFill="0" applyBorder="0" applyAlignment="0" applyProtection="0"/>
  </cellStyleXfs>
  <cellXfs count="208">
    <xf numFmtId="0" fontId="0" fillId="0" borderId="0" xfId="0"/>
    <xf numFmtId="0" fontId="1" fillId="0" borderId="0" xfId="0" applyFont="1" applyAlignment="1">
      <alignment horizontal="center"/>
    </xf>
    <xf numFmtId="0" fontId="0" fillId="0" borderId="0" xfId="0" applyAlignment="1">
      <alignment wrapText="1"/>
    </xf>
    <xf numFmtId="2" fontId="0" fillId="0" borderId="0" xfId="0" applyNumberFormat="1"/>
    <xf numFmtId="0" fontId="0" fillId="0" borderId="0" xfId="0" applyNumberFormat="1"/>
    <xf numFmtId="4" fontId="0" fillId="0" borderId="0" xfId="0" applyNumberFormat="1"/>
    <xf numFmtId="0" fontId="0" fillId="2" borderId="0" xfId="0" applyFill="1"/>
    <xf numFmtId="2" fontId="0" fillId="2" borderId="0" xfId="0" applyNumberFormat="1" applyFill="1"/>
    <xf numFmtId="0" fontId="1" fillId="0" borderId="0" xfId="0" applyFont="1" applyAlignment="1">
      <alignment horizontal="center" wrapText="1"/>
    </xf>
    <xf numFmtId="0" fontId="1" fillId="2" borderId="0" xfId="0" applyFont="1" applyFill="1" applyAlignment="1">
      <alignment horizontal="center"/>
    </xf>
    <xf numFmtId="0" fontId="0" fillId="2" borderId="0" xfId="0" applyNumberFormat="1" applyFill="1"/>
    <xf numFmtId="4" fontId="0" fillId="2" borderId="0" xfId="0" applyNumberFormat="1" applyFill="1"/>
    <xf numFmtId="0" fontId="2" fillId="3" borderId="0" xfId="0" applyFont="1" applyFill="1"/>
    <xf numFmtId="0" fontId="2" fillId="3" borderId="0" xfId="0" applyFont="1" applyFill="1" applyAlignment="1">
      <alignment wrapText="1"/>
    </xf>
    <xf numFmtId="0" fontId="0" fillId="0" borderId="0" xfId="0" applyNumberFormat="1" applyFill="1"/>
    <xf numFmtId="4" fontId="0" fillId="0" borderId="0" xfId="0" applyNumberFormat="1" applyFill="1"/>
    <xf numFmtId="0" fontId="0" fillId="0" borderId="0" xfId="0" applyFill="1"/>
    <xf numFmtId="0" fontId="1" fillId="0" borderId="0" xfId="0" applyFont="1"/>
    <xf numFmtId="164" fontId="1" fillId="0" borderId="0" xfId="1" applyFont="1"/>
    <xf numFmtId="164" fontId="1" fillId="0" borderId="0" xfId="1" applyFont="1" applyFill="1"/>
    <xf numFmtId="164" fontId="0" fillId="0" borderId="0" xfId="1" applyFont="1"/>
    <xf numFmtId="164" fontId="0" fillId="0" borderId="0" xfId="1" applyFont="1" applyFill="1"/>
    <xf numFmtId="164" fontId="0" fillId="0" borderId="0" xfId="0" applyNumberFormat="1"/>
    <xf numFmtId="164" fontId="0" fillId="4" borderId="0" xfId="1" applyFont="1" applyFill="1"/>
    <xf numFmtId="0" fontId="1" fillId="0" borderId="0" xfId="0" applyFont="1" applyFill="1"/>
    <xf numFmtId="164" fontId="0" fillId="2" borderId="0" xfId="1" applyFont="1" applyFill="1"/>
    <xf numFmtId="0" fontId="0" fillId="2" borderId="0" xfId="0" applyFill="1" applyAlignment="1">
      <alignment wrapText="1"/>
    </xf>
    <xf numFmtId="164" fontId="0" fillId="2" borderId="0" xfId="0" applyNumberFormat="1" applyFill="1"/>
    <xf numFmtId="0" fontId="0" fillId="0" borderId="0" xfId="0" applyFill="1" applyAlignment="1">
      <alignment wrapText="1"/>
    </xf>
    <xf numFmtId="2" fontId="0" fillId="0" borderId="0" xfId="0" applyNumberFormat="1" applyFill="1"/>
    <xf numFmtId="0" fontId="0" fillId="0" borderId="1" xfId="0" applyBorder="1"/>
    <xf numFmtId="0" fontId="0" fillId="0" borderId="1" xfId="0" applyBorder="1" applyAlignment="1">
      <alignment horizontal="center" vertical="center"/>
    </xf>
    <xf numFmtId="0" fontId="0" fillId="0" borderId="1" xfId="0" applyBorder="1" applyAlignment="1">
      <alignment horizontal="left" vertical="top" wrapText="1"/>
    </xf>
    <xf numFmtId="4" fontId="4" fillId="0" borderId="0" xfId="0" applyNumberFormat="1" applyFont="1"/>
    <xf numFmtId="4" fontId="4" fillId="2" borderId="0" xfId="0" applyNumberFormat="1" applyFont="1" applyFill="1"/>
    <xf numFmtId="0" fontId="4" fillId="0" borderId="0" xfId="0" applyNumberFormat="1" applyFont="1"/>
    <xf numFmtId="9" fontId="0" fillId="0" borderId="0" xfId="2" applyFont="1"/>
    <xf numFmtId="10" fontId="1" fillId="0" borderId="0" xfId="2" applyNumberFormat="1" applyFont="1"/>
    <xf numFmtId="10" fontId="0" fillId="0" borderId="0" xfId="2" applyNumberFormat="1" applyFont="1"/>
    <xf numFmtId="14" fontId="0" fillId="0" borderId="0" xfId="0" applyNumberFormat="1"/>
    <xf numFmtId="43" fontId="0" fillId="0" borderId="0" xfId="0" applyNumberFormat="1"/>
    <xf numFmtId="14" fontId="0" fillId="2" borderId="0" xfId="0" applyNumberFormat="1" applyFill="1"/>
    <xf numFmtId="43" fontId="0" fillId="2" borderId="0" xfId="0" applyNumberFormat="1" applyFill="1"/>
    <xf numFmtId="9" fontId="0" fillId="2" borderId="0" xfId="2" applyFont="1" applyFill="1" applyAlignment="1">
      <alignment wrapText="1"/>
    </xf>
    <xf numFmtId="9" fontId="0" fillId="2" borderId="0" xfId="2" applyFont="1" applyFill="1"/>
    <xf numFmtId="0" fontId="0" fillId="0" borderId="0" xfId="0" applyAlignment="1">
      <alignment vertical="top"/>
    </xf>
    <xf numFmtId="0" fontId="0" fillId="0" borderId="0" xfId="0" applyAlignment="1">
      <alignment vertical="top" wrapText="1"/>
    </xf>
    <xf numFmtId="164" fontId="0" fillId="0" borderId="0" xfId="1" applyFont="1" applyAlignment="1">
      <alignment vertical="top"/>
    </xf>
    <xf numFmtId="164" fontId="0" fillId="0" borderId="0" xfId="0" applyNumberFormat="1" applyFill="1"/>
    <xf numFmtId="164" fontId="0" fillId="5" borderId="0" xfId="1" applyFont="1" applyFill="1"/>
    <xf numFmtId="165" fontId="1" fillId="0" borderId="0" xfId="0" applyNumberFormat="1" applyFont="1"/>
    <xf numFmtId="165" fontId="0" fillId="0" borderId="0" xfId="1" applyNumberFormat="1" applyFont="1" applyFill="1"/>
    <xf numFmtId="165" fontId="0" fillId="0" borderId="0" xfId="1" applyNumberFormat="1" applyFont="1"/>
    <xf numFmtId="165" fontId="0" fillId="0" borderId="0" xfId="0" applyNumberFormat="1"/>
    <xf numFmtId="0" fontId="0" fillId="2" borderId="0" xfId="0" applyFill="1" applyAlignment="1">
      <alignment vertical="top"/>
    </xf>
    <xf numFmtId="3" fontId="0" fillId="0" borderId="0" xfId="0" applyNumberFormat="1"/>
    <xf numFmtId="0" fontId="0" fillId="0" borderId="9" xfId="0" applyBorder="1" applyAlignment="1">
      <alignment vertical="top"/>
    </xf>
    <xf numFmtId="0" fontId="0" fillId="0" borderId="10" xfId="0" applyBorder="1" applyAlignment="1">
      <alignment vertical="top"/>
    </xf>
    <xf numFmtId="0" fontId="0" fillId="0" borderId="10" xfId="0" applyBorder="1" applyAlignment="1">
      <alignment vertical="top" wrapText="1"/>
    </xf>
    <xf numFmtId="164" fontId="0" fillId="0" borderId="10" xfId="1" applyFont="1" applyBorder="1" applyAlignment="1">
      <alignment vertical="top"/>
    </xf>
    <xf numFmtId="43" fontId="0" fillId="0" borderId="10" xfId="0" applyNumberFormat="1" applyBorder="1" applyAlignment="1">
      <alignment vertical="top"/>
    </xf>
    <xf numFmtId="0" fontId="0" fillId="0" borderId="11" xfId="0" applyBorder="1" applyAlignment="1">
      <alignment vertical="top"/>
    </xf>
    <xf numFmtId="0" fontId="0" fillId="0" borderId="13" xfId="0" applyBorder="1" applyAlignment="1">
      <alignment vertical="top"/>
    </xf>
    <xf numFmtId="0" fontId="0" fillId="0" borderId="13" xfId="0" applyBorder="1" applyAlignment="1">
      <alignment vertical="top" wrapText="1"/>
    </xf>
    <xf numFmtId="164" fontId="0" fillId="0" borderId="13" xfId="1" applyFont="1" applyBorder="1" applyAlignment="1">
      <alignment vertical="top"/>
    </xf>
    <xf numFmtId="43" fontId="0" fillId="0" borderId="13" xfId="0" applyNumberFormat="1" applyBorder="1" applyAlignment="1">
      <alignment vertical="top"/>
    </xf>
    <xf numFmtId="0" fontId="0" fillId="0" borderId="14" xfId="0" applyBorder="1" applyAlignment="1">
      <alignment vertical="top"/>
    </xf>
    <xf numFmtId="0" fontId="0" fillId="0" borderId="8" xfId="0" applyBorder="1" applyAlignment="1">
      <alignment vertical="top"/>
    </xf>
    <xf numFmtId="0" fontId="0" fillId="0" borderId="8" xfId="0" applyBorder="1" applyAlignment="1">
      <alignment vertical="top" wrapText="1"/>
    </xf>
    <xf numFmtId="164" fontId="0" fillId="0" borderId="8" xfId="1" applyFont="1" applyBorder="1" applyAlignment="1">
      <alignment vertical="top"/>
    </xf>
    <xf numFmtId="43" fontId="0" fillId="0" borderId="8" xfId="0" applyNumberFormat="1" applyBorder="1" applyAlignment="1">
      <alignment vertical="top"/>
    </xf>
    <xf numFmtId="43" fontId="0" fillId="2" borderId="10" xfId="0" applyNumberFormat="1" applyFill="1" applyBorder="1" applyAlignment="1">
      <alignment vertical="top"/>
    </xf>
    <xf numFmtId="0" fontId="0" fillId="2" borderId="10" xfId="0" applyFill="1" applyBorder="1" applyAlignment="1">
      <alignment vertical="top"/>
    </xf>
    <xf numFmtId="0" fontId="0" fillId="2" borderId="10" xfId="0" applyFill="1" applyBorder="1" applyAlignment="1">
      <alignment vertical="top" wrapText="1"/>
    </xf>
    <xf numFmtId="164" fontId="0" fillId="2" borderId="10" xfId="1" applyFont="1" applyFill="1" applyBorder="1" applyAlignment="1">
      <alignment vertical="top"/>
    </xf>
    <xf numFmtId="0" fontId="0" fillId="2" borderId="11" xfId="0" applyFill="1" applyBorder="1" applyAlignment="1">
      <alignment vertical="top"/>
    </xf>
    <xf numFmtId="0" fontId="1" fillId="0" borderId="12" xfId="0" applyFont="1" applyBorder="1" applyAlignment="1">
      <alignment vertical="top"/>
    </xf>
    <xf numFmtId="0" fontId="1" fillId="0" borderId="13" xfId="0" applyFont="1" applyBorder="1" applyAlignment="1">
      <alignment vertical="top"/>
    </xf>
    <xf numFmtId="0" fontId="1" fillId="0" borderId="13" xfId="0" applyFont="1" applyBorder="1" applyAlignment="1">
      <alignment vertical="top" wrapText="1"/>
    </xf>
    <xf numFmtId="164" fontId="1" fillId="0" borderId="13" xfId="1" applyFont="1" applyBorder="1" applyAlignment="1">
      <alignment vertical="top"/>
    </xf>
    <xf numFmtId="0" fontId="0" fillId="0" borderId="15" xfId="0" applyBorder="1" applyAlignment="1">
      <alignment vertical="top"/>
    </xf>
    <xf numFmtId="0" fontId="0" fillId="0" borderId="16" xfId="0" applyBorder="1" applyAlignment="1">
      <alignment vertical="top"/>
    </xf>
    <xf numFmtId="0" fontId="0" fillId="0" borderId="16" xfId="0" applyBorder="1" applyAlignment="1">
      <alignment vertical="top" wrapText="1"/>
    </xf>
    <xf numFmtId="164" fontId="0" fillId="0" borderId="16" xfId="1" applyFont="1" applyBorder="1" applyAlignment="1">
      <alignment vertical="top"/>
    </xf>
    <xf numFmtId="43" fontId="0" fillId="0" borderId="16" xfId="0" applyNumberFormat="1" applyBorder="1" applyAlignment="1">
      <alignment vertical="top"/>
    </xf>
    <xf numFmtId="0" fontId="0" fillId="0" borderId="17" xfId="0" applyBorder="1" applyAlignment="1">
      <alignment vertical="top"/>
    </xf>
    <xf numFmtId="0" fontId="1" fillId="0" borderId="18"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164" fontId="1" fillId="0" borderId="1" xfId="1" applyFont="1" applyBorder="1" applyAlignment="1">
      <alignment vertical="top"/>
    </xf>
    <xf numFmtId="0" fontId="1" fillId="0" borderId="19" xfId="0" applyFont="1" applyBorder="1" applyAlignment="1">
      <alignment vertical="top"/>
    </xf>
    <xf numFmtId="0" fontId="0" fillId="0" borderId="11" xfId="0" applyBorder="1" applyAlignment="1">
      <alignment vertical="top" wrapText="1"/>
    </xf>
    <xf numFmtId="164" fontId="0" fillId="0" borderId="10" xfId="1" applyFont="1" applyBorder="1" applyAlignment="1">
      <alignment horizontal="right" vertical="top"/>
    </xf>
    <xf numFmtId="0" fontId="0" fillId="0" borderId="10" xfId="0" applyBorder="1" applyAlignment="1">
      <alignment horizontal="right" vertical="top"/>
    </xf>
    <xf numFmtId="43" fontId="1" fillId="0" borderId="0" xfId="0" applyNumberFormat="1" applyFont="1"/>
    <xf numFmtId="0" fontId="0" fillId="0" borderId="0" xfId="0" applyFont="1"/>
    <xf numFmtId="0" fontId="0" fillId="0" borderId="0" xfId="0" applyAlignment="1">
      <alignment horizontal="center"/>
    </xf>
    <xf numFmtId="0" fontId="1" fillId="2" borderId="18" xfId="0" applyFont="1" applyFill="1" applyBorder="1" applyAlignment="1">
      <alignment horizontal="center"/>
    </xf>
    <xf numFmtId="0" fontId="1" fillId="2" borderId="1" xfId="0" applyFont="1" applyFill="1" applyBorder="1"/>
    <xf numFmtId="0" fontId="1" fillId="2" borderId="19" xfId="0" applyFont="1" applyFill="1" applyBorder="1"/>
    <xf numFmtId="0" fontId="1" fillId="2" borderId="1" xfId="0" applyFont="1" applyFill="1" applyBorder="1" applyAlignment="1">
      <alignment horizontal="right"/>
    </xf>
    <xf numFmtId="43" fontId="0" fillId="0" borderId="0" xfId="0" applyNumberFormat="1" applyAlignment="1">
      <alignment horizontal="right"/>
    </xf>
    <xf numFmtId="0" fontId="0" fillId="0" borderId="0" xfId="0" applyAlignment="1">
      <alignment horizontal="right"/>
    </xf>
    <xf numFmtId="0" fontId="1" fillId="6" borderId="18" xfId="0" applyFont="1" applyFill="1" applyBorder="1" applyAlignment="1">
      <alignment horizontal="center"/>
    </xf>
    <xf numFmtId="0" fontId="1" fillId="6" borderId="1" xfId="0" applyFont="1" applyFill="1" applyBorder="1"/>
    <xf numFmtId="0" fontId="1" fillId="6" borderId="19" xfId="0" applyFont="1" applyFill="1" applyBorder="1"/>
    <xf numFmtId="0" fontId="1" fillId="6" borderId="2" xfId="0" applyFont="1" applyFill="1" applyBorder="1" applyAlignment="1">
      <alignment horizontal="center"/>
    </xf>
    <xf numFmtId="0" fontId="1" fillId="6" borderId="3" xfId="0" applyFont="1" applyFill="1" applyBorder="1"/>
    <xf numFmtId="164" fontId="1" fillId="6" borderId="3" xfId="0" applyNumberFormat="1" applyFont="1" applyFill="1" applyBorder="1" applyAlignment="1">
      <alignment horizontal="right"/>
    </xf>
    <xf numFmtId="0" fontId="1" fillId="6" borderId="4" xfId="0" applyFont="1" applyFill="1" applyBorder="1"/>
    <xf numFmtId="0" fontId="0" fillId="6" borderId="2" xfId="0" applyFill="1" applyBorder="1" applyAlignment="1">
      <alignment horizontal="center"/>
    </xf>
    <xf numFmtId="0" fontId="0" fillId="6" borderId="3" xfId="0" applyFill="1" applyBorder="1" applyAlignment="1">
      <alignment horizontal="right"/>
    </xf>
    <xf numFmtId="43" fontId="0" fillId="6" borderId="3" xfId="0" applyNumberFormat="1" applyFill="1" applyBorder="1" applyAlignment="1">
      <alignment horizontal="right"/>
    </xf>
    <xf numFmtId="0" fontId="0" fillId="6" borderId="4" xfId="0" applyFill="1" applyBorder="1"/>
    <xf numFmtId="0" fontId="0" fillId="6" borderId="5" xfId="0" applyFill="1" applyBorder="1" applyAlignment="1">
      <alignment horizontal="center"/>
    </xf>
    <xf numFmtId="0" fontId="4" fillId="6" borderId="6" xfId="0" applyFont="1" applyFill="1" applyBorder="1" applyAlignment="1">
      <alignment horizontal="right"/>
    </xf>
    <xf numFmtId="43" fontId="4" fillId="6" borderId="6" xfId="0" applyNumberFormat="1" applyFont="1" applyFill="1" applyBorder="1" applyAlignment="1">
      <alignment horizontal="right"/>
    </xf>
    <xf numFmtId="0" fontId="0" fillId="6" borderId="7" xfId="0" applyFill="1" applyBorder="1"/>
    <xf numFmtId="0" fontId="1" fillId="6" borderId="5" xfId="0" applyFont="1" applyFill="1" applyBorder="1" applyAlignment="1">
      <alignment horizontal="center"/>
    </xf>
    <xf numFmtId="0" fontId="1" fillId="6" borderId="6" xfId="0" applyFont="1" applyFill="1" applyBorder="1"/>
    <xf numFmtId="164" fontId="1" fillId="6" borderId="6" xfId="1" applyFont="1" applyFill="1" applyBorder="1" applyAlignment="1">
      <alignment horizontal="right"/>
    </xf>
    <xf numFmtId="0" fontId="1" fillId="6" borderId="3" xfId="0" applyFont="1" applyFill="1" applyBorder="1" applyAlignment="1">
      <alignment horizontal="right"/>
    </xf>
    <xf numFmtId="164" fontId="0" fillId="6" borderId="3" xfId="1" applyFont="1" applyFill="1" applyBorder="1" applyAlignment="1">
      <alignment horizontal="right"/>
    </xf>
    <xf numFmtId="0" fontId="0" fillId="6" borderId="6" xfId="0" applyFill="1" applyBorder="1" applyAlignment="1">
      <alignment horizontal="right"/>
    </xf>
    <xf numFmtId="164" fontId="0" fillId="6" borderId="6" xfId="1" applyFont="1" applyFill="1" applyBorder="1" applyAlignment="1">
      <alignment horizontal="right"/>
    </xf>
    <xf numFmtId="164" fontId="3" fillId="6" borderId="1" xfId="1" applyFont="1" applyFill="1" applyBorder="1" applyAlignment="1">
      <alignment horizontal="right"/>
    </xf>
    <xf numFmtId="164" fontId="1" fillId="6" borderId="3" xfId="1" applyFont="1" applyFill="1" applyBorder="1" applyAlignment="1">
      <alignment horizontal="right"/>
    </xf>
    <xf numFmtId="0" fontId="0" fillId="6" borderId="4" xfId="0" applyFont="1" applyFill="1" applyBorder="1"/>
    <xf numFmtId="0" fontId="1" fillId="6" borderId="6" xfId="0" applyFont="1" applyFill="1" applyBorder="1" applyAlignment="1">
      <alignment horizontal="right"/>
    </xf>
    <xf numFmtId="0" fontId="0" fillId="6" borderId="4" xfId="0" applyFill="1" applyBorder="1" applyAlignment="1">
      <alignment horizontal="left"/>
    </xf>
    <xf numFmtId="0" fontId="7" fillId="6" borderId="2" xfId="0" applyFont="1" applyFill="1" applyBorder="1" applyAlignment="1">
      <alignment horizontal="center"/>
    </xf>
    <xf numFmtId="0" fontId="7" fillId="6" borderId="3" xfId="0" applyFont="1" applyFill="1" applyBorder="1" applyAlignment="1">
      <alignment horizontal="right"/>
    </xf>
    <xf numFmtId="164" fontId="7" fillId="6" borderId="3" xfId="1" applyFont="1" applyFill="1" applyBorder="1" applyAlignment="1">
      <alignment horizontal="right"/>
    </xf>
    <xf numFmtId="0" fontId="8" fillId="6" borderId="4" xfId="0" applyFont="1" applyFill="1" applyBorder="1" applyAlignment="1">
      <alignment horizontal="left"/>
    </xf>
    <xf numFmtId="0" fontId="7" fillId="6" borderId="5" xfId="0" applyFont="1" applyFill="1" applyBorder="1" applyAlignment="1">
      <alignment horizontal="center"/>
    </xf>
    <xf numFmtId="0" fontId="7" fillId="6" borderId="6" xfId="0" applyFont="1" applyFill="1" applyBorder="1" applyAlignment="1">
      <alignment horizontal="right"/>
    </xf>
    <xf numFmtId="164" fontId="7" fillId="6" borderId="6" xfId="1" applyFont="1" applyFill="1" applyBorder="1" applyAlignment="1">
      <alignment horizontal="right"/>
    </xf>
    <xf numFmtId="43" fontId="8" fillId="6" borderId="7" xfId="0" applyNumberFormat="1" applyFont="1" applyFill="1" applyBorder="1" applyAlignment="1">
      <alignment horizontal="left"/>
    </xf>
    <xf numFmtId="164" fontId="0" fillId="6" borderId="3" xfId="0" applyNumberFormat="1" applyFill="1" applyBorder="1" applyAlignment="1">
      <alignment horizontal="right"/>
    </xf>
    <xf numFmtId="0" fontId="0" fillId="6" borderId="5" xfId="0" applyFont="1" applyFill="1" applyBorder="1" applyAlignment="1">
      <alignment horizontal="center"/>
    </xf>
    <xf numFmtId="43" fontId="1" fillId="6" borderId="6" xfId="0" applyNumberFormat="1" applyFont="1" applyFill="1" applyBorder="1" applyAlignment="1">
      <alignment horizontal="right"/>
    </xf>
    <xf numFmtId="0" fontId="0" fillId="6" borderId="7" xfId="0" applyFont="1" applyFill="1" applyBorder="1"/>
    <xf numFmtId="0" fontId="0" fillId="6" borderId="0" xfId="0" applyFill="1" applyAlignment="1">
      <alignment horizontal="center"/>
    </xf>
    <xf numFmtId="0" fontId="1" fillId="6" borderId="0" xfId="0" applyFont="1" applyFill="1"/>
    <xf numFmtId="0" fontId="0" fillId="6" borderId="0" xfId="0" applyFill="1" applyAlignment="1">
      <alignment horizontal="right"/>
    </xf>
    <xf numFmtId="0" fontId="0" fillId="6" borderId="0" xfId="0" applyFill="1"/>
    <xf numFmtId="43" fontId="0" fillId="6" borderId="0" xfId="0" applyNumberFormat="1" applyFill="1" applyAlignment="1">
      <alignment horizontal="right"/>
    </xf>
    <xf numFmtId="166" fontId="0" fillId="0" borderId="0" xfId="1" applyNumberFormat="1" applyFont="1" applyFill="1"/>
    <xf numFmtId="166" fontId="0" fillId="0" borderId="0" xfId="1" applyNumberFormat="1" applyFont="1"/>
    <xf numFmtId="0" fontId="10" fillId="0" borderId="0" xfId="0" applyFont="1"/>
    <xf numFmtId="0" fontId="10" fillId="0" borderId="1" xfId="0" applyFont="1" applyBorder="1"/>
    <xf numFmtId="167" fontId="10" fillId="0" borderId="1" xfId="0" applyNumberFormat="1" applyFont="1" applyBorder="1" applyAlignment="1">
      <alignment horizontal="left"/>
    </xf>
    <xf numFmtId="0" fontId="10" fillId="0" borderId="1" xfId="0" applyFont="1" applyBorder="1" applyAlignment="1">
      <alignment wrapText="1"/>
    </xf>
    <xf numFmtId="0" fontId="0" fillId="0" borderId="0" xfId="0" applyAlignment="1">
      <alignment horizontal="left" vertical="center" wrapText="1"/>
    </xf>
    <xf numFmtId="0" fontId="0" fillId="0" borderId="0" xfId="0" applyAlignment="1">
      <alignment vertical="center" wrapText="1"/>
    </xf>
    <xf numFmtId="0" fontId="8" fillId="0" borderId="0" xfId="0" applyFont="1" applyAlignment="1">
      <alignment vertical="center" wrapText="1"/>
    </xf>
    <xf numFmtId="0" fontId="11" fillId="0" borderId="0" xfId="0" applyFont="1"/>
    <xf numFmtId="0" fontId="12" fillId="3" borderId="1" xfId="0" applyFont="1" applyFill="1" applyBorder="1" applyAlignment="1">
      <alignment horizontal="center" vertical="center"/>
    </xf>
    <xf numFmtId="0" fontId="12" fillId="3" borderId="1" xfId="0" applyFont="1" applyFill="1" applyBorder="1" applyAlignment="1">
      <alignment horizontal="center" vertical="center" wrapText="1"/>
    </xf>
    <xf numFmtId="0" fontId="9" fillId="3" borderId="18" xfId="0" applyFont="1" applyFill="1" applyBorder="1" applyAlignment="1">
      <alignment horizontal="center" vertical="top"/>
    </xf>
    <xf numFmtId="0" fontId="9" fillId="3" borderId="1" xfId="0" applyFont="1" applyFill="1" applyBorder="1" applyAlignment="1">
      <alignment horizontal="center" vertical="top"/>
    </xf>
    <xf numFmtId="0" fontId="9" fillId="3" borderId="1" xfId="0" applyFont="1" applyFill="1" applyBorder="1" applyAlignment="1">
      <alignment horizontal="center" vertical="top" wrapText="1"/>
    </xf>
    <xf numFmtId="164" fontId="9" fillId="3" borderId="1" xfId="1" applyFont="1" applyFill="1" applyBorder="1" applyAlignment="1">
      <alignment horizontal="center" vertical="top"/>
    </xf>
    <xf numFmtId="0" fontId="0" fillId="0" borderId="1" xfId="0" applyFill="1" applyBorder="1" applyAlignment="1">
      <alignment horizontal="left" vertical="top"/>
    </xf>
    <xf numFmtId="0" fontId="0" fillId="0" borderId="1" xfId="0" applyFill="1" applyBorder="1" applyAlignment="1">
      <alignment horizontal="left" vertical="top" wrapText="1"/>
    </xf>
    <xf numFmtId="164" fontId="0" fillId="0" borderId="1" xfId="1" applyFont="1" applyFill="1" applyBorder="1" applyAlignment="1">
      <alignment horizontal="left" vertical="top"/>
    </xf>
    <xf numFmtId="43" fontId="0" fillId="0" borderId="1" xfId="0" applyNumberFormat="1" applyFill="1" applyBorder="1"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164" fontId="1" fillId="0" borderId="1" xfId="1" applyFont="1" applyBorder="1" applyAlignment="1">
      <alignment horizontal="left" vertical="top"/>
    </xf>
    <xf numFmtId="0" fontId="13" fillId="3" borderId="1" xfId="0" applyFont="1" applyFill="1" applyBorder="1" applyAlignment="1">
      <alignment horizontal="center"/>
    </xf>
    <xf numFmtId="0" fontId="14" fillId="6" borderId="3" xfId="0" applyFont="1" applyFill="1" applyBorder="1" applyAlignment="1">
      <alignment horizontal="left"/>
    </xf>
    <xf numFmtId="164" fontId="14" fillId="6" borderId="3" xfId="0" applyNumberFormat="1" applyFont="1" applyFill="1" applyBorder="1" applyAlignment="1">
      <alignment horizontal="left"/>
    </xf>
    <xf numFmtId="0" fontId="14" fillId="6" borderId="3" xfId="0" applyFont="1" applyFill="1" applyBorder="1" applyAlignment="1"/>
    <xf numFmtId="0" fontId="10" fillId="6" borderId="3" xfId="0" applyFont="1" applyFill="1" applyBorder="1" applyAlignment="1">
      <alignment horizontal="left"/>
    </xf>
    <xf numFmtId="0" fontId="10" fillId="6" borderId="3" xfId="0" applyFont="1" applyFill="1" applyBorder="1" applyAlignment="1"/>
    <xf numFmtId="0" fontId="10" fillId="6" borderId="6" xfId="0" applyFont="1" applyFill="1" applyBorder="1" applyAlignment="1">
      <alignment horizontal="left"/>
    </xf>
    <xf numFmtId="0" fontId="15" fillId="6" borderId="6" xfId="0" applyFont="1" applyFill="1" applyBorder="1" applyAlignment="1">
      <alignment horizontal="left"/>
    </xf>
    <xf numFmtId="0" fontId="10" fillId="6" borderId="6" xfId="0" applyFont="1" applyFill="1" applyBorder="1" applyAlignment="1"/>
    <xf numFmtId="0" fontId="14" fillId="6" borderId="1" xfId="0" applyFont="1" applyFill="1" applyBorder="1" applyAlignment="1"/>
    <xf numFmtId="0" fontId="17" fillId="6" borderId="3" xfId="0" applyFont="1" applyFill="1" applyBorder="1" applyAlignment="1"/>
    <xf numFmtId="43" fontId="17" fillId="6" borderId="6" xfId="0" applyNumberFormat="1" applyFont="1" applyFill="1" applyBorder="1" applyAlignment="1"/>
    <xf numFmtId="0" fontId="10" fillId="6" borderId="4" xfId="0" applyFont="1" applyFill="1" applyBorder="1" applyAlignment="1">
      <alignment horizontal="center"/>
    </xf>
    <xf numFmtId="0" fontId="10" fillId="6" borderId="0" xfId="0" applyFont="1" applyFill="1" applyBorder="1" applyAlignment="1">
      <alignment horizontal="right"/>
    </xf>
    <xf numFmtId="0" fontId="10" fillId="6" borderId="2" xfId="0" applyFont="1" applyFill="1" applyBorder="1"/>
    <xf numFmtId="43" fontId="10" fillId="6" borderId="0" xfId="0" applyNumberFormat="1" applyFont="1" applyFill="1" applyBorder="1" applyAlignment="1">
      <alignment horizontal="right"/>
    </xf>
    <xf numFmtId="0" fontId="10" fillId="6" borderId="7" xfId="0" applyFont="1" applyFill="1" applyBorder="1" applyAlignment="1">
      <alignment horizontal="center"/>
    </xf>
    <xf numFmtId="0" fontId="10" fillId="6" borderId="20" xfId="0" applyFont="1" applyFill="1" applyBorder="1" applyAlignment="1">
      <alignment horizontal="right"/>
    </xf>
    <xf numFmtId="0" fontId="10" fillId="6" borderId="5" xfId="0" applyFont="1" applyFill="1" applyBorder="1"/>
    <xf numFmtId="43" fontId="14" fillId="6" borderId="6" xfId="0" applyNumberFormat="1" applyFont="1" applyFill="1" applyBorder="1" applyAlignment="1">
      <alignment horizontal="left"/>
    </xf>
    <xf numFmtId="43" fontId="10" fillId="6" borderId="3" xfId="0" applyNumberFormat="1" applyFont="1" applyFill="1" applyBorder="1" applyAlignment="1">
      <alignment horizontal="left"/>
    </xf>
    <xf numFmtId="43" fontId="15" fillId="6" borderId="6" xfId="0" applyNumberFormat="1" applyFont="1" applyFill="1" applyBorder="1" applyAlignment="1">
      <alignment horizontal="left"/>
    </xf>
    <xf numFmtId="164" fontId="14" fillId="6" borderId="6" xfId="1" applyFont="1" applyFill="1" applyBorder="1" applyAlignment="1">
      <alignment horizontal="left"/>
    </xf>
    <xf numFmtId="164" fontId="10" fillId="6" borderId="3" xfId="1" applyFont="1" applyFill="1" applyBorder="1" applyAlignment="1">
      <alignment horizontal="left"/>
    </xf>
    <xf numFmtId="164" fontId="10" fillId="6" borderId="6" xfId="1" applyFont="1" applyFill="1" applyBorder="1" applyAlignment="1">
      <alignment horizontal="left"/>
    </xf>
    <xf numFmtId="164" fontId="10" fillId="6" borderId="1" xfId="1" applyFont="1" applyFill="1" applyBorder="1" applyAlignment="1">
      <alignment horizontal="left"/>
    </xf>
    <xf numFmtId="164" fontId="14" fillId="6" borderId="3" xfId="1" applyFont="1" applyFill="1" applyBorder="1" applyAlignment="1">
      <alignment horizontal="left"/>
    </xf>
    <xf numFmtId="164" fontId="16" fillId="6" borderId="3" xfId="1" applyFont="1" applyFill="1" applyBorder="1" applyAlignment="1">
      <alignment horizontal="left"/>
    </xf>
    <xf numFmtId="164" fontId="16" fillId="6" borderId="6" xfId="1" applyFont="1" applyFill="1" applyBorder="1" applyAlignment="1">
      <alignment horizontal="left"/>
    </xf>
    <xf numFmtId="164" fontId="10" fillId="6" borderId="3" xfId="0" applyNumberFormat="1" applyFont="1" applyFill="1" applyBorder="1" applyAlignment="1">
      <alignment horizontal="left"/>
    </xf>
    <xf numFmtId="0" fontId="10" fillId="6" borderId="1" xfId="0" applyFont="1" applyFill="1" applyBorder="1" applyAlignment="1">
      <alignment horizontal="left"/>
    </xf>
    <xf numFmtId="0" fontId="15" fillId="6" borderId="3" xfId="0" applyFont="1" applyFill="1" applyBorder="1" applyAlignment="1">
      <alignment horizontal="left"/>
    </xf>
    <xf numFmtId="0" fontId="10" fillId="6" borderId="0" xfId="0" applyFont="1" applyFill="1" applyBorder="1"/>
    <xf numFmtId="164" fontId="1" fillId="2" borderId="3" xfId="1" applyFont="1" applyFill="1" applyBorder="1" applyAlignment="1">
      <alignment horizontal="right"/>
    </xf>
    <xf numFmtId="164" fontId="1" fillId="2" borderId="6" xfId="1" applyFont="1" applyFill="1" applyBorder="1" applyAlignment="1">
      <alignment horizontal="right"/>
    </xf>
    <xf numFmtId="166" fontId="0" fillId="2" borderId="0" xfId="1" applyNumberFormat="1" applyFont="1" applyFill="1"/>
    <xf numFmtId="43" fontId="0" fillId="2" borderId="0" xfId="0" applyNumberFormat="1" applyFill="1" applyAlignment="1">
      <alignment horizontal="right"/>
    </xf>
    <xf numFmtId="164" fontId="0" fillId="2" borderId="3" xfId="0" applyNumberFormat="1" applyFill="1" applyBorder="1" applyAlignment="1">
      <alignment horizontal="right"/>
    </xf>
  </cellXfs>
  <cellStyles count="3">
    <cellStyle name="Comma" xfId="1" builtinId="3"/>
    <cellStyle name="Normal" xfId="0" builtinId="0"/>
    <cellStyle name="Percent" xfId="2" builtinId="5"/>
  </cellStyles>
  <dxfs count="6">
    <dxf>
      <font>
        <color rgb="FF9C0006"/>
      </font>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E461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415636</xdr:colOff>
      <xdr:row>0</xdr:row>
      <xdr:rowOff>164523</xdr:rowOff>
    </xdr:from>
    <xdr:to>
      <xdr:col>9</xdr:col>
      <xdr:colOff>721706</xdr:colOff>
      <xdr:row>1</xdr:row>
      <xdr:rowOff>269876</xdr:rowOff>
    </xdr:to>
    <xdr:pic>
      <xdr:nvPicPr>
        <xdr:cNvPr id="2" name="Afbeelding 5">
          <a:extLst>
            <a:ext uri="{FF2B5EF4-FFF2-40B4-BE49-F238E27FC236}">
              <a16:creationId xmlns:a16="http://schemas.microsoft.com/office/drawing/2014/main" id="{2128FA47-2023-4EAB-BC13-69BD1DB1E99B}"/>
            </a:ext>
          </a:extLst>
        </xdr:cNvPr>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7114886" y="164523"/>
          <a:ext cx="3655695" cy="4069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1286494</xdr:colOff>
      <xdr:row>0</xdr:row>
      <xdr:rowOff>82880</xdr:rowOff>
    </xdr:from>
    <xdr:to>
      <xdr:col>10</xdr:col>
      <xdr:colOff>4976660</xdr:colOff>
      <xdr:row>1</xdr:row>
      <xdr:rowOff>217714</xdr:rowOff>
    </xdr:to>
    <xdr:pic>
      <xdr:nvPicPr>
        <xdr:cNvPr id="3" name="Afbeelding 5">
          <a:extLst>
            <a:ext uri="{FF2B5EF4-FFF2-40B4-BE49-F238E27FC236}">
              <a16:creationId xmlns:a16="http://schemas.microsoft.com/office/drawing/2014/main" id="{A20333C7-6312-475E-BD86-96108A669D1E}"/>
            </a:ext>
          </a:extLst>
        </xdr:cNvPr>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8756815" y="82880"/>
          <a:ext cx="3690166" cy="4341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orecast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_plan"/>
    </sheetNames>
    <sheetDataSet>
      <sheetData sheetId="0">
        <row r="1">
          <cell r="B1"/>
          <cell r="AN1" t="str">
            <v>Cert_Amount</v>
          </cell>
        </row>
        <row r="2">
          <cell r="B2" t="str">
            <v>WP No.</v>
          </cell>
          <cell r="AN2" t="str">
            <v>Total</v>
          </cell>
        </row>
        <row r="3">
          <cell r="B3" t="str">
            <v>1001</v>
          </cell>
          <cell r="AN3"/>
        </row>
        <row r="4">
          <cell r="B4" t="str">
            <v>C01</v>
          </cell>
          <cell r="AN4"/>
        </row>
        <row r="5">
          <cell r="B5" t="str">
            <v>C02</v>
          </cell>
          <cell r="AN5">
            <v>3644235.29</v>
          </cell>
        </row>
        <row r="6">
          <cell r="B6" t="str">
            <v>C03</v>
          </cell>
          <cell r="AN6">
            <v>9310172.1199999992</v>
          </cell>
        </row>
        <row r="7">
          <cell r="B7" t="str">
            <v>C04</v>
          </cell>
          <cell r="AN7">
            <v>240000</v>
          </cell>
        </row>
        <row r="8">
          <cell r="B8" t="str">
            <v>C05</v>
          </cell>
          <cell r="AN8">
            <v>8841071.4000000004</v>
          </cell>
        </row>
        <row r="9">
          <cell r="B9" t="str">
            <v>C06</v>
          </cell>
          <cell r="AN9">
            <v>3500000</v>
          </cell>
        </row>
        <row r="10">
          <cell r="B10" t="str">
            <v>C07</v>
          </cell>
          <cell r="AN10">
            <v>1490000</v>
          </cell>
        </row>
        <row r="11">
          <cell r="B11" t="str">
            <v>C08</v>
          </cell>
          <cell r="AN11">
            <v>0</v>
          </cell>
        </row>
        <row r="12">
          <cell r="B12" t="str">
            <v>C09</v>
          </cell>
          <cell r="AN12">
            <v>19520000</v>
          </cell>
        </row>
        <row r="13">
          <cell r="B13" t="str">
            <v>CARI</v>
          </cell>
          <cell r="AN13">
            <v>10394749.630000001</v>
          </cell>
        </row>
        <row r="14">
          <cell r="B14" t="str">
            <v>Con</v>
          </cell>
          <cell r="AN14">
            <v>1218871338.3199999</v>
          </cell>
        </row>
        <row r="15">
          <cell r="B15" t="str">
            <v>C10</v>
          </cell>
          <cell r="AN15">
            <v>2475400</v>
          </cell>
        </row>
        <row r="16">
          <cell r="B16" t="str">
            <v>CP01</v>
          </cell>
          <cell r="AN16">
            <v>368461391.13999999</v>
          </cell>
        </row>
        <row r="17">
          <cell r="B17" t="str">
            <v>CP01A</v>
          </cell>
          <cell r="AN17">
            <v>27556944.890000001</v>
          </cell>
        </row>
        <row r="18">
          <cell r="B18" t="str">
            <v>CP04</v>
          </cell>
          <cell r="AN18">
            <v>83956731.540000007</v>
          </cell>
        </row>
        <row r="19">
          <cell r="B19" t="str">
            <v>CP05A</v>
          </cell>
          <cell r="AN19">
            <v>4061050.55</v>
          </cell>
        </row>
        <row r="20">
          <cell r="B20" t="str">
            <v>CP05B</v>
          </cell>
          <cell r="AN20">
            <v>5046234.8099999996</v>
          </cell>
        </row>
        <row r="21">
          <cell r="B21" t="str">
            <v>CP05C</v>
          </cell>
          <cell r="AN21"/>
        </row>
        <row r="22">
          <cell r="B22" t="str">
            <v>CP05D</v>
          </cell>
          <cell r="AN22">
            <v>4467215.6500000004</v>
          </cell>
        </row>
        <row r="23">
          <cell r="B23" t="str">
            <v>CP06E</v>
          </cell>
          <cell r="AN23">
            <v>2800000</v>
          </cell>
        </row>
        <row r="24">
          <cell r="B24" t="str">
            <v>CP06F</v>
          </cell>
          <cell r="AN24">
            <v>10598876.109999999</v>
          </cell>
        </row>
        <row r="25">
          <cell r="B25" t="str">
            <v>CP07</v>
          </cell>
          <cell r="AN25">
            <v>12752789.529999999</v>
          </cell>
        </row>
        <row r="26">
          <cell r="B26" t="str">
            <v>CP08</v>
          </cell>
          <cell r="AN26">
            <v>19967321</v>
          </cell>
        </row>
        <row r="27">
          <cell r="B27" t="str">
            <v>CP09</v>
          </cell>
          <cell r="AN27">
            <v>44163375.859999999</v>
          </cell>
        </row>
        <row r="28">
          <cell r="B28" t="str">
            <v>CP11</v>
          </cell>
          <cell r="AN28">
            <v>32768956.219999999</v>
          </cell>
        </row>
        <row r="29">
          <cell r="B29" t="str">
            <v>CP11A</v>
          </cell>
          <cell r="AN29">
            <v>78288687.219999999</v>
          </cell>
        </row>
        <row r="30">
          <cell r="B30" t="str">
            <v>CP13</v>
          </cell>
          <cell r="AN30">
            <v>73781440.599999994</v>
          </cell>
        </row>
        <row r="31">
          <cell r="B31" t="str">
            <v>CP15</v>
          </cell>
          <cell r="AN31">
            <v>91102436.200000003</v>
          </cell>
        </row>
        <row r="32">
          <cell r="B32" t="str">
            <v>CP17</v>
          </cell>
          <cell r="AN32">
            <v>5900000</v>
          </cell>
        </row>
        <row r="33">
          <cell r="B33" t="str">
            <v>CP20</v>
          </cell>
          <cell r="AN33">
            <v>35613423.710000001</v>
          </cell>
        </row>
        <row r="34">
          <cell r="B34" t="str">
            <v>CP21</v>
          </cell>
          <cell r="AN34">
            <v>10336205.359999999</v>
          </cell>
        </row>
        <row r="35">
          <cell r="B35" t="str">
            <v>CP26</v>
          </cell>
          <cell r="AN35">
            <v>0</v>
          </cell>
        </row>
        <row r="36">
          <cell r="B36" t="str">
            <v>CP30</v>
          </cell>
          <cell r="AN36">
            <v>2372629.9700000002</v>
          </cell>
        </row>
        <row r="37">
          <cell r="B37" t="str">
            <v>CP31</v>
          </cell>
          <cell r="AN37">
            <v>0</v>
          </cell>
        </row>
        <row r="38">
          <cell r="B38" t="str">
            <v>OP01</v>
          </cell>
          <cell r="AN38">
            <v>33041300.84</v>
          </cell>
        </row>
        <row r="39">
          <cell r="B39" t="str">
            <v>OP02</v>
          </cell>
          <cell r="AN39">
            <v>105752028.31999999</v>
          </cell>
        </row>
        <row r="40">
          <cell r="B40" t="str">
            <v>OP12</v>
          </cell>
          <cell r="AN40">
            <v>17660999.699999999</v>
          </cell>
        </row>
        <row r="41">
          <cell r="B41" t="str">
            <v>OP13</v>
          </cell>
          <cell r="AN41">
            <v>33216972.359999999</v>
          </cell>
        </row>
        <row r="42">
          <cell r="B42" t="str">
            <v>OP15</v>
          </cell>
          <cell r="AN42">
            <v>10724890.73</v>
          </cell>
        </row>
        <row r="43">
          <cell r="B43" t="str">
            <v>OP18</v>
          </cell>
          <cell r="AN43">
            <v>0</v>
          </cell>
        </row>
        <row r="44">
          <cell r="B44" t="str">
            <v>OP27</v>
          </cell>
          <cell r="AN44">
            <v>45063807.57</v>
          </cell>
        </row>
        <row r="45">
          <cell r="B45" t="str">
            <v>OP30</v>
          </cell>
          <cell r="AN45"/>
        </row>
        <row r="46">
          <cell r="B46" t="str">
            <v>OP33</v>
          </cell>
          <cell r="AN46"/>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0D695-9E0A-4621-8190-F2409E4378D5}">
  <dimension ref="A1:C6"/>
  <sheetViews>
    <sheetView workbookViewId="0">
      <selection activeCell="C4" sqref="C4"/>
    </sheetView>
  </sheetViews>
  <sheetFormatPr defaultRowHeight="15" x14ac:dyDescent="0.25"/>
  <cols>
    <col min="2" max="2" width="44.85546875" customWidth="1"/>
    <col min="3" max="3" width="37.7109375" customWidth="1"/>
  </cols>
  <sheetData>
    <row r="1" spans="1:3" x14ac:dyDescent="0.25">
      <c r="A1" s="30" t="s">
        <v>219</v>
      </c>
      <c r="B1" s="30" t="s">
        <v>220</v>
      </c>
      <c r="C1" s="30" t="s">
        <v>169</v>
      </c>
    </row>
    <row r="2" spans="1:3" ht="45" x14ac:dyDescent="0.25">
      <c r="A2" s="31">
        <v>1</v>
      </c>
      <c r="B2" s="32" t="s">
        <v>222</v>
      </c>
      <c r="C2" s="32" t="s">
        <v>223</v>
      </c>
    </row>
    <row r="3" spans="1:3" ht="60" x14ac:dyDescent="0.25">
      <c r="A3" s="31">
        <v>2</v>
      </c>
      <c r="B3" s="32" t="s">
        <v>222</v>
      </c>
      <c r="C3" s="32" t="s">
        <v>224</v>
      </c>
    </row>
    <row r="4" spans="1:3" ht="30" x14ac:dyDescent="0.25">
      <c r="A4" s="31">
        <v>2</v>
      </c>
      <c r="B4" s="32" t="s">
        <v>134</v>
      </c>
      <c r="C4" s="32" t="s">
        <v>221</v>
      </c>
    </row>
    <row r="5" spans="1:3" ht="45" x14ac:dyDescent="0.25">
      <c r="A5" s="31">
        <v>3</v>
      </c>
      <c r="B5" s="32" t="s">
        <v>135</v>
      </c>
      <c r="C5" s="32" t="s">
        <v>221</v>
      </c>
    </row>
    <row r="6" spans="1:3" ht="60" x14ac:dyDescent="0.25">
      <c r="A6" s="31">
        <v>4</v>
      </c>
      <c r="B6" s="32" t="s">
        <v>138</v>
      </c>
      <c r="C6" s="32" t="s">
        <v>221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76321-C5F5-48F9-AF3E-2923745B4E65}">
  <dimension ref="A1:K87"/>
  <sheetViews>
    <sheetView topLeftCell="A22" workbookViewId="0">
      <selection activeCell="F43" sqref="F43"/>
    </sheetView>
  </sheetViews>
  <sheetFormatPr defaultRowHeight="15" x14ac:dyDescent="0.25"/>
  <cols>
    <col min="1" max="1" width="10.7109375" style="39" bestFit="1" customWidth="1"/>
    <col min="3" max="3" width="18" bestFit="1" customWidth="1"/>
    <col min="4" max="4" width="19.5703125" style="20" customWidth="1"/>
    <col min="5" max="5" width="22" customWidth="1"/>
    <col min="6" max="6" width="24.5703125" style="20" bestFit="1" customWidth="1"/>
    <col min="7" max="7" width="15.28515625" bestFit="1" customWidth="1"/>
    <col min="8" max="9" width="16.85546875" bestFit="1" customWidth="1"/>
  </cols>
  <sheetData>
    <row r="1" spans="1:11" x14ac:dyDescent="0.25">
      <c r="A1" s="39" t="s">
        <v>235</v>
      </c>
      <c r="B1" t="s">
        <v>236</v>
      </c>
      <c r="C1" t="s">
        <v>237</v>
      </c>
      <c r="D1" s="20" t="s">
        <v>238</v>
      </c>
      <c r="E1" t="s">
        <v>239</v>
      </c>
      <c r="F1" s="20" t="s">
        <v>240</v>
      </c>
      <c r="G1" t="s">
        <v>241</v>
      </c>
      <c r="H1" t="s">
        <v>242</v>
      </c>
      <c r="I1" t="s">
        <v>243</v>
      </c>
      <c r="J1" t="s">
        <v>244</v>
      </c>
      <c r="K1" t="s">
        <v>245</v>
      </c>
    </row>
    <row r="2" spans="1:11" x14ac:dyDescent="0.25">
      <c r="A2" s="39" t="s">
        <v>246</v>
      </c>
      <c r="B2">
        <v>2</v>
      </c>
      <c r="C2">
        <v>0.8</v>
      </c>
      <c r="D2" s="20">
        <f>C2*SUM('ContractPrice-CDE'!$F$2:$F$43)/100</f>
        <v>23681292.574480008</v>
      </c>
      <c r="E2">
        <v>0.4</v>
      </c>
      <c r="F2" s="20">
        <f>E2*SUM('ContractPrice-CDE'!$F$2:$F$43)/100</f>
        <v>11840646.287240004</v>
      </c>
      <c r="G2" s="40">
        <f>F2/SUM('ContractPrice-CDE'!$J$2:$J$43)*100</f>
        <v>0.33253104554291274</v>
      </c>
      <c r="H2" s="40">
        <f>G2*SUM('ContractPrice-CDE'!$J$2:$J$43)/100</f>
        <v>11840646.287240004</v>
      </c>
      <c r="I2">
        <v>1</v>
      </c>
    </row>
    <row r="3" spans="1:11" x14ac:dyDescent="0.25">
      <c r="A3" s="39" t="s">
        <v>247</v>
      </c>
      <c r="B3">
        <v>4</v>
      </c>
      <c r="C3">
        <v>1.9</v>
      </c>
      <c r="D3" s="20">
        <f>C3*SUM('ContractPrice-CDE'!$F$2:$F$43)/100</f>
        <v>56243069.864390008</v>
      </c>
      <c r="E3">
        <v>0.8</v>
      </c>
      <c r="F3" s="20">
        <f>E3*SUM('ContractPrice-CDE'!$F$2:$F$43)/100</f>
        <v>23681292.574480008</v>
      </c>
      <c r="G3" s="40">
        <f>F3/SUM('ContractPrice-CDE'!$J$2:$J$43)*100</f>
        <v>0.66506209108582548</v>
      </c>
      <c r="H3" s="40">
        <f>G3*SUM('ContractPrice-CDE'!$J$2:$J$43)/100</f>
        <v>23681292.574480008</v>
      </c>
    </row>
    <row r="4" spans="1:11" x14ac:dyDescent="0.25">
      <c r="A4" s="39" t="s">
        <v>248</v>
      </c>
      <c r="B4">
        <v>6</v>
      </c>
      <c r="C4">
        <v>3.8</v>
      </c>
      <c r="D4" s="20">
        <f>C4*SUM('ContractPrice-CDE'!$F$2:$F$43)/100</f>
        <v>112486139.72878002</v>
      </c>
      <c r="E4">
        <v>1.2</v>
      </c>
      <c r="F4" s="20">
        <f>E4*SUM('ContractPrice-CDE'!$F$2:$F$43)/100</f>
        <v>35521938.861720011</v>
      </c>
      <c r="G4" s="40">
        <f>F4/SUM('ContractPrice-CDE'!$J$2:$J$43)*100</f>
        <v>0.99759313662873828</v>
      </c>
      <c r="H4" s="40">
        <f>G4*SUM('ContractPrice-CDE'!$J$2:$J$43)/100</f>
        <v>35521938.861720011</v>
      </c>
    </row>
    <row r="5" spans="1:11" x14ac:dyDescent="0.25">
      <c r="A5" s="39" t="s">
        <v>249</v>
      </c>
      <c r="B5">
        <v>8</v>
      </c>
      <c r="C5">
        <v>5.7</v>
      </c>
      <c r="D5" s="20">
        <f>C5*SUM('ContractPrice-CDE'!$F$2:$F$43)/100</f>
        <v>168729209.59317005</v>
      </c>
      <c r="E5">
        <v>1.6</v>
      </c>
      <c r="F5" s="20">
        <f>E5*SUM('ContractPrice-CDE'!$F$2:$F$43)/100</f>
        <v>47362585.148960017</v>
      </c>
      <c r="G5" s="40">
        <f>F5/SUM('ContractPrice-CDE'!$J$2:$J$43)*100</f>
        <v>1.330124182171651</v>
      </c>
      <c r="H5" s="40">
        <f>G5*SUM('ContractPrice-CDE'!$J$2:$J$43)/100</f>
        <v>47362585.148960017</v>
      </c>
    </row>
    <row r="6" spans="1:11" x14ac:dyDescent="0.25">
      <c r="A6" s="39" t="s">
        <v>250</v>
      </c>
      <c r="B6">
        <v>10</v>
      </c>
      <c r="C6">
        <v>9.5</v>
      </c>
      <c r="D6" s="20">
        <f>C6*SUM('ContractPrice-CDE'!$F$2:$F$43)/100</f>
        <v>281215349.32195008</v>
      </c>
      <c r="E6">
        <v>2.1</v>
      </c>
      <c r="F6" s="20">
        <f>E6*SUM('ContractPrice-CDE'!$F$2:$F$43)/100</f>
        <v>62163393.008010022</v>
      </c>
      <c r="G6" s="40">
        <f>F6/SUM('ContractPrice-CDE'!$J$2:$J$43)*100</f>
        <v>1.7457879891002919</v>
      </c>
      <c r="H6" s="40">
        <f>G6*SUM('ContractPrice-CDE'!$J$2:$J$43)/100</f>
        <v>62163393.008010015</v>
      </c>
    </row>
    <row r="7" spans="1:11" x14ac:dyDescent="0.25">
      <c r="A7" s="39" t="s">
        <v>251</v>
      </c>
      <c r="B7">
        <v>12</v>
      </c>
      <c r="C7">
        <v>13.4</v>
      </c>
      <c r="D7" s="20">
        <f>C7*SUM('ContractPrice-CDE'!$F$2:$F$43)/100</f>
        <v>396661650.62254012</v>
      </c>
      <c r="E7">
        <v>3.7</v>
      </c>
      <c r="F7" s="20">
        <f>E7*SUM('ContractPrice-CDE'!$F$2:$F$43)/100</f>
        <v>109525978.15697004</v>
      </c>
      <c r="G7" s="40">
        <f>F7/SUM('ContractPrice-CDE'!$J$2:$J$43)*100</f>
        <v>3.0759121712719431</v>
      </c>
      <c r="H7" s="40">
        <f>G7*SUM('ContractPrice-CDE'!$J$2:$J$43)/100</f>
        <v>109525978.15697004</v>
      </c>
    </row>
    <row r="8" spans="1:11" x14ac:dyDescent="0.25">
      <c r="A8" s="39" t="s">
        <v>252</v>
      </c>
      <c r="B8">
        <v>14</v>
      </c>
      <c r="C8">
        <v>17.5</v>
      </c>
      <c r="D8" s="20">
        <f>C8*SUM('ContractPrice-CDE'!$F$2:$F$43)/100</f>
        <v>518028275.06675017</v>
      </c>
      <c r="E8">
        <v>6.6</v>
      </c>
      <c r="F8" s="20">
        <f>E8*SUM('ContractPrice-CDE'!$F$2:$F$43)/100</f>
        <v>195370663.73946002</v>
      </c>
      <c r="G8" s="40">
        <f>F8/SUM('ContractPrice-CDE'!$J$2:$J$43)*100</f>
        <v>5.4867622514580594</v>
      </c>
      <c r="H8" s="40">
        <f>G8*SUM('ContractPrice-CDE'!$J$2:$J$43)/100</f>
        <v>195370663.73946002</v>
      </c>
    </row>
    <row r="9" spans="1:11" x14ac:dyDescent="0.25">
      <c r="A9" s="39" t="s">
        <v>253</v>
      </c>
      <c r="B9">
        <v>16</v>
      </c>
      <c r="C9">
        <v>21.4</v>
      </c>
      <c r="D9" s="20">
        <f>C9*SUM('ContractPrice-CDE'!$F$2:$F$43)/100</f>
        <v>633474576.36734021</v>
      </c>
      <c r="E9">
        <v>9.6999999999999993</v>
      </c>
      <c r="F9" s="20">
        <f>E9*SUM('ContractPrice-CDE'!$F$2:$F$43)/100</f>
        <v>287135672.46557009</v>
      </c>
      <c r="G9" s="40">
        <f>F9/SUM('ContractPrice-CDE'!$J$2:$J$43)*100</f>
        <v>8.0638778544156331</v>
      </c>
      <c r="H9" s="40">
        <f>G9*SUM('ContractPrice-CDE'!$J$2:$J$43)/100</f>
        <v>287135672.46557009</v>
      </c>
    </row>
    <row r="10" spans="1:11" x14ac:dyDescent="0.25">
      <c r="A10" s="39" t="s">
        <v>254</v>
      </c>
      <c r="B10">
        <v>18</v>
      </c>
      <c r="C10">
        <v>24.3</v>
      </c>
      <c r="D10" s="20">
        <f>C10*SUM('ContractPrice-CDE'!$F$2:$F$43)/100</f>
        <v>719319261.94983017</v>
      </c>
      <c r="E10">
        <v>11.4</v>
      </c>
      <c r="F10" s="20">
        <f>E10*SUM('ContractPrice-CDE'!$F$2:$F$43)/100</f>
        <v>337458419.18634009</v>
      </c>
      <c r="G10" s="40">
        <f>F10/SUM('ContractPrice-CDE'!$J$2:$J$43)*100</f>
        <v>9.4771347979730116</v>
      </c>
      <c r="H10" s="40">
        <f>G10*SUM('ContractPrice-CDE'!$J$2:$J$43)/100</f>
        <v>337458419.18634009</v>
      </c>
    </row>
    <row r="11" spans="1:11" x14ac:dyDescent="0.25">
      <c r="A11" s="39" t="s">
        <v>255</v>
      </c>
      <c r="B11">
        <v>20</v>
      </c>
      <c r="C11">
        <v>28.4</v>
      </c>
      <c r="D11" s="20">
        <f>C11*SUM('ContractPrice-CDE'!$F$2:$F$43)/100</f>
        <v>840685886.39404023</v>
      </c>
      <c r="E11">
        <v>12.4</v>
      </c>
      <c r="F11" s="20">
        <f>E11*SUM('ContractPrice-CDE'!$F$2:$F$43)/100</f>
        <v>367060034.90444016</v>
      </c>
      <c r="G11" s="40">
        <f>F11/SUM('ContractPrice-CDE'!$J$2:$J$43)*100</f>
        <v>10.308462411830297</v>
      </c>
      <c r="H11" s="40">
        <f>G11*SUM('ContractPrice-CDE'!$J$2:$J$43)/100</f>
        <v>367060034.90444016</v>
      </c>
    </row>
    <row r="12" spans="1:11" x14ac:dyDescent="0.25">
      <c r="A12" s="39" t="s">
        <v>256</v>
      </c>
      <c r="B12">
        <v>22</v>
      </c>
      <c r="C12">
        <v>32</v>
      </c>
      <c r="D12" s="20">
        <f>C12*SUM('ContractPrice-CDE'!$F$2:$F$43)/100</f>
        <v>947251702.97920024</v>
      </c>
      <c r="E12">
        <v>14.1</v>
      </c>
      <c r="F12" s="20">
        <f>E12*SUM('ContractPrice-CDE'!$F$2:$F$43)/100</f>
        <v>417382781.62521011</v>
      </c>
      <c r="G12" s="40">
        <f>F12/SUM('ContractPrice-CDE'!$J$2:$J$43)*100</f>
        <v>11.721719355387673</v>
      </c>
      <c r="H12" s="40">
        <f>G12*SUM('ContractPrice-CDE'!$J$2:$J$43)/100</f>
        <v>417382781.62521011</v>
      </c>
    </row>
    <row r="13" spans="1:11" x14ac:dyDescent="0.25">
      <c r="A13" s="39" t="s">
        <v>257</v>
      </c>
      <c r="B13">
        <v>24</v>
      </c>
      <c r="C13">
        <v>35</v>
      </c>
      <c r="D13" s="20">
        <f>C13*SUM('ContractPrice-CDE'!$F$2:$F$43)/100</f>
        <v>1036056550.1335003</v>
      </c>
      <c r="E13">
        <v>15.5</v>
      </c>
      <c r="F13" s="20">
        <f>E13*SUM('ContractPrice-CDE'!$F$2:$F$43)/100</f>
        <v>458825043.63055015</v>
      </c>
      <c r="G13" s="40">
        <f>F13/SUM('ContractPrice-CDE'!$J$2:$J$43)*100</f>
        <v>12.885578014787868</v>
      </c>
      <c r="H13" s="40">
        <f>G13*SUM('ContractPrice-CDE'!$J$2:$J$43)/100</f>
        <v>458825043.63055009</v>
      </c>
    </row>
    <row r="14" spans="1:11" x14ac:dyDescent="0.25">
      <c r="A14" s="39" t="s">
        <v>258</v>
      </c>
      <c r="B14">
        <v>26</v>
      </c>
      <c r="C14">
        <v>40.1</v>
      </c>
      <c r="D14" s="20">
        <f>C14*SUM('ContractPrice-CDE'!$F$2:$F$43)/100</f>
        <v>1187024790.2958105</v>
      </c>
      <c r="E14">
        <v>16.5</v>
      </c>
      <c r="F14" s="20">
        <f>E14*SUM('ContractPrice-CDE'!$F$2:$F$43)/100</f>
        <v>488426659.34865016</v>
      </c>
      <c r="G14" s="40">
        <f>F14/SUM('ContractPrice-CDE'!$J$2:$J$43)*100</f>
        <v>13.716905628645151</v>
      </c>
      <c r="H14" s="40">
        <f>G14*SUM('ContractPrice-CDE'!$J$2:$J$43)/100</f>
        <v>488426659.34865016</v>
      </c>
    </row>
    <row r="15" spans="1:11" x14ac:dyDescent="0.25">
      <c r="A15" s="39" t="s">
        <v>259</v>
      </c>
      <c r="B15">
        <v>28</v>
      </c>
      <c r="C15">
        <v>45.5</v>
      </c>
      <c r="D15" s="20">
        <f>C15*SUM('ContractPrice-CDE'!$F$2:$F$43)/100</f>
        <v>1346873515.1735504</v>
      </c>
      <c r="E15">
        <v>17.100000000000001</v>
      </c>
      <c r="F15" s="20">
        <f>E15*SUM('ContractPrice-CDE'!$F$2:$F$43)/100</f>
        <v>506187628.7795102</v>
      </c>
      <c r="G15" s="40">
        <f>F15/SUM('ContractPrice-CDE'!$J$2:$J$43)*100</f>
        <v>14.215702196959521</v>
      </c>
      <c r="H15" s="40">
        <f>G15*SUM('ContractPrice-CDE'!$J$2:$J$43)/100</f>
        <v>506187628.7795102</v>
      </c>
    </row>
    <row r="16" spans="1:11" x14ac:dyDescent="0.25">
      <c r="A16" s="39" t="s">
        <v>260</v>
      </c>
      <c r="B16">
        <v>30</v>
      </c>
      <c r="C16">
        <v>52</v>
      </c>
      <c r="D16" s="20">
        <f>C16*SUM('ContractPrice-CDE'!$F$2:$F$43)/100</f>
        <v>1539284017.3412006</v>
      </c>
      <c r="E16">
        <v>17.8</v>
      </c>
      <c r="F16" s="20">
        <f>E16*SUM('ContractPrice-CDE'!$F$2:$F$43)/100</f>
        <v>526908759.78218019</v>
      </c>
      <c r="G16" s="40">
        <f>F16/SUM('ContractPrice-CDE'!$J$2:$J$43)*100</f>
        <v>14.797631526659618</v>
      </c>
      <c r="H16" s="40">
        <f>G16*SUM('ContractPrice-CDE'!$J$2:$J$43)/100</f>
        <v>526908759.78218019</v>
      </c>
    </row>
    <row r="17" spans="1:8" x14ac:dyDescent="0.25">
      <c r="A17" s="39" t="s">
        <v>261</v>
      </c>
      <c r="B17">
        <v>32</v>
      </c>
      <c r="C17">
        <v>58.7</v>
      </c>
      <c r="D17" s="20">
        <f>C17*SUM('ContractPrice-CDE'!$F$2:$F$43)/100</f>
        <v>1737614842.6524706</v>
      </c>
      <c r="E17">
        <v>17.8</v>
      </c>
      <c r="F17" s="20">
        <f>E17*SUM('ContractPrice-CDE'!$F$2:$F$43)/100</f>
        <v>526908759.78218019</v>
      </c>
      <c r="G17" s="40">
        <f>F17/SUM('ContractPrice-CDE'!$J$2:$J$43)*100</f>
        <v>14.797631526659618</v>
      </c>
      <c r="H17" s="40">
        <f>G17*SUM('ContractPrice-CDE'!$J$2:$J$43)/100</f>
        <v>526908759.78218019</v>
      </c>
    </row>
    <row r="18" spans="1:8" x14ac:dyDescent="0.25">
      <c r="A18" s="39" t="s">
        <v>262</v>
      </c>
      <c r="B18">
        <v>34</v>
      </c>
      <c r="C18">
        <v>65.599999999999994</v>
      </c>
      <c r="D18" s="20">
        <f>C18*SUM('ContractPrice-CDE'!$F$2:$F$43)/100</f>
        <v>1941865991.1073606</v>
      </c>
      <c r="E18">
        <v>18</v>
      </c>
      <c r="F18" s="20">
        <f>E18*SUM('ContractPrice-CDE'!$F$2:$F$43)/100</f>
        <v>532829082.92580014</v>
      </c>
      <c r="G18" s="40">
        <f>F18/SUM('ContractPrice-CDE'!$J$2:$J$43)*100</f>
        <v>14.963897049431072</v>
      </c>
      <c r="H18" s="40">
        <f>G18*SUM('ContractPrice-CDE'!$J$2:$J$43)/100</f>
        <v>532829082.92580009</v>
      </c>
    </row>
    <row r="19" spans="1:8" x14ac:dyDescent="0.25">
      <c r="A19" s="39" t="s">
        <v>263</v>
      </c>
      <c r="B19">
        <v>36</v>
      </c>
      <c r="C19">
        <v>72.099999999999994</v>
      </c>
      <c r="D19" s="20">
        <f>C19*SUM('ContractPrice-CDE'!$F$2:$F$43)/100</f>
        <v>2134276493.2750103</v>
      </c>
      <c r="E19">
        <v>18.399999999999999</v>
      </c>
      <c r="F19" s="20">
        <f>E19*SUM('ContractPrice-CDE'!$F$2:$F$43)/100</f>
        <v>544669729.21304011</v>
      </c>
      <c r="G19" s="40">
        <f>F19/SUM('ContractPrice-CDE'!$J$2:$J$43)*100</f>
        <v>15.296428094973985</v>
      </c>
      <c r="H19" s="40">
        <f>G19*SUM('ContractPrice-CDE'!$J$2:$J$43)/100</f>
        <v>544669729.21304011</v>
      </c>
    </row>
    <row r="20" spans="1:8" x14ac:dyDescent="0.25">
      <c r="A20" s="39" t="s">
        <v>264</v>
      </c>
      <c r="B20">
        <v>38</v>
      </c>
      <c r="C20">
        <v>78.8</v>
      </c>
      <c r="D20" s="20">
        <f>C20*SUM('ContractPrice-CDE'!$F$2:$F$43)/100</f>
        <v>2332607318.5862803</v>
      </c>
      <c r="E20">
        <v>19.899999999999999</v>
      </c>
      <c r="F20" s="20">
        <f>E20*SUM('ContractPrice-CDE'!$F$2:$F$43)/100</f>
        <v>589072152.7901901</v>
      </c>
      <c r="G20" s="40">
        <f>F20/SUM('ContractPrice-CDE'!$J$2:$J$43)*100</f>
        <v>16.543419515759904</v>
      </c>
      <c r="H20" s="40">
        <f>G20*SUM('ContractPrice-CDE'!$J$2:$J$43)/100</f>
        <v>589072152.7901901</v>
      </c>
    </row>
    <row r="21" spans="1:8" x14ac:dyDescent="0.25">
      <c r="A21" s="39" t="s">
        <v>265</v>
      </c>
      <c r="B21">
        <v>40</v>
      </c>
      <c r="C21">
        <v>84.5</v>
      </c>
      <c r="D21" s="20">
        <f>C21*SUM('ContractPrice-CDE'!$F$2:$F$43)/100</f>
        <v>2501336528.1794505</v>
      </c>
      <c r="E21">
        <v>20.399999999999999</v>
      </c>
      <c r="F21" s="20">
        <f>E21*SUM('ContractPrice-CDE'!$F$2:$F$43)/100</f>
        <v>603872960.64924014</v>
      </c>
      <c r="G21" s="40">
        <f>F21/SUM('ContractPrice-CDE'!$J$2:$J$43)*100</f>
        <v>16.959083322688549</v>
      </c>
      <c r="H21" s="40">
        <f>G21*SUM('ContractPrice-CDE'!$J$2:$J$43)/100</f>
        <v>603872960.64924014</v>
      </c>
    </row>
    <row r="22" spans="1:8" x14ac:dyDescent="0.25">
      <c r="A22" s="39" t="s">
        <v>266</v>
      </c>
      <c r="B22">
        <v>42</v>
      </c>
      <c r="C22">
        <v>91.1</v>
      </c>
      <c r="D22" s="20">
        <f>C22*SUM('ContractPrice-CDE'!$F$2:$F$43)/100</f>
        <v>2696707191.9189105</v>
      </c>
      <c r="E22">
        <v>21.1</v>
      </c>
      <c r="F22" s="20">
        <f>E22*SUM('ContractPrice-CDE'!$F$2:$F$43)/100</f>
        <v>624594091.65191031</v>
      </c>
      <c r="G22" s="40">
        <f>F22/SUM('ContractPrice-CDE'!$J$2:$J$43)*100</f>
        <v>17.541012652388648</v>
      </c>
      <c r="H22" s="40">
        <f>G22*SUM('ContractPrice-CDE'!$J$2:$J$43)/100</f>
        <v>624594091.65191031</v>
      </c>
    </row>
    <row r="23" spans="1:8" x14ac:dyDescent="0.25">
      <c r="A23" s="39" t="s">
        <v>267</v>
      </c>
      <c r="B23">
        <v>44</v>
      </c>
      <c r="C23">
        <v>94.4</v>
      </c>
      <c r="D23" s="20">
        <f>C23*SUM('ContractPrice-CDE'!$F$2:$F$43)/100</f>
        <v>2794392523.788641</v>
      </c>
      <c r="E23">
        <v>21.4</v>
      </c>
      <c r="F23" s="20">
        <f>E23*SUM('ContractPrice-CDE'!$F$2:$F$43)/100</f>
        <v>633474576.36734021</v>
      </c>
      <c r="G23" s="40">
        <f>F23/SUM('ContractPrice-CDE'!$J$2:$J$43)*100</f>
        <v>17.790410936545832</v>
      </c>
      <c r="H23" s="40">
        <f>G23*SUM('ContractPrice-CDE'!$J$2:$J$43)/100</f>
        <v>633474576.36734021</v>
      </c>
    </row>
    <row r="24" spans="1:8" x14ac:dyDescent="0.25">
      <c r="A24" s="39" t="s">
        <v>268</v>
      </c>
      <c r="B24">
        <v>46</v>
      </c>
      <c r="C24">
        <v>96.6</v>
      </c>
      <c r="D24" s="20">
        <f>C24*SUM('ContractPrice-CDE'!$F$2:$F$43)/100</f>
        <v>2859516078.3684607</v>
      </c>
      <c r="E24">
        <v>22.4</v>
      </c>
      <c r="F24" s="20">
        <f>E24*SUM('ContractPrice-CDE'!$F$2:$F$43)/100</f>
        <v>663076192.08544016</v>
      </c>
      <c r="G24" s="40">
        <f>F24/SUM('ContractPrice-CDE'!$J$2:$J$43)*100</f>
        <v>18.621738550403112</v>
      </c>
      <c r="H24" s="40">
        <f>G24*SUM('ContractPrice-CDE'!$J$2:$J$43)/100</f>
        <v>663076192.08544016</v>
      </c>
    </row>
    <row r="25" spans="1:8" x14ac:dyDescent="0.25">
      <c r="A25" s="39" t="s">
        <v>269</v>
      </c>
      <c r="B25">
        <v>48</v>
      </c>
      <c r="C25">
        <v>98.1</v>
      </c>
      <c r="D25" s="20">
        <f>C25*SUM('ContractPrice-CDE'!$F$2:$F$43)/100</f>
        <v>2903918501.945611</v>
      </c>
      <c r="E25">
        <v>22.7</v>
      </c>
      <c r="F25" s="20">
        <f>E25*SUM('ContractPrice-CDE'!$F$2:$F$43)/100</f>
        <v>671956676.80087018</v>
      </c>
      <c r="G25" s="40">
        <f>F25/SUM('ContractPrice-CDE'!$J$2:$J$43)*100</f>
        <v>18.871136834560296</v>
      </c>
      <c r="H25" s="40">
        <f>G25*SUM('ContractPrice-CDE'!$J$2:$J$43)/100</f>
        <v>671956676.80087018</v>
      </c>
    </row>
    <row r="26" spans="1:8" x14ac:dyDescent="0.25">
      <c r="A26" s="39" t="s">
        <v>270</v>
      </c>
      <c r="B26">
        <v>50</v>
      </c>
      <c r="C26">
        <v>99.3</v>
      </c>
      <c r="D26" s="20">
        <f>C26*SUM('ContractPrice-CDE'!$F$2:$F$43)/100</f>
        <v>2939440440.8073311</v>
      </c>
      <c r="E26">
        <v>23</v>
      </c>
      <c r="F26" s="20">
        <f>E26*SUM('ContractPrice-CDE'!$F$2:$F$43)/100</f>
        <v>680837161.5163002</v>
      </c>
      <c r="G26" s="40">
        <f>F26/SUM('ContractPrice-CDE'!$J$2:$J$43)*100</f>
        <v>19.120535118717484</v>
      </c>
      <c r="H26" s="40">
        <f>G26*SUM('ContractPrice-CDE'!$J$2:$J$43)/100</f>
        <v>680837161.51630032</v>
      </c>
    </row>
    <row r="27" spans="1:8" s="6" customFormat="1" x14ac:dyDescent="0.25">
      <c r="A27" s="41" t="s">
        <v>271</v>
      </c>
      <c r="B27" s="6">
        <v>52</v>
      </c>
      <c r="C27" s="6">
        <v>100</v>
      </c>
      <c r="D27" s="20">
        <f>C27*SUM('ContractPrice-CDE'!$F$2:$F$43)/100</f>
        <v>2960161571.8100004</v>
      </c>
      <c r="E27" s="6">
        <v>23.2</v>
      </c>
      <c r="F27" s="20">
        <f>E27*SUM('ContractPrice-CDE'!$F$2:$F$43)/100</f>
        <v>686757484.65992022</v>
      </c>
      <c r="G27" s="40">
        <f>F27/SUM('ContractPrice-CDE'!$J$2:$J$43)*100</f>
        <v>19.286800641488938</v>
      </c>
      <c r="H27" s="40">
        <f>G27*SUM('ContractPrice-CDE'!$J$2:$J$43)/100</f>
        <v>686757484.65992022</v>
      </c>
    </row>
    <row r="28" spans="1:8" x14ac:dyDescent="0.25">
      <c r="A28" s="39" t="s">
        <v>272</v>
      </c>
      <c r="B28">
        <v>54</v>
      </c>
      <c r="C28">
        <v>100</v>
      </c>
      <c r="D28" s="20">
        <f>C28*SUM('ContractPrice-CDE'!$F$2:$F$43)/100</f>
        <v>2960161571.8100004</v>
      </c>
      <c r="E28">
        <v>23.5</v>
      </c>
      <c r="F28" s="20">
        <f>E28*SUM('ContractPrice-CDE'!$F$2:$F$43)/100</f>
        <v>695637969.37535024</v>
      </c>
      <c r="G28" s="40">
        <f>F28/SUM('ContractPrice-CDE'!$J$2:$J$43)*100</f>
        <v>19.536198925646122</v>
      </c>
      <c r="H28" s="40">
        <f>G28*SUM('ContractPrice-CDE'!$J$2:$J$43)/100</f>
        <v>695637969.37535024</v>
      </c>
    </row>
    <row r="29" spans="1:8" x14ac:dyDescent="0.25">
      <c r="A29" s="39" t="s">
        <v>273</v>
      </c>
      <c r="B29">
        <v>56</v>
      </c>
      <c r="C29">
        <v>100</v>
      </c>
      <c r="D29" s="20">
        <f>C29*SUM('ContractPrice-CDE'!$F$2:$F$43)/100</f>
        <v>2960161571.8100004</v>
      </c>
      <c r="E29">
        <v>23.7</v>
      </c>
      <c r="F29" s="20">
        <f>E29*SUM('ContractPrice-CDE'!$F$2:$F$43)/100</f>
        <v>701558292.51897013</v>
      </c>
      <c r="G29" s="40">
        <f>F29/SUM('ContractPrice-CDE'!$J$2:$J$43)*100</f>
        <v>19.702464448417579</v>
      </c>
      <c r="H29" s="40">
        <f>G29*SUM('ContractPrice-CDE'!$J$2:$J$43)/100</f>
        <v>701558292.51897013</v>
      </c>
    </row>
    <row r="30" spans="1:8" x14ac:dyDescent="0.25">
      <c r="A30" s="39" t="s">
        <v>274</v>
      </c>
      <c r="B30">
        <v>58</v>
      </c>
      <c r="C30">
        <v>100</v>
      </c>
      <c r="D30" s="20">
        <f>C30*SUM('ContractPrice-CDE'!$F$2:$F$43)/100</f>
        <v>2960161571.8100004</v>
      </c>
      <c r="E30">
        <v>24.2</v>
      </c>
      <c r="F30" s="20">
        <f>E30*SUM('ContractPrice-CDE'!$F$2:$F$43)/100</f>
        <v>716359100.37802017</v>
      </c>
      <c r="G30" s="40">
        <f>F30/SUM('ContractPrice-CDE'!$J$2:$J$43)*100</f>
        <v>20.118128255346218</v>
      </c>
      <c r="H30" s="40">
        <f>G30*SUM('ContractPrice-CDE'!$J$2:$J$43)/100</f>
        <v>716359100.37802017</v>
      </c>
    </row>
    <row r="31" spans="1:8" x14ac:dyDescent="0.25">
      <c r="A31" s="39" t="s">
        <v>275</v>
      </c>
      <c r="B31">
        <v>60</v>
      </c>
      <c r="C31">
        <v>100</v>
      </c>
      <c r="D31" s="20">
        <f>C31*SUM('ContractPrice-CDE'!$F$2:$F$43)/100</f>
        <v>2960161571.8100004</v>
      </c>
      <c r="E31">
        <v>25.5</v>
      </c>
      <c r="F31" s="20">
        <f>E31*SUM('ContractPrice-CDE'!$F$2:$F$43)/100</f>
        <v>754841200.81155026</v>
      </c>
      <c r="G31" s="40">
        <f>F31/SUM('ContractPrice-CDE'!$J$2:$J$43)*100</f>
        <v>21.198854153360688</v>
      </c>
      <c r="H31" s="40">
        <f>G31*SUM('ContractPrice-CDE'!$J$2:$J$43)/100</f>
        <v>754841200.81155026</v>
      </c>
    </row>
    <row r="32" spans="1:8" x14ac:dyDescent="0.25">
      <c r="A32" s="39" t="s">
        <v>276</v>
      </c>
      <c r="B32">
        <v>62</v>
      </c>
      <c r="C32">
        <v>100</v>
      </c>
      <c r="D32" s="20">
        <f>C32*SUM('ContractPrice-CDE'!$F$2:$F$43)/100</f>
        <v>2960161571.8100004</v>
      </c>
      <c r="E32">
        <v>26.5</v>
      </c>
      <c r="F32" s="20">
        <f>E32*SUM('ContractPrice-CDE'!$F$2:$F$43)/100</f>
        <v>784442816.52965021</v>
      </c>
      <c r="G32" s="40">
        <f>F32/SUM('ContractPrice-CDE'!$J$2:$J$43)*100</f>
        <v>22.030181767217968</v>
      </c>
      <c r="H32" s="40">
        <f>G32*SUM('ContractPrice-CDE'!$J$2:$J$43)/100</f>
        <v>784442816.52965021</v>
      </c>
    </row>
    <row r="33" spans="1:9" x14ac:dyDescent="0.25">
      <c r="A33" s="39" t="s">
        <v>277</v>
      </c>
      <c r="B33">
        <v>64</v>
      </c>
      <c r="C33">
        <v>100</v>
      </c>
      <c r="D33" s="20">
        <f>C33*SUM('ContractPrice-CDE'!$F$2:$F$43)/100</f>
        <v>2960161571.8100004</v>
      </c>
      <c r="E33">
        <v>26.6</v>
      </c>
      <c r="F33" s="20">
        <f>E33*SUM('ContractPrice-CDE'!$F$2:$F$43)/100</f>
        <v>787402978.10146022</v>
      </c>
      <c r="G33" s="40">
        <f>F33/SUM('ContractPrice-CDE'!$J$2:$J$43)*100</f>
        <v>22.113314528603699</v>
      </c>
      <c r="H33" s="40">
        <f>G33*SUM('ContractPrice-CDE'!$J$2:$J$43)/100</f>
        <v>787402978.10146022</v>
      </c>
    </row>
    <row r="34" spans="1:9" x14ac:dyDescent="0.25">
      <c r="A34" s="39" t="s">
        <v>278</v>
      </c>
      <c r="B34">
        <v>66</v>
      </c>
      <c r="C34">
        <v>100</v>
      </c>
      <c r="D34" s="20">
        <f>C34*SUM('ContractPrice-CDE'!$F$2:$F$43)/100</f>
        <v>2960161571.8100004</v>
      </c>
      <c r="E34">
        <v>26.9</v>
      </c>
      <c r="F34" s="20">
        <f>E34*SUM('ContractPrice-CDE'!$F$2:$F$43)/100</f>
        <v>796283462.81689024</v>
      </c>
      <c r="G34" s="40">
        <f>F34/SUM('ContractPrice-CDE'!$J$2:$J$43)*100</f>
        <v>22.362712812760883</v>
      </c>
      <c r="H34" s="40">
        <f>G34*SUM('ContractPrice-CDE'!$J$2:$J$43)/100</f>
        <v>796283462.81689024</v>
      </c>
    </row>
    <row r="35" spans="1:9" x14ac:dyDescent="0.25">
      <c r="A35" s="39" t="s">
        <v>279</v>
      </c>
      <c r="B35">
        <v>68</v>
      </c>
      <c r="C35">
        <v>100</v>
      </c>
      <c r="D35" s="20">
        <f>C35*SUM('ContractPrice-CDE'!$F$2:$F$43)/100</f>
        <v>2960161571.8100004</v>
      </c>
      <c r="E35">
        <v>27.1</v>
      </c>
      <c r="F35" s="20">
        <f>E35*SUM('ContractPrice-CDE'!$F$2:$F$43)/100</f>
        <v>802203785.96051025</v>
      </c>
      <c r="G35" s="40">
        <f>F35/SUM('ContractPrice-CDE'!$J$2:$J$43)*100</f>
        <v>22.528978335532337</v>
      </c>
      <c r="H35" s="40">
        <f>G35*SUM('ContractPrice-CDE'!$J$2:$J$43)/100</f>
        <v>802203785.96051025</v>
      </c>
    </row>
    <row r="36" spans="1:9" x14ac:dyDescent="0.25">
      <c r="A36" s="39" t="s">
        <v>280</v>
      </c>
      <c r="B36">
        <v>70</v>
      </c>
      <c r="C36">
        <v>100</v>
      </c>
      <c r="D36" s="20">
        <f>C36*SUM('ContractPrice-CDE'!$F$2:$F$43)/100</f>
        <v>2960161571.8100004</v>
      </c>
      <c r="E36">
        <v>27.6</v>
      </c>
      <c r="F36" s="20">
        <f>E36*SUM('ContractPrice-CDE'!$F$2:$F$43)/100</f>
        <v>817004593.81956029</v>
      </c>
      <c r="G36" s="40">
        <f>F36/SUM('ContractPrice-CDE'!$J$2:$J$43)*100</f>
        <v>22.944642142460982</v>
      </c>
      <c r="H36" s="40">
        <f>G36*SUM('ContractPrice-CDE'!$J$2:$J$43)/100</f>
        <v>817004593.81956041</v>
      </c>
    </row>
    <row r="37" spans="1:9" x14ac:dyDescent="0.25">
      <c r="A37" s="39" t="s">
        <v>281</v>
      </c>
      <c r="B37">
        <v>72</v>
      </c>
      <c r="C37">
        <v>100</v>
      </c>
      <c r="D37" s="20">
        <f>C37*SUM('ContractPrice-CDE'!$F$2:$F$43)/100</f>
        <v>2960161571.8100004</v>
      </c>
      <c r="E37">
        <v>28.8</v>
      </c>
      <c r="F37" s="20">
        <f>E37*SUM('ContractPrice-CDE'!$F$2:$F$43)/100</f>
        <v>852526532.68128026</v>
      </c>
      <c r="G37" s="40">
        <f>F37/SUM('ContractPrice-CDE'!$J$2:$J$43)*100</f>
        <v>23.942235279089715</v>
      </c>
      <c r="H37" s="40">
        <f>G37*SUM('ContractPrice-CDE'!$J$2:$J$43)/100</f>
        <v>852526532.68128026</v>
      </c>
    </row>
    <row r="38" spans="1:9" x14ac:dyDescent="0.25">
      <c r="A38" s="39" t="s">
        <v>282</v>
      </c>
      <c r="B38">
        <v>74</v>
      </c>
      <c r="C38">
        <v>100</v>
      </c>
      <c r="D38" s="20">
        <f>C38*SUM('ContractPrice-CDE'!$F$2:$F$43)/100</f>
        <v>2960161571.8100004</v>
      </c>
      <c r="E38">
        <v>29.5</v>
      </c>
      <c r="F38" s="20">
        <f>E38*SUM('ContractPrice-CDE'!$F$2:$F$43)/100</f>
        <v>873247663.68395019</v>
      </c>
      <c r="G38" s="40">
        <f>F38/SUM('ContractPrice-CDE'!$J$2:$J$43)*100</f>
        <v>24.52416460878981</v>
      </c>
      <c r="H38" s="40">
        <f>G38*SUM('ContractPrice-CDE'!$J$2:$J$43)/100</f>
        <v>873247663.68395019</v>
      </c>
    </row>
    <row r="39" spans="1:9" x14ac:dyDescent="0.25">
      <c r="A39" s="39" t="s">
        <v>283</v>
      </c>
      <c r="B39">
        <v>76</v>
      </c>
      <c r="C39">
        <v>100</v>
      </c>
      <c r="D39" s="20">
        <f>C39*SUM('ContractPrice-CDE'!$F$2:$F$43)/100</f>
        <v>2960161571.8100004</v>
      </c>
      <c r="E39">
        <v>30</v>
      </c>
      <c r="F39" s="20">
        <f>E39*SUM('ContractPrice-CDE'!$F$2:$F$43)/100</f>
        <v>888048471.54300034</v>
      </c>
      <c r="G39" s="40">
        <f>F39/SUM('ContractPrice-CDE'!$J$2:$J$43)*100</f>
        <v>24.939828415718456</v>
      </c>
      <c r="H39" s="40">
        <f>G39*SUM('ContractPrice-CDE'!$J$2:$J$43)/100</f>
        <v>888048471.54300034</v>
      </c>
    </row>
    <row r="40" spans="1:9" x14ac:dyDescent="0.25">
      <c r="A40" s="39" t="s">
        <v>284</v>
      </c>
      <c r="B40">
        <v>78</v>
      </c>
      <c r="C40">
        <v>100</v>
      </c>
      <c r="D40" s="20">
        <f>C40*SUM('ContractPrice-CDE'!$F$2:$F$43)/100</f>
        <v>2960161571.8100004</v>
      </c>
      <c r="E40">
        <v>30.2</v>
      </c>
      <c r="F40" s="20">
        <f>E40*SUM('ContractPrice-CDE'!$F$2:$F$43)/100</f>
        <v>893968794.68662024</v>
      </c>
      <c r="G40" s="40">
        <f>F40/SUM('ContractPrice-CDE'!$J$2:$J$43)*100</f>
        <v>25.106093938489909</v>
      </c>
      <c r="H40" s="40">
        <f>G40*SUM('ContractPrice-CDE'!$J$2:$J$43)/100</f>
        <v>893968794.68662024</v>
      </c>
    </row>
    <row r="41" spans="1:9" x14ac:dyDescent="0.25">
      <c r="A41" s="39" t="s">
        <v>285</v>
      </c>
      <c r="B41">
        <v>80</v>
      </c>
      <c r="C41">
        <v>100</v>
      </c>
      <c r="D41" s="20">
        <f>C41*SUM('ContractPrice-CDE'!$F$2:$F$43)/100</f>
        <v>2960161571.8100004</v>
      </c>
      <c r="E41">
        <v>30.2</v>
      </c>
      <c r="F41" s="20">
        <f>E41*SUM('ContractPrice-CDE'!$F$2:$F$43)/100</f>
        <v>893968794.68662024</v>
      </c>
      <c r="G41" s="40">
        <f>F41/SUM('ContractPrice-CDE'!$J$2:$J$43)*100</f>
        <v>25.106093938489909</v>
      </c>
      <c r="H41" s="40">
        <f>G41*SUM('ContractPrice-CDE'!$J$2:$J$43)/100</f>
        <v>893968794.68662024</v>
      </c>
    </row>
    <row r="42" spans="1:9" s="6" customFormat="1" x14ac:dyDescent="0.25">
      <c r="A42" s="41" t="s">
        <v>286</v>
      </c>
      <c r="B42" s="6">
        <v>82</v>
      </c>
      <c r="C42" s="6">
        <v>100</v>
      </c>
      <c r="D42" s="20">
        <f>C42*SUM('ContractPrice-CDE'!$F$2:$F$43)/100</f>
        <v>2960161571.8100004</v>
      </c>
      <c r="E42" s="6">
        <v>30.2</v>
      </c>
      <c r="F42" s="20">
        <f>E42*SUM('ContractPrice-CDE'!$F$2:$F$43)/100</f>
        <v>893968794.68662024</v>
      </c>
      <c r="G42" s="40">
        <f>F42/SUM('ContractPrice-CDE'!$J$2:$J$43)*100</f>
        <v>25.106093938489909</v>
      </c>
      <c r="H42" s="40">
        <f>G42*SUM('ContractPrice-CDE'!$J$2:$J$43)/100</f>
        <v>893968794.68662024</v>
      </c>
      <c r="I42" s="6">
        <v>1.6643090235891178</v>
      </c>
    </row>
    <row r="43" spans="1:9" x14ac:dyDescent="0.25">
      <c r="A43" s="39">
        <v>43860</v>
      </c>
      <c r="B43">
        <v>84</v>
      </c>
      <c r="C43">
        <v>100</v>
      </c>
      <c r="D43" s="20">
        <f>C43*SUM('ContractPrice-CDE'!$F$2:$F$43)/100</f>
        <v>2960161571.8100004</v>
      </c>
      <c r="E43">
        <f t="shared" ref="E43:E87" si="0">E42+$I$43</f>
        <v>31.751111111111115</v>
      </c>
      <c r="F43" s="20">
        <f>E43*SUM('ContractPrice-CDE'!$F$2:$F$43)/100</f>
        <v>939884189.73380661</v>
      </c>
      <c r="G43" s="40">
        <f t="shared" ref="G43:G87" si="1">G42+$I$42</f>
        <v>26.770402962079029</v>
      </c>
      <c r="H43" s="40">
        <f>G43*SUM('ContractPrice-CDE'!$J$2:$J$43)/100</f>
        <v>953230913.89358449</v>
      </c>
      <c r="I43">
        <v>1.5511111111111169</v>
      </c>
    </row>
    <row r="44" spans="1:9" x14ac:dyDescent="0.25">
      <c r="A44" s="39">
        <v>43875</v>
      </c>
      <c r="B44">
        <v>86</v>
      </c>
      <c r="C44">
        <v>100</v>
      </c>
      <c r="D44" s="20">
        <f>C44*SUM('ContractPrice-CDE'!$F$2:$F$43)/100</f>
        <v>2960161571.8100004</v>
      </c>
      <c r="E44">
        <f t="shared" si="0"/>
        <v>33.302222222222234</v>
      </c>
      <c r="F44" s="20">
        <f>E44*SUM('ContractPrice-CDE'!$F$2:$F$43)/100</f>
        <v>985799584.78099298</v>
      </c>
      <c r="G44" s="40">
        <f t="shared" si="1"/>
        <v>28.434711985668148</v>
      </c>
      <c r="H44" s="40">
        <f>G44*SUM('ContractPrice-CDE'!$J$2:$J$43)/100</f>
        <v>1012493033.1005487</v>
      </c>
    </row>
    <row r="45" spans="1:9" x14ac:dyDescent="0.25">
      <c r="A45" s="39">
        <v>43890</v>
      </c>
      <c r="B45">
        <v>88</v>
      </c>
      <c r="C45">
        <v>100</v>
      </c>
      <c r="D45" s="20">
        <f>C45*SUM('ContractPrice-CDE'!$F$2:$F$43)/100</f>
        <v>2960161571.8100004</v>
      </c>
      <c r="E45">
        <f t="shared" si="0"/>
        <v>34.853333333333353</v>
      </c>
      <c r="F45" s="20">
        <f>E45*SUM('ContractPrice-CDE'!$F$2:$F$43)/100</f>
        <v>1031714979.8281796</v>
      </c>
      <c r="G45" s="40">
        <f t="shared" si="1"/>
        <v>30.099021009257267</v>
      </c>
      <c r="H45" s="40">
        <f>G45*SUM('ContractPrice-CDE'!$J$2:$J$43)/100</f>
        <v>1071755152.3075128</v>
      </c>
    </row>
    <row r="46" spans="1:9" x14ac:dyDescent="0.25">
      <c r="A46" s="39">
        <v>43905</v>
      </c>
      <c r="B46">
        <v>90</v>
      </c>
      <c r="C46">
        <v>100</v>
      </c>
      <c r="D46" s="20">
        <f>C46*SUM('ContractPrice-CDE'!$F$2:$F$43)/100</f>
        <v>2960161571.8100004</v>
      </c>
      <c r="E46">
        <f t="shared" si="0"/>
        <v>36.404444444444472</v>
      </c>
      <c r="F46" s="20">
        <f>E46*SUM('ContractPrice-CDE'!$F$2:$F$43)/100</f>
        <v>1077630374.875366</v>
      </c>
      <c r="G46" s="40">
        <f t="shared" si="1"/>
        <v>31.763330032846387</v>
      </c>
      <c r="H46" s="40">
        <f>G46*SUM('ContractPrice-CDE'!$J$2:$J$43)/100</f>
        <v>1131017271.514477</v>
      </c>
    </row>
    <row r="47" spans="1:9" x14ac:dyDescent="0.25">
      <c r="A47" s="39">
        <v>43920</v>
      </c>
      <c r="B47">
        <v>92</v>
      </c>
      <c r="C47">
        <v>100</v>
      </c>
      <c r="D47" s="20">
        <f>C47*SUM('ContractPrice-CDE'!$F$2:$F$43)/100</f>
        <v>2960161571.8100004</v>
      </c>
      <c r="E47">
        <f t="shared" si="0"/>
        <v>37.955555555555591</v>
      </c>
      <c r="F47" s="20">
        <f>E47*SUM('ContractPrice-CDE'!$F$2:$F$43)/100</f>
        <v>1123545769.9225526</v>
      </c>
      <c r="G47" s="40">
        <f t="shared" si="1"/>
        <v>33.427639056435503</v>
      </c>
      <c r="H47" s="40">
        <f>G47*SUM('ContractPrice-CDE'!$J$2:$J$43)/100</f>
        <v>1190279390.7214413</v>
      </c>
    </row>
    <row r="48" spans="1:9" x14ac:dyDescent="0.25">
      <c r="A48" s="39">
        <v>43936</v>
      </c>
      <c r="B48">
        <v>94</v>
      </c>
      <c r="C48">
        <v>100</v>
      </c>
      <c r="D48" s="20">
        <f>C48*SUM('ContractPrice-CDE'!$F$2:$F$43)/100</f>
        <v>2960161571.8100004</v>
      </c>
      <c r="E48">
        <f t="shared" si="0"/>
        <v>39.50666666666671</v>
      </c>
      <c r="F48" s="20">
        <f>E48*SUM('ContractPrice-CDE'!$F$2:$F$43)/100</f>
        <v>1169461164.969739</v>
      </c>
      <c r="G48" s="40">
        <f t="shared" si="1"/>
        <v>35.091948080024622</v>
      </c>
      <c r="H48" s="40">
        <f>G48*SUM('ContractPrice-CDE'!$J$2:$J$43)/100</f>
        <v>1249541509.9284053</v>
      </c>
    </row>
    <row r="49" spans="1:8" x14ac:dyDescent="0.25">
      <c r="A49" s="39">
        <v>43951</v>
      </c>
      <c r="B49">
        <v>96</v>
      </c>
      <c r="C49">
        <v>100</v>
      </c>
      <c r="D49" s="20">
        <f>C49*SUM('ContractPrice-CDE'!$F$2:$F$43)/100</f>
        <v>2960161571.8100004</v>
      </c>
      <c r="E49">
        <f t="shared" si="0"/>
        <v>41.057777777777829</v>
      </c>
      <c r="F49" s="20">
        <f>E49*SUM('ContractPrice-CDE'!$F$2:$F$43)/100</f>
        <v>1215376560.0169256</v>
      </c>
      <c r="G49" s="40">
        <f t="shared" si="1"/>
        <v>36.756257103613741</v>
      </c>
      <c r="H49" s="40">
        <f>G49*SUM('ContractPrice-CDE'!$J$2:$J$43)/100</f>
        <v>1308803629.1353695</v>
      </c>
    </row>
    <row r="50" spans="1:8" x14ac:dyDescent="0.25">
      <c r="A50" s="39">
        <v>43966</v>
      </c>
      <c r="B50">
        <v>98</v>
      </c>
      <c r="C50">
        <v>100</v>
      </c>
      <c r="D50" s="20">
        <f>C50*SUM('ContractPrice-CDE'!$F$2:$F$43)/100</f>
        <v>2960161571.8100004</v>
      </c>
      <c r="E50">
        <f t="shared" si="0"/>
        <v>42.608888888888949</v>
      </c>
      <c r="F50" s="20">
        <f>E50*SUM('ContractPrice-CDE'!$F$2:$F$43)/100</f>
        <v>1261291955.0641119</v>
      </c>
      <c r="G50" s="40">
        <f t="shared" si="1"/>
        <v>38.420566127202861</v>
      </c>
      <c r="H50" s="40">
        <f>G50*SUM('ContractPrice-CDE'!$J$2:$J$43)/100</f>
        <v>1368065748.3423338</v>
      </c>
    </row>
    <row r="51" spans="1:8" s="6" customFormat="1" x14ac:dyDescent="0.25">
      <c r="A51" s="41">
        <v>43981</v>
      </c>
      <c r="B51" s="6">
        <v>100</v>
      </c>
      <c r="C51" s="6">
        <v>100</v>
      </c>
      <c r="D51" s="20">
        <f>C51*SUM('ContractPrice-CDE'!$F$2:$F$43)/100</f>
        <v>2960161571.8100004</v>
      </c>
      <c r="E51">
        <f t="shared" si="0"/>
        <v>44.160000000000068</v>
      </c>
      <c r="F51" s="20">
        <f>E51*SUM('ContractPrice-CDE'!$F$2:$F$43)/100</f>
        <v>1307207350.1112983</v>
      </c>
      <c r="G51" s="40">
        <f t="shared" si="1"/>
        <v>40.08487515079198</v>
      </c>
      <c r="H51" s="40">
        <f>G51*SUM('ContractPrice-CDE'!$J$2:$J$43)/100</f>
        <v>1427327867.549298</v>
      </c>
    </row>
    <row r="52" spans="1:8" x14ac:dyDescent="0.25">
      <c r="A52" s="39">
        <v>43997</v>
      </c>
      <c r="B52">
        <v>102</v>
      </c>
      <c r="C52">
        <v>100</v>
      </c>
      <c r="D52" s="20">
        <f>C52*SUM('ContractPrice-CDE'!$F$2:$F$43)/100</f>
        <v>2960161571.8100004</v>
      </c>
      <c r="E52">
        <f t="shared" si="0"/>
        <v>45.711111111111187</v>
      </c>
      <c r="F52" s="20">
        <f>E52*SUM('ContractPrice-CDE'!$F$2:$F$43)/100</f>
        <v>1353122745.1584847</v>
      </c>
      <c r="G52" s="40">
        <f t="shared" si="1"/>
        <v>41.749184174381099</v>
      </c>
      <c r="H52" s="40">
        <f>G52*SUM('ContractPrice-CDE'!$J$2:$J$43)/100</f>
        <v>1486589986.7562623</v>
      </c>
    </row>
    <row r="53" spans="1:8" x14ac:dyDescent="0.25">
      <c r="A53" s="39">
        <v>44012</v>
      </c>
      <c r="B53">
        <v>104</v>
      </c>
      <c r="C53">
        <v>100</v>
      </c>
      <c r="D53" s="20">
        <f>C53*SUM('ContractPrice-CDE'!$F$2:$F$43)/100</f>
        <v>2960161571.8100004</v>
      </c>
      <c r="E53">
        <f t="shared" si="0"/>
        <v>47.262222222222306</v>
      </c>
      <c r="F53" s="20">
        <f>E53*SUM('ContractPrice-CDE'!$F$2:$F$43)/100</f>
        <v>1399038140.2056713</v>
      </c>
      <c r="G53" s="40">
        <f t="shared" si="1"/>
        <v>43.413493197970219</v>
      </c>
      <c r="H53" s="40">
        <f>G53*SUM('ContractPrice-CDE'!$J$2:$J$43)/100</f>
        <v>1545852105.9632263</v>
      </c>
    </row>
    <row r="54" spans="1:8" x14ac:dyDescent="0.25">
      <c r="A54" s="39">
        <v>44027</v>
      </c>
      <c r="B54">
        <v>106</v>
      </c>
      <c r="C54">
        <v>100</v>
      </c>
      <c r="D54" s="20">
        <f>C54*SUM('ContractPrice-CDE'!$F$2:$F$43)/100</f>
        <v>2960161571.8100004</v>
      </c>
      <c r="E54">
        <f t="shared" si="0"/>
        <v>48.813333333333425</v>
      </c>
      <c r="F54" s="20">
        <f>E54*SUM('ContractPrice-CDE'!$F$2:$F$43)/100</f>
        <v>1444953535.2528577</v>
      </c>
      <c r="G54" s="40">
        <f t="shared" si="1"/>
        <v>45.077802221559338</v>
      </c>
      <c r="H54" s="40">
        <f>G54*SUM('ContractPrice-CDE'!$J$2:$J$43)/100</f>
        <v>1605114225.1701908</v>
      </c>
    </row>
    <row r="55" spans="1:8" x14ac:dyDescent="0.25">
      <c r="A55" s="39">
        <v>44042</v>
      </c>
      <c r="B55">
        <v>108</v>
      </c>
      <c r="C55">
        <v>100</v>
      </c>
      <c r="D55" s="20">
        <f>C55*SUM('ContractPrice-CDE'!$F$2:$F$43)/100</f>
        <v>2960161571.8100004</v>
      </c>
      <c r="E55">
        <f t="shared" si="0"/>
        <v>50.364444444444544</v>
      </c>
      <c r="F55" s="20">
        <f>E55*SUM('ContractPrice-CDE'!$F$2:$F$43)/100</f>
        <v>1490868930.3000443</v>
      </c>
      <c r="G55" s="40">
        <f t="shared" si="1"/>
        <v>46.742111245148457</v>
      </c>
      <c r="H55" s="40">
        <f>G55*SUM('ContractPrice-CDE'!$J$2:$J$43)/100</f>
        <v>1664376344.3771548</v>
      </c>
    </row>
    <row r="56" spans="1:8" x14ac:dyDescent="0.25">
      <c r="A56" s="39">
        <v>44058</v>
      </c>
      <c r="B56">
        <v>110</v>
      </c>
      <c r="C56">
        <v>100</v>
      </c>
      <c r="D56" s="20">
        <f>C56*SUM('ContractPrice-CDE'!$F$2:$F$43)/100</f>
        <v>2960161571.8100004</v>
      </c>
      <c r="E56">
        <f t="shared" si="0"/>
        <v>51.915555555555663</v>
      </c>
      <c r="F56" s="20">
        <f>E56*SUM('ContractPrice-CDE'!$F$2:$F$43)/100</f>
        <v>1536784325.3472309</v>
      </c>
      <c r="G56" s="40">
        <f t="shared" si="1"/>
        <v>48.406420268737577</v>
      </c>
      <c r="H56" s="40">
        <f>G56*SUM('ContractPrice-CDE'!$J$2:$J$43)/100</f>
        <v>1723638463.5841193</v>
      </c>
    </row>
    <row r="57" spans="1:8" x14ac:dyDescent="0.25">
      <c r="A57" s="39">
        <v>44073</v>
      </c>
      <c r="B57">
        <v>112</v>
      </c>
      <c r="C57">
        <v>100</v>
      </c>
      <c r="D57" s="20">
        <f>C57*SUM('ContractPrice-CDE'!$F$2:$F$43)/100</f>
        <v>2960161571.8100004</v>
      </c>
      <c r="E57">
        <f t="shared" si="0"/>
        <v>53.466666666666782</v>
      </c>
      <c r="F57" s="20">
        <f>E57*SUM('ContractPrice-CDE'!$F$2:$F$43)/100</f>
        <v>1582699720.394417</v>
      </c>
      <c r="G57" s="40">
        <f t="shared" si="1"/>
        <v>50.070729292326696</v>
      </c>
      <c r="H57" s="40">
        <f>G57*SUM('ContractPrice-CDE'!$J$2:$J$43)/100</f>
        <v>1782900582.7910833</v>
      </c>
    </row>
    <row r="58" spans="1:8" x14ac:dyDescent="0.25">
      <c r="A58" s="39">
        <v>44089</v>
      </c>
      <c r="B58">
        <v>114</v>
      </c>
      <c r="C58">
        <v>100</v>
      </c>
      <c r="D58" s="20">
        <f>C58*SUM('ContractPrice-CDE'!$F$2:$F$43)/100</f>
        <v>2960161571.8100004</v>
      </c>
      <c r="E58">
        <f t="shared" si="0"/>
        <v>55.017777777777901</v>
      </c>
      <c r="F58" s="20">
        <f>E58*SUM('ContractPrice-CDE'!$F$2:$F$43)/100</f>
        <v>1628615115.4416037</v>
      </c>
      <c r="G58" s="40">
        <f t="shared" si="1"/>
        <v>51.735038315915816</v>
      </c>
      <c r="H58" s="40">
        <f>G58*SUM('ContractPrice-CDE'!$J$2:$J$43)/100</f>
        <v>1842162701.9980476</v>
      </c>
    </row>
    <row r="59" spans="1:8" x14ac:dyDescent="0.25">
      <c r="A59" s="39">
        <v>44104</v>
      </c>
      <c r="B59">
        <v>116</v>
      </c>
      <c r="C59">
        <v>100</v>
      </c>
      <c r="D59" s="20">
        <f>C59*SUM('ContractPrice-CDE'!$F$2:$F$43)/100</f>
        <v>2960161571.8100004</v>
      </c>
      <c r="E59">
        <f t="shared" si="0"/>
        <v>56.56888888888902</v>
      </c>
      <c r="F59" s="20">
        <f>E59*SUM('ContractPrice-CDE'!$F$2:$F$43)/100</f>
        <v>1674530510.4887903</v>
      </c>
      <c r="G59" s="40">
        <f t="shared" si="1"/>
        <v>53.399347339504935</v>
      </c>
      <c r="H59" s="40">
        <f>G59*SUM('ContractPrice-CDE'!$J$2:$J$43)/100</f>
        <v>1901424821.2050118</v>
      </c>
    </row>
    <row r="60" spans="1:8" x14ac:dyDescent="0.25">
      <c r="A60" s="39">
        <v>44119</v>
      </c>
      <c r="B60">
        <v>118</v>
      </c>
      <c r="C60">
        <v>100</v>
      </c>
      <c r="D60" s="20">
        <f>C60*SUM('ContractPrice-CDE'!$F$2:$F$43)/100</f>
        <v>2960161571.8100004</v>
      </c>
      <c r="E60">
        <f t="shared" si="0"/>
        <v>58.12000000000014</v>
      </c>
      <c r="F60" s="20">
        <f>E60*SUM('ContractPrice-CDE'!$F$2:$F$43)/100</f>
        <v>1720445905.5359766</v>
      </c>
      <c r="G60" s="40">
        <f t="shared" si="1"/>
        <v>55.063656363094054</v>
      </c>
      <c r="H60" s="40">
        <f>G60*SUM('ContractPrice-CDE'!$J$2:$J$43)/100</f>
        <v>1960686940.4119761</v>
      </c>
    </row>
    <row r="61" spans="1:8" x14ac:dyDescent="0.25">
      <c r="A61" s="39">
        <v>44134</v>
      </c>
      <c r="B61">
        <v>120</v>
      </c>
      <c r="C61">
        <v>100</v>
      </c>
      <c r="D61" s="20">
        <f>C61*SUM('ContractPrice-CDE'!$F$2:$F$43)/100</f>
        <v>2960161571.8100004</v>
      </c>
      <c r="E61">
        <f t="shared" si="0"/>
        <v>59.671111111111259</v>
      </c>
      <c r="F61" s="20">
        <f>E61*SUM('ContractPrice-CDE'!$F$2:$F$43)/100</f>
        <v>1766361300.5831633</v>
      </c>
      <c r="G61" s="40">
        <f t="shared" si="1"/>
        <v>56.727965386683174</v>
      </c>
      <c r="H61" s="40">
        <f>G61*SUM('ContractPrice-CDE'!$J$2:$J$43)/100</f>
        <v>2019949059.6189401</v>
      </c>
    </row>
    <row r="62" spans="1:8" x14ac:dyDescent="0.25">
      <c r="A62" s="39">
        <v>44150</v>
      </c>
      <c r="B62">
        <v>122</v>
      </c>
      <c r="C62">
        <v>100</v>
      </c>
      <c r="D62" s="20">
        <f>C62*SUM('ContractPrice-CDE'!$F$2:$F$43)/100</f>
        <v>2960161571.8100004</v>
      </c>
      <c r="E62">
        <f t="shared" si="0"/>
        <v>61.222222222222378</v>
      </c>
      <c r="F62" s="20">
        <f>E62*SUM('ContractPrice-CDE'!$F$2:$F$43)/100</f>
        <v>1812276695.6303496</v>
      </c>
      <c r="G62" s="40">
        <f t="shared" si="1"/>
        <v>58.392274410272293</v>
      </c>
      <c r="H62" s="40">
        <f>G62*SUM('ContractPrice-CDE'!$J$2:$J$43)/100</f>
        <v>2079211178.8259046</v>
      </c>
    </row>
    <row r="63" spans="1:8" x14ac:dyDescent="0.25">
      <c r="A63" s="39">
        <v>44165</v>
      </c>
      <c r="B63">
        <v>124</v>
      </c>
      <c r="C63">
        <v>100</v>
      </c>
      <c r="D63" s="20">
        <f>C63*SUM('ContractPrice-CDE'!$F$2:$F$43)/100</f>
        <v>2960161571.8100004</v>
      </c>
      <c r="E63">
        <f t="shared" si="0"/>
        <v>62.773333333333497</v>
      </c>
      <c r="F63" s="20">
        <f>E63*SUM('ContractPrice-CDE'!$F$2:$F$43)/100</f>
        <v>1858192090.677536</v>
      </c>
      <c r="G63" s="40">
        <f t="shared" si="1"/>
        <v>60.056583433861412</v>
      </c>
      <c r="H63" s="40">
        <f>G63*SUM('ContractPrice-CDE'!$J$2:$J$43)/100</f>
        <v>2138473298.0328686</v>
      </c>
    </row>
    <row r="64" spans="1:8" x14ac:dyDescent="0.25">
      <c r="A64" s="39">
        <v>44180</v>
      </c>
      <c r="B64">
        <v>126</v>
      </c>
      <c r="C64">
        <v>100</v>
      </c>
      <c r="D64" s="20">
        <f>C64*SUM('ContractPrice-CDE'!$F$2:$F$43)/100</f>
        <v>2960161571.8100004</v>
      </c>
      <c r="E64">
        <f t="shared" si="0"/>
        <v>64.324444444444609</v>
      </c>
      <c r="F64" s="20">
        <f>E64*SUM('ContractPrice-CDE'!$F$2:$F$43)/100</f>
        <v>1904107485.7247224</v>
      </c>
      <c r="G64" s="40">
        <f t="shared" si="1"/>
        <v>61.720892457450532</v>
      </c>
      <c r="H64" s="40">
        <f>G64*SUM('ContractPrice-CDE'!$J$2:$J$43)/100</f>
        <v>2197735417.2398329</v>
      </c>
    </row>
    <row r="65" spans="1:8" x14ac:dyDescent="0.25">
      <c r="A65" s="39">
        <v>44195</v>
      </c>
      <c r="B65">
        <v>128</v>
      </c>
      <c r="C65">
        <v>100</v>
      </c>
      <c r="D65" s="20">
        <f>C65*SUM('ContractPrice-CDE'!$F$2:$F$43)/100</f>
        <v>2960161571.8100004</v>
      </c>
      <c r="E65">
        <f t="shared" si="0"/>
        <v>65.875555555555721</v>
      </c>
      <c r="F65" s="20">
        <f>E65*SUM('ContractPrice-CDE'!$F$2:$F$43)/100</f>
        <v>1950022880.7719085</v>
      </c>
      <c r="G65" s="40">
        <f t="shared" si="1"/>
        <v>63.385201481039651</v>
      </c>
      <c r="H65" s="40">
        <f>G65*SUM('ContractPrice-CDE'!$J$2:$J$43)/100</f>
        <v>2256997536.4467974</v>
      </c>
    </row>
    <row r="66" spans="1:8" x14ac:dyDescent="0.25">
      <c r="A66" s="39">
        <v>44211</v>
      </c>
      <c r="B66">
        <v>130</v>
      </c>
      <c r="C66">
        <v>100</v>
      </c>
      <c r="D66" s="20">
        <f>C66*SUM('ContractPrice-CDE'!$F$2:$F$43)/100</f>
        <v>2960161571.8100004</v>
      </c>
      <c r="E66">
        <f t="shared" si="0"/>
        <v>67.426666666666833</v>
      </c>
      <c r="F66" s="20">
        <f>E66*SUM('ContractPrice-CDE'!$F$2:$F$43)/100</f>
        <v>1995938275.8190949</v>
      </c>
      <c r="G66" s="40">
        <f t="shared" si="1"/>
        <v>65.04951050462877</v>
      </c>
      <c r="H66" s="40">
        <f>G66*SUM('ContractPrice-CDE'!$J$2:$J$43)/100</f>
        <v>2316259655.6537614</v>
      </c>
    </row>
    <row r="67" spans="1:8" x14ac:dyDescent="0.25">
      <c r="A67" s="39">
        <v>44226</v>
      </c>
      <c r="B67">
        <v>132</v>
      </c>
      <c r="C67">
        <v>100</v>
      </c>
      <c r="D67" s="20">
        <f>C67*SUM('ContractPrice-CDE'!$F$2:$F$43)/100</f>
        <v>2960161571.8100004</v>
      </c>
      <c r="E67">
        <f t="shared" si="0"/>
        <v>68.977777777777945</v>
      </c>
      <c r="F67" s="20">
        <f>E67*SUM('ContractPrice-CDE'!$F$2:$F$43)/100</f>
        <v>2041853670.866281</v>
      </c>
      <c r="G67" s="40">
        <f t="shared" si="1"/>
        <v>66.713819528217883</v>
      </c>
      <c r="H67" s="40">
        <f>G67*SUM('ContractPrice-CDE'!$J$2:$J$43)/100</f>
        <v>2375521774.8607254</v>
      </c>
    </row>
    <row r="68" spans="1:8" x14ac:dyDescent="0.25">
      <c r="A68" s="39">
        <v>44242</v>
      </c>
      <c r="B68">
        <v>134</v>
      </c>
      <c r="C68">
        <v>100</v>
      </c>
      <c r="D68" s="20">
        <f>C68*SUM('ContractPrice-CDE'!$F$2:$F$43)/100</f>
        <v>2960161571.8100004</v>
      </c>
      <c r="E68">
        <f t="shared" si="0"/>
        <v>70.528888888889057</v>
      </c>
      <c r="F68" s="20">
        <f>E68*SUM('ContractPrice-CDE'!$F$2:$F$43)/100</f>
        <v>2087769065.9134674</v>
      </c>
      <c r="G68" s="40">
        <f t="shared" si="1"/>
        <v>68.378128551806995</v>
      </c>
      <c r="H68" s="40">
        <f>G68*SUM('ContractPrice-CDE'!$J$2:$J$43)/100</f>
        <v>2434783894.0676894</v>
      </c>
    </row>
    <row r="69" spans="1:8" x14ac:dyDescent="0.25">
      <c r="A69" s="39">
        <v>44255</v>
      </c>
      <c r="B69">
        <v>136</v>
      </c>
      <c r="C69">
        <v>100</v>
      </c>
      <c r="D69" s="20">
        <f>C69*SUM('ContractPrice-CDE'!$F$2:$F$43)/100</f>
        <v>2960161571.8100004</v>
      </c>
      <c r="E69">
        <f t="shared" si="0"/>
        <v>72.080000000000169</v>
      </c>
      <c r="F69" s="20">
        <f>E69*SUM('ContractPrice-CDE'!$F$2:$F$43)/100</f>
        <v>2133684460.9606538</v>
      </c>
      <c r="G69" s="40">
        <f t="shared" si="1"/>
        <v>70.042437575396107</v>
      </c>
      <c r="H69" s="40">
        <f>G69*SUM('ContractPrice-CDE'!$J$2:$J$43)/100</f>
        <v>2494046013.2746534</v>
      </c>
    </row>
    <row r="70" spans="1:8" x14ac:dyDescent="0.25">
      <c r="A70" s="39">
        <v>44270</v>
      </c>
      <c r="B70">
        <v>138</v>
      </c>
      <c r="C70">
        <v>100</v>
      </c>
      <c r="D70" s="20">
        <f>C70*SUM('ContractPrice-CDE'!$F$2:$F$43)/100</f>
        <v>2960161571.8100004</v>
      </c>
      <c r="E70">
        <f t="shared" si="0"/>
        <v>73.631111111111281</v>
      </c>
      <c r="F70" s="20">
        <f>E70*SUM('ContractPrice-CDE'!$F$2:$F$43)/100</f>
        <v>2179599856.0078402</v>
      </c>
      <c r="G70" s="40">
        <f t="shared" si="1"/>
        <v>71.70674659898522</v>
      </c>
      <c r="H70" s="40">
        <f>G70*SUM('ContractPrice-CDE'!$J$2:$J$43)/100</f>
        <v>2553308132.481617</v>
      </c>
    </row>
    <row r="71" spans="1:8" x14ac:dyDescent="0.25">
      <c r="A71" s="39">
        <v>44285</v>
      </c>
      <c r="B71">
        <v>140</v>
      </c>
      <c r="C71">
        <v>100</v>
      </c>
      <c r="D71" s="20">
        <f>C71*SUM('ContractPrice-CDE'!$F$2:$F$43)/100</f>
        <v>2960161571.8100004</v>
      </c>
      <c r="E71">
        <f t="shared" si="0"/>
        <v>75.182222222222393</v>
      </c>
      <c r="F71" s="20">
        <f>E71*SUM('ContractPrice-CDE'!$F$2:$F$43)/100</f>
        <v>2225515251.0550261</v>
      </c>
      <c r="G71" s="40">
        <f t="shared" si="1"/>
        <v>73.371055622574332</v>
      </c>
      <c r="H71" s="40">
        <f>G71*SUM('ContractPrice-CDE'!$J$2:$J$43)/100</f>
        <v>2612570251.6885815</v>
      </c>
    </row>
    <row r="72" spans="1:8" x14ac:dyDescent="0.25">
      <c r="A72" s="39">
        <v>44301</v>
      </c>
      <c r="B72">
        <v>142</v>
      </c>
      <c r="C72">
        <v>100</v>
      </c>
      <c r="D72" s="20">
        <f>C72*SUM('ContractPrice-CDE'!$F$2:$F$43)/100</f>
        <v>2960161571.8100004</v>
      </c>
      <c r="E72">
        <f t="shared" si="0"/>
        <v>76.733333333333505</v>
      </c>
      <c r="F72" s="20">
        <f>E72*SUM('ContractPrice-CDE'!$F$2:$F$43)/100</f>
        <v>2271430646.1022124</v>
      </c>
      <c r="G72" s="40">
        <f t="shared" si="1"/>
        <v>75.035364646163444</v>
      </c>
      <c r="H72" s="40">
        <f>G72*SUM('ContractPrice-CDE'!$J$2:$J$43)/100</f>
        <v>2671832370.895545</v>
      </c>
    </row>
    <row r="73" spans="1:8" x14ac:dyDescent="0.25">
      <c r="A73" s="39">
        <v>44316</v>
      </c>
      <c r="B73">
        <v>144</v>
      </c>
      <c r="C73">
        <v>100</v>
      </c>
      <c r="D73" s="20">
        <f>C73*SUM('ContractPrice-CDE'!$F$2:$F$43)/100</f>
        <v>2960161571.8100004</v>
      </c>
      <c r="E73">
        <f t="shared" si="0"/>
        <v>78.284444444444617</v>
      </c>
      <c r="F73" s="20">
        <f>E73*SUM('ContractPrice-CDE'!$F$2:$F$43)/100</f>
        <v>2317346041.1493988</v>
      </c>
      <c r="G73" s="40">
        <f t="shared" si="1"/>
        <v>76.699673669752556</v>
      </c>
      <c r="H73" s="40">
        <f>G73*SUM('ContractPrice-CDE'!$J$2:$J$43)/100</f>
        <v>2731094490.102509</v>
      </c>
    </row>
    <row r="74" spans="1:8" x14ac:dyDescent="0.25">
      <c r="A74" s="39">
        <v>44331</v>
      </c>
      <c r="B74">
        <v>146</v>
      </c>
      <c r="C74">
        <v>100</v>
      </c>
      <c r="D74" s="20">
        <f>C74*SUM('ContractPrice-CDE'!$F$2:$F$43)/100</f>
        <v>2960161571.8100004</v>
      </c>
      <c r="E74">
        <f t="shared" si="0"/>
        <v>79.835555555555729</v>
      </c>
      <c r="F74" s="20">
        <f>E74*SUM('ContractPrice-CDE'!$F$2:$F$43)/100</f>
        <v>2363261436.1965852</v>
      </c>
      <c r="G74" s="40">
        <f t="shared" si="1"/>
        <v>78.363982693341669</v>
      </c>
      <c r="H74" s="40">
        <f>G74*SUM('ContractPrice-CDE'!$J$2:$J$43)/100</f>
        <v>2790356609.309473</v>
      </c>
    </row>
    <row r="75" spans="1:8" x14ac:dyDescent="0.25">
      <c r="A75" s="39">
        <v>44346</v>
      </c>
      <c r="B75">
        <v>148</v>
      </c>
      <c r="C75">
        <v>100</v>
      </c>
      <c r="D75" s="20">
        <f>C75*SUM('ContractPrice-CDE'!$F$2:$F$43)/100</f>
        <v>2960161571.8100004</v>
      </c>
      <c r="E75">
        <f t="shared" si="0"/>
        <v>81.386666666666841</v>
      </c>
      <c r="F75" s="20">
        <f>E75*SUM('ContractPrice-CDE'!$F$2:$F$43)/100</f>
        <v>2409176831.2437716</v>
      </c>
      <c r="G75" s="40">
        <f t="shared" si="1"/>
        <v>80.028291716930781</v>
      </c>
      <c r="H75" s="40">
        <f>G75*SUM('ContractPrice-CDE'!$J$2:$J$43)/100</f>
        <v>2849618728.5164366</v>
      </c>
    </row>
    <row r="76" spans="1:8" x14ac:dyDescent="0.25">
      <c r="A76" s="39">
        <v>44362</v>
      </c>
      <c r="B76">
        <v>150</v>
      </c>
      <c r="C76">
        <v>100</v>
      </c>
      <c r="D76" s="20">
        <f>C76*SUM('ContractPrice-CDE'!$F$2:$F$43)/100</f>
        <v>2960161571.8100004</v>
      </c>
      <c r="E76">
        <f t="shared" si="0"/>
        <v>82.937777777777953</v>
      </c>
      <c r="F76" s="20">
        <f>E76*SUM('ContractPrice-CDE'!$F$2:$F$43)/100</f>
        <v>2455092226.2909575</v>
      </c>
      <c r="G76" s="40">
        <f t="shared" si="1"/>
        <v>81.692600740519893</v>
      </c>
      <c r="H76" s="40">
        <f>G76*SUM('ContractPrice-CDE'!$J$2:$J$43)/100</f>
        <v>2908880847.7234011</v>
      </c>
    </row>
    <row r="77" spans="1:8" x14ac:dyDescent="0.25">
      <c r="A77" s="39">
        <v>44377</v>
      </c>
      <c r="B77">
        <v>152</v>
      </c>
      <c r="C77">
        <v>100</v>
      </c>
      <c r="D77" s="20">
        <f>C77*SUM('ContractPrice-CDE'!$F$2:$F$43)/100</f>
        <v>2960161571.8100004</v>
      </c>
      <c r="E77">
        <f t="shared" si="0"/>
        <v>84.488888888889065</v>
      </c>
      <c r="F77" s="20">
        <f>E77*SUM('ContractPrice-CDE'!$F$2:$F$43)/100</f>
        <v>2501007621.3381438</v>
      </c>
      <c r="G77" s="40">
        <f t="shared" si="1"/>
        <v>83.356909764109005</v>
      </c>
      <c r="H77" s="40">
        <f>G77*SUM('ContractPrice-CDE'!$J$2:$J$43)/100</f>
        <v>2968142966.9303651</v>
      </c>
    </row>
    <row r="78" spans="1:8" x14ac:dyDescent="0.25">
      <c r="A78" s="39">
        <v>44392</v>
      </c>
      <c r="B78">
        <v>154</v>
      </c>
      <c r="C78">
        <v>100</v>
      </c>
      <c r="D78" s="20">
        <f>C78*SUM('ContractPrice-CDE'!$F$2:$F$43)/100</f>
        <v>2960161571.8100004</v>
      </c>
      <c r="E78">
        <f t="shared" si="0"/>
        <v>86.040000000000177</v>
      </c>
      <c r="F78" s="20">
        <f>E78*SUM('ContractPrice-CDE'!$F$2:$F$43)/100</f>
        <v>2546923016.3853297</v>
      </c>
      <c r="G78" s="40">
        <f t="shared" si="1"/>
        <v>85.021218787698118</v>
      </c>
      <c r="H78" s="40">
        <f>G78*SUM('ContractPrice-CDE'!$J$2:$J$43)/100</f>
        <v>3027405086.1373291</v>
      </c>
    </row>
    <row r="79" spans="1:8" x14ac:dyDescent="0.25">
      <c r="A79" s="39">
        <v>44407</v>
      </c>
      <c r="B79">
        <v>156</v>
      </c>
      <c r="C79">
        <v>100</v>
      </c>
      <c r="D79" s="20">
        <f>C79*SUM('ContractPrice-CDE'!$F$2:$F$43)/100</f>
        <v>2960161571.8100004</v>
      </c>
      <c r="E79">
        <f t="shared" si="0"/>
        <v>87.591111111111289</v>
      </c>
      <c r="F79" s="20">
        <f>E79*SUM('ContractPrice-CDE'!$F$2:$F$43)/100</f>
        <v>2592838411.4325161</v>
      </c>
      <c r="G79" s="40">
        <f t="shared" si="1"/>
        <v>86.68552781128723</v>
      </c>
      <c r="H79" s="40">
        <f>G79*SUM('ContractPrice-CDE'!$J$2:$J$43)/100</f>
        <v>3086667205.3442926</v>
      </c>
    </row>
    <row r="80" spans="1:8" x14ac:dyDescent="0.25">
      <c r="A80" s="39">
        <v>44423</v>
      </c>
      <c r="B80">
        <v>158</v>
      </c>
      <c r="C80">
        <v>100</v>
      </c>
      <c r="D80" s="20">
        <f>C80*SUM('ContractPrice-CDE'!$F$2:$F$43)/100</f>
        <v>2960161571.8100004</v>
      </c>
      <c r="E80">
        <f t="shared" si="0"/>
        <v>89.142222222222401</v>
      </c>
      <c r="F80" s="20">
        <f>E80*SUM('ContractPrice-CDE'!$F$2:$F$43)/100</f>
        <v>2638753806.4797025</v>
      </c>
      <c r="G80" s="40">
        <f t="shared" si="1"/>
        <v>88.349836834876342</v>
      </c>
      <c r="H80" s="40">
        <f>G80*SUM('ContractPrice-CDE'!$J$2:$J$43)/100</f>
        <v>3145929324.5512567</v>
      </c>
    </row>
    <row r="81" spans="1:8" x14ac:dyDescent="0.25">
      <c r="A81" s="39">
        <v>44438</v>
      </c>
      <c r="B81">
        <v>160</v>
      </c>
      <c r="C81">
        <v>100</v>
      </c>
      <c r="D81" s="20">
        <f>C81*SUM('ContractPrice-CDE'!$F$2:$F$43)/100</f>
        <v>2960161571.8100004</v>
      </c>
      <c r="E81">
        <f t="shared" si="0"/>
        <v>90.693333333333513</v>
      </c>
      <c r="F81" s="20">
        <f>E81*SUM('ContractPrice-CDE'!$F$2:$F$43)/100</f>
        <v>2684669201.5268888</v>
      </c>
      <c r="G81" s="40">
        <f t="shared" si="1"/>
        <v>90.014145858465454</v>
      </c>
      <c r="H81" s="40">
        <f>G81*SUM('ContractPrice-CDE'!$J$2:$J$43)/100</f>
        <v>3205191443.7582207</v>
      </c>
    </row>
    <row r="82" spans="1:8" x14ac:dyDescent="0.25">
      <c r="A82" s="39">
        <v>44454</v>
      </c>
      <c r="B82">
        <v>162</v>
      </c>
      <c r="C82">
        <v>100</v>
      </c>
      <c r="D82" s="20">
        <f>C82*SUM('ContractPrice-CDE'!$F$2:$F$43)/100</f>
        <v>2960161571.8100004</v>
      </c>
      <c r="E82">
        <f t="shared" si="0"/>
        <v>92.244444444444625</v>
      </c>
      <c r="F82" s="20">
        <f>E82*SUM('ContractPrice-CDE'!$F$2:$F$43)/100</f>
        <v>2730584596.5740752</v>
      </c>
      <c r="G82" s="40">
        <f t="shared" si="1"/>
        <v>91.678454882054567</v>
      </c>
      <c r="H82" s="40">
        <f>G82*SUM('ContractPrice-CDE'!$J$2:$J$43)/100</f>
        <v>3264453562.9651852</v>
      </c>
    </row>
    <row r="83" spans="1:8" x14ac:dyDescent="0.25">
      <c r="A83" s="39">
        <v>44469</v>
      </c>
      <c r="B83">
        <v>164</v>
      </c>
      <c r="C83">
        <v>100</v>
      </c>
      <c r="D83" s="20">
        <f>C83*SUM('ContractPrice-CDE'!$F$2:$F$43)/100</f>
        <v>2960161571.8100004</v>
      </c>
      <c r="E83">
        <f t="shared" si="0"/>
        <v>93.795555555555737</v>
      </c>
      <c r="F83" s="20">
        <f>E83*SUM('ContractPrice-CDE'!$F$2:$F$43)/100</f>
        <v>2776499991.6212616</v>
      </c>
      <c r="G83" s="40">
        <f t="shared" si="1"/>
        <v>93.342763905643679</v>
      </c>
      <c r="H83" s="40">
        <f>G83*SUM('ContractPrice-CDE'!$J$2:$J$43)/100</f>
        <v>3323715682.1721482</v>
      </c>
    </row>
    <row r="84" spans="1:8" x14ac:dyDescent="0.25">
      <c r="A84" s="39">
        <v>44484</v>
      </c>
      <c r="B84">
        <v>166</v>
      </c>
      <c r="C84">
        <v>100</v>
      </c>
      <c r="D84" s="20">
        <f>C84*SUM('ContractPrice-CDE'!$F$2:$F$43)/100</f>
        <v>2960161571.8100004</v>
      </c>
      <c r="E84">
        <f t="shared" si="0"/>
        <v>95.346666666666849</v>
      </c>
      <c r="F84" s="20">
        <f>E84*SUM('ContractPrice-CDE'!$F$2:$F$43)/100</f>
        <v>2822415386.668448</v>
      </c>
      <c r="G84" s="40">
        <f t="shared" si="1"/>
        <v>95.007072929232791</v>
      </c>
      <c r="H84" s="40">
        <f>G84*SUM('ContractPrice-CDE'!$J$2:$J$43)/100</f>
        <v>3382977801.3791127</v>
      </c>
    </row>
    <row r="85" spans="1:8" x14ac:dyDescent="0.25">
      <c r="A85" s="39">
        <v>44499</v>
      </c>
      <c r="B85">
        <v>168</v>
      </c>
      <c r="C85">
        <v>100</v>
      </c>
      <c r="D85" s="20">
        <f>C85*SUM('ContractPrice-CDE'!$F$2:$F$43)/100</f>
        <v>2960161571.8100004</v>
      </c>
      <c r="E85">
        <f t="shared" si="0"/>
        <v>96.897777777777961</v>
      </c>
      <c r="F85" s="20">
        <f>E85*SUM('ContractPrice-CDE'!$F$2:$F$43)/100</f>
        <v>2868330781.7156334</v>
      </c>
      <c r="G85" s="40">
        <f t="shared" si="1"/>
        <v>96.671381952821903</v>
      </c>
      <c r="H85" s="40">
        <f>G85*SUM('ContractPrice-CDE'!$J$2:$J$43)/100</f>
        <v>3442239920.5860767</v>
      </c>
    </row>
    <row r="86" spans="1:8" x14ac:dyDescent="0.25">
      <c r="A86" s="39">
        <v>44515</v>
      </c>
      <c r="B86">
        <v>170</v>
      </c>
      <c r="C86">
        <v>100</v>
      </c>
      <c r="D86" s="20">
        <f>C86*SUM('ContractPrice-CDE'!$F$2:$F$43)/100</f>
        <v>2960161571.8100004</v>
      </c>
      <c r="E86">
        <f t="shared" si="0"/>
        <v>98.448888888889073</v>
      </c>
      <c r="F86" s="20">
        <f>E86*SUM('ContractPrice-CDE'!$F$2:$F$43)/100</f>
        <v>2914246176.7628198</v>
      </c>
      <c r="G86" s="40">
        <f t="shared" si="1"/>
        <v>98.335690976411016</v>
      </c>
      <c r="H86" s="40">
        <f>G86*SUM('ContractPrice-CDE'!$J$2:$J$43)/100</f>
        <v>3501502039.7930408</v>
      </c>
    </row>
    <row r="87" spans="1:8" x14ac:dyDescent="0.25">
      <c r="A87" s="39">
        <v>44530</v>
      </c>
      <c r="B87">
        <v>172</v>
      </c>
      <c r="C87">
        <v>100</v>
      </c>
      <c r="D87" s="20">
        <f>C87*SUM('ContractPrice-CDE'!$F$2:$F$43)/100</f>
        <v>2960161571.8100004</v>
      </c>
      <c r="E87">
        <f t="shared" si="0"/>
        <v>100.00000000000018</v>
      </c>
      <c r="F87" s="20">
        <f>E87*SUM('ContractPrice-CDE'!$F$2:$F$43)/100</f>
        <v>2960161571.8100061</v>
      </c>
      <c r="G87" s="40">
        <f t="shared" si="1"/>
        <v>100.00000000000013</v>
      </c>
      <c r="H87" s="40">
        <f>G87*SUM('ContractPrice-CDE'!$J$2:$J$43)/100</f>
        <v>3560764159.0000043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73738-4FFE-4472-8C41-079DAA39232C}">
  <sheetPr filterMode="1"/>
  <dimension ref="A1:L29"/>
  <sheetViews>
    <sheetView zoomScale="70" zoomScaleNormal="70" workbookViewId="0">
      <selection activeCell="H31" sqref="H31"/>
    </sheetView>
  </sheetViews>
  <sheetFormatPr defaultRowHeight="15" x14ac:dyDescent="0.25"/>
  <cols>
    <col min="1" max="1" width="9.140625" style="45"/>
    <col min="2" max="2" width="15" style="45" bestFit="1" customWidth="1"/>
    <col min="3" max="3" width="34.42578125" style="46" customWidth="1"/>
    <col min="4" max="5" width="20.42578125" style="45" customWidth="1"/>
    <col min="6" max="6" width="22.42578125" style="47" bestFit="1" customWidth="1"/>
    <col min="7" max="7" width="10.28515625" style="45" bestFit="1" customWidth="1"/>
    <col min="8" max="8" width="22.42578125" style="45" bestFit="1" customWidth="1"/>
    <col min="9" max="9" width="14.5703125" style="45" customWidth="1"/>
    <col min="10" max="10" width="21.5703125" style="45" bestFit="1" customWidth="1"/>
    <col min="11" max="11" width="77.28515625" style="45" customWidth="1"/>
    <col min="12" max="12" width="41.5703125" style="45" customWidth="1"/>
    <col min="13" max="16384" width="9.140625" style="45"/>
  </cols>
  <sheetData>
    <row r="1" spans="1:12" x14ac:dyDescent="0.25">
      <c r="A1" s="86" t="s">
        <v>299</v>
      </c>
      <c r="B1" s="87" t="s">
        <v>303</v>
      </c>
      <c r="C1" s="88" t="s">
        <v>219</v>
      </c>
      <c r="D1" s="87" t="s">
        <v>381</v>
      </c>
      <c r="E1" s="87" t="s">
        <v>300</v>
      </c>
      <c r="F1" s="89" t="s">
        <v>383</v>
      </c>
      <c r="G1" s="87" t="s">
        <v>384</v>
      </c>
      <c r="H1" s="87" t="s">
        <v>301</v>
      </c>
      <c r="I1" s="87" t="s">
        <v>380</v>
      </c>
      <c r="J1" s="87" t="s">
        <v>302</v>
      </c>
      <c r="K1" s="87" t="s">
        <v>220</v>
      </c>
      <c r="L1" s="90" t="s">
        <v>169</v>
      </c>
    </row>
    <row r="2" spans="1:12" ht="60" x14ac:dyDescent="0.25">
      <c r="A2" s="80">
        <v>1</v>
      </c>
      <c r="B2" s="81" t="s">
        <v>304</v>
      </c>
      <c r="C2" s="82" t="s">
        <v>306</v>
      </c>
      <c r="D2" s="81" t="s">
        <v>359</v>
      </c>
      <c r="E2" s="81" t="s">
        <v>305</v>
      </c>
      <c r="F2" s="83">
        <v>10600000</v>
      </c>
      <c r="G2" s="83">
        <v>0.9</v>
      </c>
      <c r="H2" s="84">
        <f>G2*F2</f>
        <v>9540000</v>
      </c>
      <c r="I2" s="81">
        <v>1</v>
      </c>
      <c r="J2" s="84">
        <f>I2*F2</f>
        <v>10600000</v>
      </c>
      <c r="K2" s="82" t="s">
        <v>334</v>
      </c>
      <c r="L2" s="85"/>
    </row>
    <row r="3" spans="1:12" ht="56.25" customHeight="1" x14ac:dyDescent="0.25">
      <c r="A3" s="80">
        <f>A2+1</f>
        <v>2</v>
      </c>
      <c r="B3" s="57" t="s">
        <v>304</v>
      </c>
      <c r="C3" s="58" t="s">
        <v>378</v>
      </c>
      <c r="D3" s="57" t="s">
        <v>359</v>
      </c>
      <c r="E3" s="57" t="s">
        <v>305</v>
      </c>
      <c r="F3" s="92"/>
      <c r="G3" s="92"/>
      <c r="H3" s="92"/>
      <c r="I3" s="93">
        <v>1</v>
      </c>
      <c r="J3" s="84">
        <f>I3*F3</f>
        <v>0</v>
      </c>
      <c r="K3" s="58" t="s">
        <v>335</v>
      </c>
      <c r="L3" s="91" t="s">
        <v>382</v>
      </c>
    </row>
    <row r="4" spans="1:12" ht="90" x14ac:dyDescent="0.25">
      <c r="A4" s="80">
        <f t="shared" ref="A4:A28" si="0">A3+1</f>
        <v>3</v>
      </c>
      <c r="B4" s="57" t="s">
        <v>304</v>
      </c>
      <c r="C4" s="58" t="s">
        <v>379</v>
      </c>
      <c r="D4" s="57" t="s">
        <v>359</v>
      </c>
      <c r="E4" s="57" t="s">
        <v>305</v>
      </c>
      <c r="F4" s="59">
        <v>28379476.370000001</v>
      </c>
      <c r="G4" s="59">
        <v>1</v>
      </c>
      <c r="H4" s="60">
        <f t="shared" ref="H4:H17" si="1">G4*F4</f>
        <v>28379476.370000001</v>
      </c>
      <c r="I4" s="57">
        <v>1</v>
      </c>
      <c r="J4" s="60">
        <f t="shared" ref="J4:J28" si="2">I4*F4</f>
        <v>28379476.370000001</v>
      </c>
      <c r="K4" s="58" t="s">
        <v>336</v>
      </c>
      <c r="L4" s="61"/>
    </row>
    <row r="5" spans="1:12" ht="30" x14ac:dyDescent="0.25">
      <c r="A5" s="80">
        <f t="shared" si="0"/>
        <v>4</v>
      </c>
      <c r="B5" s="62" t="s">
        <v>304</v>
      </c>
      <c r="C5" s="63" t="s">
        <v>307</v>
      </c>
      <c r="D5" s="62" t="s">
        <v>359</v>
      </c>
      <c r="E5" s="62" t="s">
        <v>305</v>
      </c>
      <c r="F5" s="64">
        <v>2500000</v>
      </c>
      <c r="G5" s="64">
        <v>1</v>
      </c>
      <c r="H5" s="65">
        <f t="shared" si="1"/>
        <v>2500000</v>
      </c>
      <c r="I5" s="62">
        <v>1</v>
      </c>
      <c r="J5" s="65">
        <f t="shared" si="2"/>
        <v>2500000</v>
      </c>
      <c r="K5" s="63" t="s">
        <v>337</v>
      </c>
      <c r="L5" s="66"/>
    </row>
    <row r="6" spans="1:12" ht="75" x14ac:dyDescent="0.25">
      <c r="A6" s="80">
        <f t="shared" si="0"/>
        <v>5</v>
      </c>
      <c r="B6" s="67" t="s">
        <v>308</v>
      </c>
      <c r="C6" s="68" t="s">
        <v>309</v>
      </c>
      <c r="D6" s="67" t="s">
        <v>56</v>
      </c>
      <c r="E6" s="67" t="s">
        <v>305</v>
      </c>
      <c r="F6" s="69">
        <v>10500000</v>
      </c>
      <c r="G6" s="69">
        <v>1</v>
      </c>
      <c r="H6" s="70">
        <f t="shared" si="1"/>
        <v>10500000</v>
      </c>
      <c r="I6" s="67">
        <v>1</v>
      </c>
      <c r="J6" s="70">
        <f t="shared" si="2"/>
        <v>10500000</v>
      </c>
      <c r="K6" s="68" t="s">
        <v>338</v>
      </c>
      <c r="L6" s="56"/>
    </row>
    <row r="7" spans="1:12" ht="90" x14ac:dyDescent="0.25">
      <c r="A7" s="80">
        <f t="shared" si="0"/>
        <v>6</v>
      </c>
      <c r="B7" s="57" t="s">
        <v>310</v>
      </c>
      <c r="C7" s="58" t="s">
        <v>311</v>
      </c>
      <c r="D7" s="57" t="s">
        <v>73</v>
      </c>
      <c r="E7" s="57" t="s">
        <v>305</v>
      </c>
      <c r="F7" s="59">
        <v>900000</v>
      </c>
      <c r="G7" s="59">
        <v>0.75</v>
      </c>
      <c r="H7" s="60">
        <f t="shared" si="1"/>
        <v>675000</v>
      </c>
      <c r="I7" s="57">
        <v>1</v>
      </c>
      <c r="J7" s="60">
        <f t="shared" si="2"/>
        <v>900000</v>
      </c>
      <c r="K7" s="58" t="s">
        <v>339</v>
      </c>
      <c r="L7" s="61"/>
    </row>
    <row r="8" spans="1:12" ht="45" x14ac:dyDescent="0.25">
      <c r="A8" s="80">
        <f t="shared" si="0"/>
        <v>7</v>
      </c>
      <c r="B8" s="57" t="s">
        <v>310</v>
      </c>
      <c r="C8" s="58" t="s">
        <v>312</v>
      </c>
      <c r="D8" s="57" t="s">
        <v>75</v>
      </c>
      <c r="E8" s="57" t="s">
        <v>305</v>
      </c>
      <c r="F8" s="59">
        <v>1800000</v>
      </c>
      <c r="G8" s="59">
        <v>0.75</v>
      </c>
      <c r="H8" s="60">
        <f t="shared" si="1"/>
        <v>1350000</v>
      </c>
      <c r="I8" s="57">
        <v>1</v>
      </c>
      <c r="J8" s="60">
        <f t="shared" si="2"/>
        <v>1800000</v>
      </c>
      <c r="K8" s="58" t="s">
        <v>340</v>
      </c>
      <c r="L8" s="61"/>
    </row>
    <row r="9" spans="1:12" ht="90" x14ac:dyDescent="0.25">
      <c r="A9" s="80">
        <f t="shared" si="0"/>
        <v>8</v>
      </c>
      <c r="B9" s="57" t="s">
        <v>310</v>
      </c>
      <c r="C9" s="58" t="s">
        <v>313</v>
      </c>
      <c r="D9" s="57" t="s">
        <v>71</v>
      </c>
      <c r="E9" s="57" t="s">
        <v>305</v>
      </c>
      <c r="F9" s="59">
        <v>1900000</v>
      </c>
      <c r="G9" s="59">
        <v>0.75</v>
      </c>
      <c r="H9" s="60">
        <f t="shared" si="1"/>
        <v>1425000</v>
      </c>
      <c r="I9" s="57">
        <v>1</v>
      </c>
      <c r="J9" s="60">
        <f t="shared" si="2"/>
        <v>1900000</v>
      </c>
      <c r="K9" s="58" t="s">
        <v>341</v>
      </c>
      <c r="L9" s="61"/>
    </row>
    <row r="10" spans="1:12" ht="30" x14ac:dyDescent="0.25">
      <c r="A10" s="80">
        <f t="shared" si="0"/>
        <v>9</v>
      </c>
      <c r="B10" s="57" t="s">
        <v>310</v>
      </c>
      <c r="C10" s="58" t="s">
        <v>314</v>
      </c>
      <c r="D10" s="57" t="s">
        <v>65</v>
      </c>
      <c r="E10" s="57" t="s">
        <v>305</v>
      </c>
      <c r="F10" s="59">
        <v>200000</v>
      </c>
      <c r="G10" s="59">
        <v>1</v>
      </c>
      <c r="H10" s="60">
        <f t="shared" si="1"/>
        <v>200000</v>
      </c>
      <c r="I10" s="57">
        <v>1</v>
      </c>
      <c r="J10" s="60">
        <f t="shared" si="2"/>
        <v>200000</v>
      </c>
      <c r="K10" s="58" t="s">
        <v>342</v>
      </c>
      <c r="L10" s="61"/>
    </row>
    <row r="11" spans="1:12" ht="60" x14ac:dyDescent="0.25">
      <c r="A11" s="80">
        <f t="shared" si="0"/>
        <v>10</v>
      </c>
      <c r="B11" s="57" t="s">
        <v>310</v>
      </c>
      <c r="C11" s="58" t="s">
        <v>315</v>
      </c>
      <c r="D11" s="57" t="s">
        <v>117</v>
      </c>
      <c r="E11" s="57" t="s">
        <v>305</v>
      </c>
      <c r="F11" s="59">
        <v>24000</v>
      </c>
      <c r="G11" s="59">
        <v>1</v>
      </c>
      <c r="H11" s="59">
        <f t="shared" si="1"/>
        <v>24000</v>
      </c>
      <c r="I11" s="57">
        <v>1</v>
      </c>
      <c r="J11" s="60">
        <f t="shared" si="2"/>
        <v>24000</v>
      </c>
      <c r="K11" s="58" t="s">
        <v>343</v>
      </c>
      <c r="L11" s="61"/>
    </row>
    <row r="12" spans="1:12" ht="30" x14ac:dyDescent="0.25">
      <c r="A12" s="80">
        <f t="shared" si="0"/>
        <v>11</v>
      </c>
      <c r="B12" s="57" t="s">
        <v>310</v>
      </c>
      <c r="C12" s="58" t="s">
        <v>316</v>
      </c>
      <c r="D12" s="57" t="s">
        <v>117</v>
      </c>
      <c r="E12" s="57" t="s">
        <v>305</v>
      </c>
      <c r="F12" s="59">
        <v>1879380</v>
      </c>
      <c r="G12" s="59">
        <v>0.5</v>
      </c>
      <c r="H12" s="60">
        <f t="shared" si="1"/>
        <v>939690</v>
      </c>
      <c r="I12" s="57">
        <v>1</v>
      </c>
      <c r="J12" s="60">
        <f t="shared" si="2"/>
        <v>1879380</v>
      </c>
      <c r="K12" s="58" t="s">
        <v>344</v>
      </c>
      <c r="L12" s="61"/>
    </row>
    <row r="13" spans="1:12" ht="45" x14ac:dyDescent="0.25">
      <c r="A13" s="80">
        <f t="shared" si="0"/>
        <v>12</v>
      </c>
      <c r="B13" s="57" t="s">
        <v>310</v>
      </c>
      <c r="C13" s="58" t="s">
        <v>317</v>
      </c>
      <c r="D13" s="57" t="s">
        <v>73</v>
      </c>
      <c r="E13" s="57" t="s">
        <v>305</v>
      </c>
      <c r="F13" s="59">
        <v>160000</v>
      </c>
      <c r="G13" s="59">
        <v>0.75</v>
      </c>
      <c r="H13" s="60">
        <f t="shared" si="1"/>
        <v>120000</v>
      </c>
      <c r="I13" s="57">
        <v>1</v>
      </c>
      <c r="J13" s="60">
        <f t="shared" si="2"/>
        <v>160000</v>
      </c>
      <c r="K13" s="58" t="s">
        <v>345</v>
      </c>
      <c r="L13" s="61"/>
    </row>
    <row r="14" spans="1:12" ht="120" x14ac:dyDescent="0.25">
      <c r="A14" s="80">
        <f t="shared" si="0"/>
        <v>13</v>
      </c>
      <c r="B14" s="57" t="s">
        <v>310</v>
      </c>
      <c r="C14" s="58" t="s">
        <v>318</v>
      </c>
      <c r="D14" s="57" t="s">
        <v>73</v>
      </c>
      <c r="E14" s="57" t="s">
        <v>305</v>
      </c>
      <c r="F14" s="59">
        <v>7702440.71</v>
      </c>
      <c r="G14" s="59">
        <v>0.34</v>
      </c>
      <c r="H14" s="71">
        <f t="shared" si="1"/>
        <v>2618829.8414000003</v>
      </c>
      <c r="I14" s="57">
        <v>1</v>
      </c>
      <c r="J14" s="60">
        <f t="shared" si="2"/>
        <v>7702440.71</v>
      </c>
      <c r="K14" s="58" t="s">
        <v>346</v>
      </c>
      <c r="L14" s="61"/>
    </row>
    <row r="15" spans="1:12" ht="45" x14ac:dyDescent="0.25">
      <c r="A15" s="80">
        <f t="shared" si="0"/>
        <v>14</v>
      </c>
      <c r="B15" s="57" t="s">
        <v>319</v>
      </c>
      <c r="C15" s="58" t="s">
        <v>320</v>
      </c>
      <c r="D15" s="57" t="s">
        <v>94</v>
      </c>
      <c r="E15" s="57" t="s">
        <v>305</v>
      </c>
      <c r="F15" s="59">
        <v>500000</v>
      </c>
      <c r="G15" s="59">
        <v>1</v>
      </c>
      <c r="H15" s="60">
        <f t="shared" si="1"/>
        <v>500000</v>
      </c>
      <c r="I15" s="57">
        <v>1</v>
      </c>
      <c r="J15" s="60">
        <f t="shared" si="2"/>
        <v>500000</v>
      </c>
      <c r="K15" s="58" t="s">
        <v>342</v>
      </c>
      <c r="L15" s="61"/>
    </row>
    <row r="16" spans="1:12" ht="90" x14ac:dyDescent="0.25">
      <c r="A16" s="80">
        <f t="shared" si="0"/>
        <v>15</v>
      </c>
      <c r="B16" s="57" t="s">
        <v>321</v>
      </c>
      <c r="C16" s="58" t="s">
        <v>322</v>
      </c>
      <c r="D16" s="57" t="s">
        <v>359</v>
      </c>
      <c r="E16" s="57" t="s">
        <v>305</v>
      </c>
      <c r="F16" s="59">
        <v>238515875.06</v>
      </c>
      <c r="G16" s="59">
        <v>0.74</v>
      </c>
      <c r="H16" s="71">
        <f t="shared" si="1"/>
        <v>176501747.54440001</v>
      </c>
      <c r="I16" s="57">
        <v>0</v>
      </c>
      <c r="J16" s="60">
        <f t="shared" si="2"/>
        <v>0</v>
      </c>
      <c r="K16" s="58" t="s">
        <v>347</v>
      </c>
      <c r="L16" s="61"/>
    </row>
    <row r="17" spans="1:12" ht="90" x14ac:dyDescent="0.25">
      <c r="A17" s="80">
        <f t="shared" si="0"/>
        <v>16</v>
      </c>
      <c r="B17" s="57" t="s">
        <v>321</v>
      </c>
      <c r="C17" s="58" t="s">
        <v>323</v>
      </c>
      <c r="D17" s="57" t="s">
        <v>359</v>
      </c>
      <c r="E17" s="57" t="s">
        <v>305</v>
      </c>
      <c r="F17" s="59">
        <v>201536897.19</v>
      </c>
      <c r="G17" s="59">
        <v>0.76</v>
      </c>
      <c r="H17" s="71">
        <f t="shared" si="1"/>
        <v>153168041.8644</v>
      </c>
      <c r="I17" s="57">
        <v>0</v>
      </c>
      <c r="J17" s="60">
        <f t="shared" si="2"/>
        <v>0</v>
      </c>
      <c r="K17" s="58" t="s">
        <v>348</v>
      </c>
      <c r="L17" s="61"/>
    </row>
    <row r="18" spans="1:12" ht="60" x14ac:dyDescent="0.25">
      <c r="A18" s="80">
        <f t="shared" si="0"/>
        <v>17</v>
      </c>
      <c r="B18" s="57" t="s">
        <v>321</v>
      </c>
      <c r="C18" s="58" t="s">
        <v>324</v>
      </c>
      <c r="D18" s="57" t="s">
        <v>359</v>
      </c>
      <c r="E18" s="57" t="s">
        <v>305</v>
      </c>
      <c r="F18" s="59">
        <v>16471577.199999999</v>
      </c>
      <c r="G18" s="59">
        <v>0</v>
      </c>
      <c r="H18" s="59"/>
      <c r="I18" s="57">
        <v>1</v>
      </c>
      <c r="J18" s="60">
        <f t="shared" si="2"/>
        <v>16471577.199999999</v>
      </c>
      <c r="K18" s="58" t="s">
        <v>349</v>
      </c>
      <c r="L18" s="61"/>
    </row>
    <row r="19" spans="1:12" ht="45" x14ac:dyDescent="0.25">
      <c r="A19" s="80">
        <f t="shared" si="0"/>
        <v>18</v>
      </c>
      <c r="B19" s="57" t="s">
        <v>321</v>
      </c>
      <c r="C19" s="58" t="s">
        <v>325</v>
      </c>
      <c r="D19" s="57" t="s">
        <v>359</v>
      </c>
      <c r="E19" s="57" t="s">
        <v>305</v>
      </c>
      <c r="F19" s="59">
        <v>-63500000</v>
      </c>
      <c r="G19" s="59">
        <v>0</v>
      </c>
      <c r="H19" s="59"/>
      <c r="I19" s="57">
        <v>1</v>
      </c>
      <c r="J19" s="60">
        <f t="shared" si="2"/>
        <v>-63500000</v>
      </c>
      <c r="K19" s="58" t="s">
        <v>350</v>
      </c>
      <c r="L19" s="61"/>
    </row>
    <row r="20" spans="1:12" ht="30" x14ac:dyDescent="0.25">
      <c r="A20" s="80">
        <f t="shared" si="0"/>
        <v>19</v>
      </c>
      <c r="B20" s="57" t="s">
        <v>321</v>
      </c>
      <c r="C20" s="58" t="s">
        <v>326</v>
      </c>
      <c r="D20" s="57" t="s">
        <v>359</v>
      </c>
      <c r="E20" s="57" t="s">
        <v>305</v>
      </c>
      <c r="F20" s="59">
        <v>54000000</v>
      </c>
      <c r="G20" s="59">
        <v>0.5</v>
      </c>
      <c r="H20" s="60">
        <f>G20*F20</f>
        <v>27000000</v>
      </c>
      <c r="I20" s="57">
        <v>1</v>
      </c>
      <c r="J20" s="60">
        <f t="shared" si="2"/>
        <v>54000000</v>
      </c>
      <c r="K20" s="58" t="s">
        <v>351</v>
      </c>
      <c r="L20" s="61"/>
    </row>
    <row r="21" spans="1:12" s="54" customFormat="1" ht="82.5" customHeight="1" x14ac:dyDescent="0.25">
      <c r="A21" s="80">
        <f t="shared" si="0"/>
        <v>20</v>
      </c>
      <c r="B21" s="72" t="s">
        <v>321</v>
      </c>
      <c r="C21" s="73" t="s">
        <v>385</v>
      </c>
      <c r="D21" s="72" t="s">
        <v>359</v>
      </c>
      <c r="E21" s="72" t="s">
        <v>305</v>
      </c>
      <c r="F21" s="74"/>
      <c r="G21" s="74"/>
      <c r="H21" s="74"/>
      <c r="I21" s="72">
        <v>1</v>
      </c>
      <c r="J21" s="60">
        <f t="shared" si="2"/>
        <v>0</v>
      </c>
      <c r="K21" s="73" t="s">
        <v>352</v>
      </c>
      <c r="L21" s="75"/>
    </row>
    <row r="22" spans="1:12" ht="30" x14ac:dyDescent="0.25">
      <c r="A22" s="80">
        <f t="shared" si="0"/>
        <v>21</v>
      </c>
      <c r="B22" s="57" t="s">
        <v>321</v>
      </c>
      <c r="C22" s="58" t="s">
        <v>327</v>
      </c>
      <c r="D22" s="57" t="s">
        <v>359</v>
      </c>
      <c r="E22" s="57" t="s">
        <v>305</v>
      </c>
      <c r="F22" s="59">
        <v>50000000</v>
      </c>
      <c r="G22" s="59">
        <v>0.5</v>
      </c>
      <c r="H22" s="60">
        <f>G22*F22</f>
        <v>25000000</v>
      </c>
      <c r="I22" s="57">
        <v>1</v>
      </c>
      <c r="J22" s="60">
        <f t="shared" si="2"/>
        <v>50000000</v>
      </c>
      <c r="K22" s="58" t="s">
        <v>353</v>
      </c>
      <c r="L22" s="61"/>
    </row>
    <row r="23" spans="1:12" ht="30" x14ac:dyDescent="0.25">
      <c r="A23" s="80">
        <f t="shared" si="0"/>
        <v>22</v>
      </c>
      <c r="B23" s="57" t="s">
        <v>321</v>
      </c>
      <c r="C23" s="58" t="s">
        <v>328</v>
      </c>
      <c r="D23" s="57" t="s">
        <v>359</v>
      </c>
      <c r="E23" s="57" t="s">
        <v>305</v>
      </c>
      <c r="F23" s="59">
        <v>20000000</v>
      </c>
      <c r="G23" s="59">
        <v>0.5</v>
      </c>
      <c r="H23" s="60">
        <f>G23*F23</f>
        <v>10000000</v>
      </c>
      <c r="I23" s="57">
        <v>1</v>
      </c>
      <c r="J23" s="60">
        <f t="shared" si="2"/>
        <v>20000000</v>
      </c>
      <c r="K23" s="58" t="s">
        <v>353</v>
      </c>
      <c r="L23" s="61"/>
    </row>
    <row r="24" spans="1:12" ht="30" x14ac:dyDescent="0.25">
      <c r="A24" s="80">
        <f t="shared" si="0"/>
        <v>23</v>
      </c>
      <c r="B24" s="57" t="s">
        <v>321</v>
      </c>
      <c r="C24" s="58" t="s">
        <v>329</v>
      </c>
      <c r="D24" s="57" t="s">
        <v>51</v>
      </c>
      <c r="E24" s="57" t="s">
        <v>305</v>
      </c>
      <c r="F24" s="59">
        <v>100000000</v>
      </c>
      <c r="G24" s="59">
        <v>1</v>
      </c>
      <c r="H24" s="60">
        <f>G24*F24</f>
        <v>100000000</v>
      </c>
      <c r="I24" s="57">
        <v>1</v>
      </c>
      <c r="J24" s="60">
        <f t="shared" si="2"/>
        <v>100000000</v>
      </c>
      <c r="K24" s="58" t="s">
        <v>354</v>
      </c>
      <c r="L24" s="61"/>
    </row>
    <row r="25" spans="1:12" ht="30" x14ac:dyDescent="0.25">
      <c r="A25" s="80">
        <f t="shared" si="0"/>
        <v>24</v>
      </c>
      <c r="B25" s="57" t="s">
        <v>321</v>
      </c>
      <c r="C25" s="58" t="s">
        <v>330</v>
      </c>
      <c r="D25" s="57" t="s">
        <v>360</v>
      </c>
      <c r="E25" s="57" t="s">
        <v>305</v>
      </c>
      <c r="F25" s="59">
        <v>4000000</v>
      </c>
      <c r="G25" s="59">
        <v>0.75</v>
      </c>
      <c r="H25" s="60">
        <f>G25*F25</f>
        <v>3000000</v>
      </c>
      <c r="I25" s="57">
        <v>1</v>
      </c>
      <c r="J25" s="60">
        <f t="shared" si="2"/>
        <v>4000000</v>
      </c>
      <c r="K25" s="58" t="s">
        <v>355</v>
      </c>
      <c r="L25" s="61"/>
    </row>
    <row r="26" spans="1:12" ht="45" x14ac:dyDescent="0.25">
      <c r="A26" s="80">
        <f t="shared" si="0"/>
        <v>25</v>
      </c>
      <c r="B26" s="57" t="s">
        <v>321</v>
      </c>
      <c r="C26" s="58" t="s">
        <v>331</v>
      </c>
      <c r="D26" s="57" t="s">
        <v>359</v>
      </c>
      <c r="E26" s="57" t="s">
        <v>305</v>
      </c>
      <c r="F26" s="59"/>
      <c r="G26" s="59">
        <v>0.75</v>
      </c>
      <c r="H26" s="59"/>
      <c r="I26" s="57">
        <v>1</v>
      </c>
      <c r="J26" s="60">
        <f t="shared" si="2"/>
        <v>0</v>
      </c>
      <c r="K26" s="58" t="s">
        <v>356</v>
      </c>
      <c r="L26" s="61"/>
    </row>
    <row r="27" spans="1:12" ht="45" x14ac:dyDescent="0.25">
      <c r="A27" s="80">
        <f t="shared" si="0"/>
        <v>26</v>
      </c>
      <c r="B27" s="57" t="s">
        <v>321</v>
      </c>
      <c r="C27" s="58" t="s">
        <v>332</v>
      </c>
      <c r="D27" s="57" t="s">
        <v>359</v>
      </c>
      <c r="E27" s="57" t="s">
        <v>305</v>
      </c>
      <c r="F27" s="59">
        <v>10000000</v>
      </c>
      <c r="G27" s="59">
        <v>0.75</v>
      </c>
      <c r="H27" s="60">
        <f>G27*F27</f>
        <v>7500000</v>
      </c>
      <c r="I27" s="57">
        <v>1</v>
      </c>
      <c r="J27" s="60">
        <f t="shared" si="2"/>
        <v>10000000</v>
      </c>
      <c r="K27" s="58" t="s">
        <v>357</v>
      </c>
      <c r="L27" s="61"/>
    </row>
    <row r="28" spans="1:12" ht="75" x14ac:dyDescent="0.25">
      <c r="A28" s="80">
        <f t="shared" si="0"/>
        <v>27</v>
      </c>
      <c r="B28" s="57" t="s">
        <v>321</v>
      </c>
      <c r="C28" s="58" t="s">
        <v>333</v>
      </c>
      <c r="D28" s="57" t="s">
        <v>359</v>
      </c>
      <c r="E28" s="57" t="s">
        <v>305</v>
      </c>
      <c r="F28" s="59">
        <v>-40393462.759999998</v>
      </c>
      <c r="G28" s="59">
        <v>0.28999999999999998</v>
      </c>
      <c r="H28" s="71">
        <f>G28*F28</f>
        <v>-11714104.200399999</v>
      </c>
      <c r="I28" s="57">
        <v>1</v>
      </c>
      <c r="J28" s="60">
        <f t="shared" si="2"/>
        <v>-40393462.759999998</v>
      </c>
      <c r="K28" s="58" t="s">
        <v>358</v>
      </c>
      <c r="L28" s="61"/>
    </row>
    <row r="29" spans="1:12" x14ac:dyDescent="0.25">
      <c r="A29" s="76"/>
      <c r="B29" s="77"/>
      <c r="C29" s="78" t="s">
        <v>193</v>
      </c>
      <c r="D29" s="77"/>
      <c r="E29" s="77"/>
      <c r="F29" s="79">
        <f>SUM(F2:F28)</f>
        <v>657676183.76999998</v>
      </c>
      <c r="G29" s="77"/>
      <c r="H29" s="79">
        <f>SUM(H2:H28)</f>
        <v>549227681.41980004</v>
      </c>
      <c r="I29" s="77"/>
      <c r="J29" s="79">
        <f>SUM(J2:J28)</f>
        <v>217623411.52000001</v>
      </c>
      <c r="K29" s="77"/>
      <c r="L29" s="66"/>
    </row>
  </sheetData>
  <autoFilter ref="A1:L28" xr:uid="{9E20A682-E217-4776-B856-049B2E1E7C95}">
    <filterColumn colId="4">
      <filters>
        <filter val="PENDING"/>
      </filters>
    </filterColumn>
  </autoFilter>
  <conditionalFormatting sqref="F3:H3 F2:G2 F4:G10 F18:H19 F12:G17 F21:H21 F20:G20 F26:H26 F22:G25 F27:G28 F11:H11">
    <cfRule type="cellIs" dxfId="3" priority="1" operator="lessThan">
      <formula>0</formula>
    </cfRule>
  </conditionalFormatting>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0D15E-E8E2-4B4F-B2B1-8CF9E070B4BF}">
  <sheetPr filterMode="1"/>
  <dimension ref="A1:L29"/>
  <sheetViews>
    <sheetView topLeftCell="A7" zoomScale="70" zoomScaleNormal="70" workbookViewId="0">
      <selection activeCell="E9" sqref="E9"/>
    </sheetView>
  </sheetViews>
  <sheetFormatPr defaultRowHeight="15" x14ac:dyDescent="0.25"/>
  <cols>
    <col min="1" max="1" width="9.140625" style="45"/>
    <col min="2" max="2" width="15" style="45" bestFit="1" customWidth="1"/>
    <col min="3" max="3" width="34.42578125" style="46" customWidth="1"/>
    <col min="4" max="5" width="20.42578125" style="45" customWidth="1"/>
    <col min="6" max="6" width="22.42578125" style="47" bestFit="1" customWidth="1"/>
    <col min="7" max="7" width="10.28515625" style="45" bestFit="1" customWidth="1"/>
    <col min="8" max="8" width="22.42578125" style="45" bestFit="1" customWidth="1"/>
    <col min="9" max="9" width="14.5703125" style="45" customWidth="1"/>
    <col min="10" max="10" width="21.5703125" style="45" bestFit="1" customWidth="1"/>
    <col min="11" max="11" width="77.28515625" style="45" customWidth="1"/>
    <col min="12" max="12" width="41.5703125" style="45" customWidth="1"/>
    <col min="13" max="16384" width="9.140625" style="45"/>
  </cols>
  <sheetData>
    <row r="1" spans="1:12" x14ac:dyDescent="0.25">
      <c r="A1" s="86" t="s">
        <v>299</v>
      </c>
      <c r="B1" s="87" t="s">
        <v>303</v>
      </c>
      <c r="C1" s="88" t="s">
        <v>219</v>
      </c>
      <c r="D1" s="87" t="s">
        <v>381</v>
      </c>
      <c r="E1" s="87" t="s">
        <v>300</v>
      </c>
      <c r="F1" s="89" t="s">
        <v>383</v>
      </c>
      <c r="G1" s="87" t="s">
        <v>384</v>
      </c>
      <c r="H1" s="87" t="s">
        <v>301</v>
      </c>
      <c r="I1" s="87" t="s">
        <v>380</v>
      </c>
      <c r="J1" s="87" t="s">
        <v>302</v>
      </c>
      <c r="K1" s="87" t="s">
        <v>220</v>
      </c>
      <c r="L1" s="90" t="s">
        <v>169</v>
      </c>
    </row>
    <row r="2" spans="1:12" ht="60" x14ac:dyDescent="0.25">
      <c r="A2" s="80">
        <v>1</v>
      </c>
      <c r="B2" s="81" t="s">
        <v>304</v>
      </c>
      <c r="C2" s="82" t="s">
        <v>306</v>
      </c>
      <c r="D2" s="81" t="s">
        <v>359</v>
      </c>
      <c r="E2" s="81" t="s">
        <v>305</v>
      </c>
      <c r="F2" s="83">
        <f>Risk0!F2/1000000</f>
        <v>10.6</v>
      </c>
      <c r="G2" s="83">
        <v>0.9</v>
      </c>
      <c r="H2" s="84">
        <f>G2*F2</f>
        <v>9.5399999999999991</v>
      </c>
      <c r="I2" s="81">
        <v>1</v>
      </c>
      <c r="J2" s="84">
        <f>I2*F2</f>
        <v>10.6</v>
      </c>
      <c r="K2" s="82" t="s">
        <v>334</v>
      </c>
      <c r="L2" s="85"/>
    </row>
    <row r="3" spans="1:12" ht="56.25" customHeight="1" x14ac:dyDescent="0.25">
      <c r="A3" s="80">
        <f>A2+1</f>
        <v>2</v>
      </c>
      <c r="B3" s="57" t="s">
        <v>304</v>
      </c>
      <c r="C3" s="58" t="s">
        <v>378</v>
      </c>
      <c r="D3" s="57" t="s">
        <v>359</v>
      </c>
      <c r="E3" s="57" t="s">
        <v>305</v>
      </c>
      <c r="F3" s="83">
        <f>Risk0!F3/1000000</f>
        <v>0</v>
      </c>
      <c r="G3" s="92"/>
      <c r="H3" s="92"/>
      <c r="I3" s="93">
        <v>1</v>
      </c>
      <c r="J3" s="84">
        <f>I3*F3</f>
        <v>0</v>
      </c>
      <c r="K3" s="58" t="s">
        <v>335</v>
      </c>
      <c r="L3" s="91" t="s">
        <v>382</v>
      </c>
    </row>
    <row r="4" spans="1:12" ht="90" x14ac:dyDescent="0.25">
      <c r="A4" s="80">
        <f t="shared" ref="A4:A28" si="0">A3+1</f>
        <v>3</v>
      </c>
      <c r="B4" s="57" t="s">
        <v>304</v>
      </c>
      <c r="C4" s="58" t="s">
        <v>379</v>
      </c>
      <c r="D4" s="57" t="s">
        <v>359</v>
      </c>
      <c r="E4" s="57" t="s">
        <v>305</v>
      </c>
      <c r="F4" s="83">
        <f>Risk0!F4/1000000</f>
        <v>28.379476370000003</v>
      </c>
      <c r="G4" s="59">
        <v>1</v>
      </c>
      <c r="H4" s="60">
        <f t="shared" ref="H4:H17" si="1">G4*F4</f>
        <v>28.379476370000003</v>
      </c>
      <c r="I4" s="57">
        <v>1</v>
      </c>
      <c r="J4" s="60">
        <f t="shared" ref="J4:J5" si="2">I4*F4</f>
        <v>28.379476370000003</v>
      </c>
      <c r="K4" s="58" t="s">
        <v>336</v>
      </c>
      <c r="L4" s="61"/>
    </row>
    <row r="5" spans="1:12" ht="30" x14ac:dyDescent="0.25">
      <c r="A5" s="80">
        <f t="shared" si="0"/>
        <v>4</v>
      </c>
      <c r="B5" s="62" t="s">
        <v>304</v>
      </c>
      <c r="C5" s="63" t="s">
        <v>307</v>
      </c>
      <c r="D5" s="62" t="s">
        <v>359</v>
      </c>
      <c r="E5" s="62" t="s">
        <v>305</v>
      </c>
      <c r="F5" s="83">
        <f>Risk0!F5/1000000</f>
        <v>2.5</v>
      </c>
      <c r="G5" s="64">
        <v>1</v>
      </c>
      <c r="H5" s="65">
        <f t="shared" si="1"/>
        <v>2.5</v>
      </c>
      <c r="I5" s="62">
        <v>1</v>
      </c>
      <c r="J5" s="65">
        <f t="shared" si="2"/>
        <v>2.5</v>
      </c>
      <c r="K5" s="63" t="s">
        <v>337</v>
      </c>
      <c r="L5" s="66"/>
    </row>
    <row r="6" spans="1:12" ht="75" x14ac:dyDescent="0.25">
      <c r="A6" s="80">
        <f t="shared" si="0"/>
        <v>5</v>
      </c>
      <c r="B6" s="67" t="s">
        <v>308</v>
      </c>
      <c r="C6" s="68" t="s">
        <v>309</v>
      </c>
      <c r="D6" s="67" t="s">
        <v>56</v>
      </c>
      <c r="E6" s="67" t="s">
        <v>305</v>
      </c>
      <c r="F6" s="83">
        <f>Risk0!F6/1000000</f>
        <v>10.5</v>
      </c>
      <c r="G6" s="69">
        <v>1</v>
      </c>
      <c r="H6" s="70">
        <f t="shared" si="1"/>
        <v>10.5</v>
      </c>
      <c r="I6" s="67">
        <v>1</v>
      </c>
      <c r="J6" s="70">
        <f t="shared" ref="J6:J28" si="3">I6*F6</f>
        <v>10.5</v>
      </c>
      <c r="K6" s="68" t="s">
        <v>338</v>
      </c>
      <c r="L6" s="56"/>
    </row>
    <row r="7" spans="1:12" ht="90" x14ac:dyDescent="0.25">
      <c r="A7" s="80">
        <f t="shared" si="0"/>
        <v>6</v>
      </c>
      <c r="B7" s="57" t="s">
        <v>310</v>
      </c>
      <c r="C7" s="58" t="s">
        <v>311</v>
      </c>
      <c r="D7" s="57" t="s">
        <v>73</v>
      </c>
      <c r="E7" s="57" t="s">
        <v>305</v>
      </c>
      <c r="F7" s="83">
        <f>Risk0!F7/1000000</f>
        <v>0.9</v>
      </c>
      <c r="G7" s="59">
        <v>0.75</v>
      </c>
      <c r="H7" s="60">
        <f t="shared" si="1"/>
        <v>0.67500000000000004</v>
      </c>
      <c r="I7" s="57">
        <v>1</v>
      </c>
      <c r="J7" s="60">
        <f t="shared" si="3"/>
        <v>0.9</v>
      </c>
      <c r="K7" s="58" t="s">
        <v>339</v>
      </c>
      <c r="L7" s="61"/>
    </row>
    <row r="8" spans="1:12" ht="45" x14ac:dyDescent="0.25">
      <c r="A8" s="80">
        <f t="shared" si="0"/>
        <v>7</v>
      </c>
      <c r="B8" s="57" t="s">
        <v>310</v>
      </c>
      <c r="C8" s="58" t="s">
        <v>312</v>
      </c>
      <c r="D8" s="57" t="s">
        <v>75</v>
      </c>
      <c r="E8" s="57" t="s">
        <v>305</v>
      </c>
      <c r="F8" s="83">
        <f>Risk0!F8/1000000</f>
        <v>1.8</v>
      </c>
      <c r="G8" s="59">
        <v>0.75</v>
      </c>
      <c r="H8" s="60">
        <f t="shared" si="1"/>
        <v>1.35</v>
      </c>
      <c r="I8" s="57">
        <v>1</v>
      </c>
      <c r="J8" s="60">
        <f t="shared" si="3"/>
        <v>1.8</v>
      </c>
      <c r="K8" s="58" t="s">
        <v>340</v>
      </c>
      <c r="L8" s="61"/>
    </row>
    <row r="9" spans="1:12" ht="90" x14ac:dyDescent="0.25">
      <c r="A9" s="80">
        <f t="shared" si="0"/>
        <v>8</v>
      </c>
      <c r="B9" s="57" t="s">
        <v>310</v>
      </c>
      <c r="C9" s="58" t="s">
        <v>313</v>
      </c>
      <c r="D9" s="57" t="s">
        <v>71</v>
      </c>
      <c r="E9" s="57" t="s">
        <v>305</v>
      </c>
      <c r="F9" s="83">
        <f>Risk0!F9/1000000</f>
        <v>1.9</v>
      </c>
      <c r="G9" s="59">
        <v>0.75</v>
      </c>
      <c r="H9" s="60">
        <f t="shared" si="1"/>
        <v>1.4249999999999998</v>
      </c>
      <c r="I9" s="57">
        <v>1</v>
      </c>
      <c r="J9" s="60">
        <f t="shared" si="3"/>
        <v>1.9</v>
      </c>
      <c r="K9" s="58" t="s">
        <v>341</v>
      </c>
      <c r="L9" s="61"/>
    </row>
    <row r="10" spans="1:12" ht="30" x14ac:dyDescent="0.25">
      <c r="A10" s="80">
        <f t="shared" si="0"/>
        <v>9</v>
      </c>
      <c r="B10" s="57" t="s">
        <v>310</v>
      </c>
      <c r="C10" s="58" t="s">
        <v>314</v>
      </c>
      <c r="D10" s="57" t="s">
        <v>65</v>
      </c>
      <c r="E10" s="57" t="s">
        <v>305</v>
      </c>
      <c r="F10" s="83">
        <f>Risk0!F10/1000000</f>
        <v>0.2</v>
      </c>
      <c r="G10" s="59">
        <v>1</v>
      </c>
      <c r="H10" s="60">
        <f t="shared" si="1"/>
        <v>0.2</v>
      </c>
      <c r="I10" s="57">
        <v>1</v>
      </c>
      <c r="J10" s="60">
        <f t="shared" si="3"/>
        <v>0.2</v>
      </c>
      <c r="K10" s="58" t="s">
        <v>342</v>
      </c>
      <c r="L10" s="61"/>
    </row>
    <row r="11" spans="1:12" ht="60" x14ac:dyDescent="0.25">
      <c r="A11" s="80">
        <f t="shared" si="0"/>
        <v>10</v>
      </c>
      <c r="B11" s="57" t="s">
        <v>310</v>
      </c>
      <c r="C11" s="58" t="s">
        <v>315</v>
      </c>
      <c r="D11" s="57" t="s">
        <v>117</v>
      </c>
      <c r="E11" s="57" t="s">
        <v>305</v>
      </c>
      <c r="F11" s="83">
        <f>Risk0!F11/1000000</f>
        <v>2.4E-2</v>
      </c>
      <c r="G11" s="59">
        <v>1</v>
      </c>
      <c r="H11" s="59">
        <f t="shared" si="1"/>
        <v>2.4E-2</v>
      </c>
      <c r="I11" s="57">
        <v>1</v>
      </c>
      <c r="J11" s="60">
        <f t="shared" si="3"/>
        <v>2.4E-2</v>
      </c>
      <c r="K11" s="58" t="s">
        <v>343</v>
      </c>
      <c r="L11" s="61"/>
    </row>
    <row r="12" spans="1:12" ht="30" x14ac:dyDescent="0.25">
      <c r="A12" s="80">
        <f t="shared" si="0"/>
        <v>11</v>
      </c>
      <c r="B12" s="57" t="s">
        <v>310</v>
      </c>
      <c r="C12" s="58" t="s">
        <v>316</v>
      </c>
      <c r="D12" s="57" t="s">
        <v>117</v>
      </c>
      <c r="E12" s="57" t="s">
        <v>305</v>
      </c>
      <c r="F12" s="83">
        <f>Risk0!F12/1000000</f>
        <v>1.8793800000000001</v>
      </c>
      <c r="G12" s="59">
        <v>0.5</v>
      </c>
      <c r="H12" s="60">
        <f t="shared" si="1"/>
        <v>0.93969000000000003</v>
      </c>
      <c r="I12" s="57">
        <v>1</v>
      </c>
      <c r="J12" s="60">
        <f t="shared" si="3"/>
        <v>1.8793800000000001</v>
      </c>
      <c r="K12" s="58" t="s">
        <v>344</v>
      </c>
      <c r="L12" s="61"/>
    </row>
    <row r="13" spans="1:12" ht="45" x14ac:dyDescent="0.25">
      <c r="A13" s="80">
        <f t="shared" si="0"/>
        <v>12</v>
      </c>
      <c r="B13" s="57" t="s">
        <v>310</v>
      </c>
      <c r="C13" s="58" t="s">
        <v>317</v>
      </c>
      <c r="D13" s="57" t="s">
        <v>73</v>
      </c>
      <c r="E13" s="57" t="s">
        <v>305</v>
      </c>
      <c r="F13" s="83">
        <f>Risk0!F13/1000000</f>
        <v>0.16</v>
      </c>
      <c r="G13" s="59">
        <v>0.75</v>
      </c>
      <c r="H13" s="60">
        <f t="shared" si="1"/>
        <v>0.12</v>
      </c>
      <c r="I13" s="57">
        <v>1</v>
      </c>
      <c r="J13" s="60">
        <f t="shared" si="3"/>
        <v>0.16</v>
      </c>
      <c r="K13" s="58" t="s">
        <v>345</v>
      </c>
      <c r="L13" s="61"/>
    </row>
    <row r="14" spans="1:12" ht="120" x14ac:dyDescent="0.25">
      <c r="A14" s="80">
        <f t="shared" si="0"/>
        <v>13</v>
      </c>
      <c r="B14" s="57" t="s">
        <v>310</v>
      </c>
      <c r="C14" s="58" t="s">
        <v>318</v>
      </c>
      <c r="D14" s="57" t="s">
        <v>73</v>
      </c>
      <c r="E14" s="57" t="s">
        <v>305</v>
      </c>
      <c r="F14" s="83">
        <f>Risk0!F14/1000000</f>
        <v>7.7024407100000003</v>
      </c>
      <c r="G14" s="59">
        <v>0.34</v>
      </c>
      <c r="H14" s="71">
        <f t="shared" si="1"/>
        <v>2.6188298414000002</v>
      </c>
      <c r="I14" s="57">
        <v>1</v>
      </c>
      <c r="J14" s="60">
        <f t="shared" si="3"/>
        <v>7.7024407100000003</v>
      </c>
      <c r="K14" s="58" t="s">
        <v>346</v>
      </c>
      <c r="L14" s="61"/>
    </row>
    <row r="15" spans="1:12" ht="45" x14ac:dyDescent="0.25">
      <c r="A15" s="80">
        <f t="shared" si="0"/>
        <v>14</v>
      </c>
      <c r="B15" s="57" t="s">
        <v>319</v>
      </c>
      <c r="C15" s="58" t="s">
        <v>320</v>
      </c>
      <c r="D15" s="57" t="s">
        <v>94</v>
      </c>
      <c r="E15" s="57" t="s">
        <v>305</v>
      </c>
      <c r="F15" s="83">
        <f>Risk0!F15/1000000</f>
        <v>0.5</v>
      </c>
      <c r="G15" s="59">
        <v>1</v>
      </c>
      <c r="H15" s="60">
        <f t="shared" si="1"/>
        <v>0.5</v>
      </c>
      <c r="I15" s="57">
        <v>1</v>
      </c>
      <c r="J15" s="60">
        <f t="shared" si="3"/>
        <v>0.5</v>
      </c>
      <c r="K15" s="58" t="s">
        <v>342</v>
      </c>
      <c r="L15" s="61"/>
    </row>
    <row r="16" spans="1:12" ht="90" x14ac:dyDescent="0.25">
      <c r="A16" s="80">
        <f t="shared" si="0"/>
        <v>15</v>
      </c>
      <c r="B16" s="57" t="s">
        <v>321</v>
      </c>
      <c r="C16" s="58" t="s">
        <v>322</v>
      </c>
      <c r="D16" s="57" t="s">
        <v>359</v>
      </c>
      <c r="E16" s="57" t="s">
        <v>305</v>
      </c>
      <c r="F16" s="83">
        <f>Risk0!F16/1000000</f>
        <v>238.51587506000001</v>
      </c>
      <c r="G16" s="59">
        <v>0.74</v>
      </c>
      <c r="H16" s="71">
        <f t="shared" si="1"/>
        <v>176.50174754440002</v>
      </c>
      <c r="I16" s="57">
        <v>0</v>
      </c>
      <c r="J16" s="60">
        <f t="shared" si="3"/>
        <v>0</v>
      </c>
      <c r="K16" s="58" t="s">
        <v>347</v>
      </c>
      <c r="L16" s="61"/>
    </row>
    <row r="17" spans="1:12" ht="90" x14ac:dyDescent="0.25">
      <c r="A17" s="80">
        <f t="shared" si="0"/>
        <v>16</v>
      </c>
      <c r="B17" s="57" t="s">
        <v>321</v>
      </c>
      <c r="C17" s="58" t="s">
        <v>323</v>
      </c>
      <c r="D17" s="57" t="s">
        <v>359</v>
      </c>
      <c r="E17" s="57" t="s">
        <v>305</v>
      </c>
      <c r="F17" s="83">
        <f>Risk0!F17/1000000</f>
        <v>201.53689718999999</v>
      </c>
      <c r="G17" s="59">
        <v>0.76</v>
      </c>
      <c r="H17" s="71">
        <f t="shared" si="1"/>
        <v>153.16804186439998</v>
      </c>
      <c r="I17" s="57">
        <v>0</v>
      </c>
      <c r="J17" s="60">
        <f t="shared" si="3"/>
        <v>0</v>
      </c>
      <c r="K17" s="58" t="s">
        <v>348</v>
      </c>
      <c r="L17" s="61"/>
    </row>
    <row r="18" spans="1:12" ht="60" x14ac:dyDescent="0.25">
      <c r="A18" s="80">
        <f t="shared" si="0"/>
        <v>17</v>
      </c>
      <c r="B18" s="57" t="s">
        <v>321</v>
      </c>
      <c r="C18" s="58" t="s">
        <v>324</v>
      </c>
      <c r="D18" s="57" t="s">
        <v>359</v>
      </c>
      <c r="E18" s="57" t="s">
        <v>305</v>
      </c>
      <c r="F18" s="83">
        <f>Risk0!F18/1000000</f>
        <v>16.471577199999999</v>
      </c>
      <c r="G18" s="59">
        <v>0</v>
      </c>
      <c r="H18" s="59"/>
      <c r="I18" s="57">
        <v>1</v>
      </c>
      <c r="J18" s="60">
        <f t="shared" si="3"/>
        <v>16.471577199999999</v>
      </c>
      <c r="K18" s="58" t="s">
        <v>349</v>
      </c>
      <c r="L18" s="61"/>
    </row>
    <row r="19" spans="1:12" ht="45" x14ac:dyDescent="0.25">
      <c r="A19" s="80">
        <f t="shared" si="0"/>
        <v>18</v>
      </c>
      <c r="B19" s="57" t="s">
        <v>321</v>
      </c>
      <c r="C19" s="58" t="s">
        <v>325</v>
      </c>
      <c r="D19" s="57" t="s">
        <v>359</v>
      </c>
      <c r="E19" s="57" t="s">
        <v>305</v>
      </c>
      <c r="F19" s="83">
        <f>Risk0!F19/1000000</f>
        <v>-63.5</v>
      </c>
      <c r="G19" s="59">
        <v>0</v>
      </c>
      <c r="H19" s="59"/>
      <c r="I19" s="57">
        <v>1</v>
      </c>
      <c r="J19" s="60">
        <f t="shared" si="3"/>
        <v>-63.5</v>
      </c>
      <c r="K19" s="58" t="s">
        <v>350</v>
      </c>
      <c r="L19" s="61"/>
    </row>
    <row r="20" spans="1:12" ht="30" x14ac:dyDescent="0.25">
      <c r="A20" s="80">
        <f t="shared" si="0"/>
        <v>19</v>
      </c>
      <c r="B20" s="57" t="s">
        <v>321</v>
      </c>
      <c r="C20" s="58" t="s">
        <v>326</v>
      </c>
      <c r="D20" s="57" t="s">
        <v>359</v>
      </c>
      <c r="E20" s="57" t="s">
        <v>305</v>
      </c>
      <c r="F20" s="83">
        <f>Risk0!F20/1000000</f>
        <v>54</v>
      </c>
      <c r="G20" s="59">
        <v>0.5</v>
      </c>
      <c r="H20" s="60">
        <f>G20*F20</f>
        <v>27</v>
      </c>
      <c r="I20" s="57">
        <v>1</v>
      </c>
      <c r="J20" s="60">
        <f t="shared" si="3"/>
        <v>54</v>
      </c>
      <c r="K20" s="58" t="s">
        <v>351</v>
      </c>
      <c r="L20" s="61"/>
    </row>
    <row r="21" spans="1:12" s="54" customFormat="1" ht="82.5" customHeight="1" x14ac:dyDescent="0.25">
      <c r="A21" s="80">
        <f t="shared" si="0"/>
        <v>20</v>
      </c>
      <c r="B21" s="72" t="s">
        <v>321</v>
      </c>
      <c r="C21" s="73" t="s">
        <v>385</v>
      </c>
      <c r="D21" s="72" t="s">
        <v>359</v>
      </c>
      <c r="E21" s="72" t="s">
        <v>305</v>
      </c>
      <c r="F21" s="83">
        <f>Risk0!F21/1000000</f>
        <v>0</v>
      </c>
      <c r="G21" s="74"/>
      <c r="H21" s="74"/>
      <c r="I21" s="72">
        <v>1</v>
      </c>
      <c r="J21" s="60">
        <f t="shared" si="3"/>
        <v>0</v>
      </c>
      <c r="K21" s="73" t="s">
        <v>352</v>
      </c>
      <c r="L21" s="75"/>
    </row>
    <row r="22" spans="1:12" ht="30" x14ac:dyDescent="0.25">
      <c r="A22" s="80">
        <f t="shared" si="0"/>
        <v>21</v>
      </c>
      <c r="B22" s="57" t="s">
        <v>321</v>
      </c>
      <c r="C22" s="58" t="s">
        <v>327</v>
      </c>
      <c r="D22" s="57" t="s">
        <v>359</v>
      </c>
      <c r="E22" s="57" t="s">
        <v>305</v>
      </c>
      <c r="F22" s="83">
        <f>Risk0!F22/1000000</f>
        <v>50</v>
      </c>
      <c r="G22" s="59">
        <v>0.5</v>
      </c>
      <c r="H22" s="60">
        <f>G22*F22</f>
        <v>25</v>
      </c>
      <c r="I22" s="57">
        <v>1</v>
      </c>
      <c r="J22" s="60">
        <f t="shared" si="3"/>
        <v>50</v>
      </c>
      <c r="K22" s="58" t="s">
        <v>353</v>
      </c>
      <c r="L22" s="61"/>
    </row>
    <row r="23" spans="1:12" ht="30" x14ac:dyDescent="0.25">
      <c r="A23" s="80">
        <f t="shared" si="0"/>
        <v>22</v>
      </c>
      <c r="B23" s="57" t="s">
        <v>321</v>
      </c>
      <c r="C23" s="58" t="s">
        <v>328</v>
      </c>
      <c r="D23" s="57" t="s">
        <v>359</v>
      </c>
      <c r="E23" s="57" t="s">
        <v>305</v>
      </c>
      <c r="F23" s="83">
        <f>Risk0!F23/1000000</f>
        <v>20</v>
      </c>
      <c r="G23" s="59">
        <v>0.5</v>
      </c>
      <c r="H23" s="60">
        <f>G23*F23</f>
        <v>10</v>
      </c>
      <c r="I23" s="57">
        <v>1</v>
      </c>
      <c r="J23" s="60">
        <f t="shared" si="3"/>
        <v>20</v>
      </c>
      <c r="K23" s="58" t="s">
        <v>353</v>
      </c>
      <c r="L23" s="61"/>
    </row>
    <row r="24" spans="1:12" ht="30" x14ac:dyDescent="0.25">
      <c r="A24" s="80">
        <f t="shared" si="0"/>
        <v>23</v>
      </c>
      <c r="B24" s="57" t="s">
        <v>321</v>
      </c>
      <c r="C24" s="58" t="s">
        <v>329</v>
      </c>
      <c r="D24" s="57" t="s">
        <v>51</v>
      </c>
      <c r="E24" s="57" t="s">
        <v>305</v>
      </c>
      <c r="F24" s="83">
        <f>Risk0!F24/1000000</f>
        <v>100</v>
      </c>
      <c r="G24" s="59">
        <v>1</v>
      </c>
      <c r="H24" s="60">
        <f>G24*F24</f>
        <v>100</v>
      </c>
      <c r="I24" s="57">
        <v>1</v>
      </c>
      <c r="J24" s="60">
        <f t="shared" si="3"/>
        <v>100</v>
      </c>
      <c r="K24" s="58" t="s">
        <v>354</v>
      </c>
      <c r="L24" s="61"/>
    </row>
    <row r="25" spans="1:12" ht="30" x14ac:dyDescent="0.25">
      <c r="A25" s="80">
        <f t="shared" si="0"/>
        <v>24</v>
      </c>
      <c r="B25" s="57" t="s">
        <v>321</v>
      </c>
      <c r="C25" s="58" t="s">
        <v>330</v>
      </c>
      <c r="D25" s="57" t="s">
        <v>360</v>
      </c>
      <c r="E25" s="57" t="s">
        <v>305</v>
      </c>
      <c r="F25" s="83">
        <f>Risk0!F25/1000000</f>
        <v>4</v>
      </c>
      <c r="G25" s="59">
        <v>0.75</v>
      </c>
      <c r="H25" s="60">
        <f>G25*F25</f>
        <v>3</v>
      </c>
      <c r="I25" s="57">
        <v>1</v>
      </c>
      <c r="J25" s="60">
        <f t="shared" si="3"/>
        <v>4</v>
      </c>
      <c r="K25" s="58" t="s">
        <v>355</v>
      </c>
      <c r="L25" s="61"/>
    </row>
    <row r="26" spans="1:12" ht="45" x14ac:dyDescent="0.25">
      <c r="A26" s="80">
        <f t="shared" si="0"/>
        <v>25</v>
      </c>
      <c r="B26" s="57" t="s">
        <v>321</v>
      </c>
      <c r="C26" s="58" t="s">
        <v>331</v>
      </c>
      <c r="D26" s="57" t="s">
        <v>359</v>
      </c>
      <c r="E26" s="57" t="s">
        <v>305</v>
      </c>
      <c r="F26" s="83">
        <f>Risk0!F26/1000000</f>
        <v>0</v>
      </c>
      <c r="G26" s="59">
        <v>0.75</v>
      </c>
      <c r="H26" s="59"/>
      <c r="I26" s="57">
        <v>1</v>
      </c>
      <c r="J26" s="60">
        <f t="shared" si="3"/>
        <v>0</v>
      </c>
      <c r="K26" s="58" t="s">
        <v>356</v>
      </c>
      <c r="L26" s="61"/>
    </row>
    <row r="27" spans="1:12" ht="45" x14ac:dyDescent="0.25">
      <c r="A27" s="80">
        <f t="shared" si="0"/>
        <v>26</v>
      </c>
      <c r="B27" s="57" t="s">
        <v>321</v>
      </c>
      <c r="C27" s="58" t="s">
        <v>332</v>
      </c>
      <c r="D27" s="57" t="s">
        <v>359</v>
      </c>
      <c r="E27" s="57" t="s">
        <v>305</v>
      </c>
      <c r="F27" s="83">
        <f>Risk0!F27/1000000</f>
        <v>10</v>
      </c>
      <c r="G27" s="59">
        <v>0.75</v>
      </c>
      <c r="H27" s="60">
        <f>G27*F27</f>
        <v>7.5</v>
      </c>
      <c r="I27" s="57">
        <v>1</v>
      </c>
      <c r="J27" s="60">
        <f t="shared" si="3"/>
        <v>10</v>
      </c>
      <c r="K27" s="58" t="s">
        <v>357</v>
      </c>
      <c r="L27" s="61"/>
    </row>
    <row r="28" spans="1:12" ht="75" x14ac:dyDescent="0.25">
      <c r="A28" s="80">
        <f t="shared" si="0"/>
        <v>27</v>
      </c>
      <c r="B28" s="57" t="s">
        <v>321</v>
      </c>
      <c r="C28" s="58" t="s">
        <v>333</v>
      </c>
      <c r="D28" s="57" t="s">
        <v>359</v>
      </c>
      <c r="E28" s="57" t="s">
        <v>305</v>
      </c>
      <c r="F28" s="83">
        <f>Risk0!F28/1000000</f>
        <v>-40.393462759999998</v>
      </c>
      <c r="G28" s="59">
        <v>0.28999999999999998</v>
      </c>
      <c r="H28" s="71">
        <f>G28*F28</f>
        <v>-11.7141042004</v>
      </c>
      <c r="I28" s="57">
        <v>1</v>
      </c>
      <c r="J28" s="60">
        <f t="shared" si="3"/>
        <v>-40.393462759999998</v>
      </c>
      <c r="K28" s="58" t="s">
        <v>358</v>
      </c>
      <c r="L28" s="61"/>
    </row>
    <row r="29" spans="1:12" x14ac:dyDescent="0.25">
      <c r="A29" s="76"/>
      <c r="B29" s="77"/>
      <c r="C29" s="78" t="s">
        <v>193</v>
      </c>
      <c r="D29" s="77"/>
      <c r="E29" s="77"/>
      <c r="F29" s="79">
        <f>SUM(F2:F28)</f>
        <v>657.67618376999997</v>
      </c>
      <c r="G29" s="77"/>
      <c r="H29" s="79">
        <f>SUM(H2:H28)</f>
        <v>549.22768141979998</v>
      </c>
      <c r="I29" s="77"/>
      <c r="J29" s="79">
        <f>SUM(J2:J28)</f>
        <v>217.62341152000002</v>
      </c>
      <c r="K29" s="77"/>
      <c r="L29" s="66"/>
    </row>
  </sheetData>
  <autoFilter ref="A1:L28" xr:uid="{9E20A682-E217-4776-B856-049B2E1E7C95}">
    <filterColumn colId="4">
      <filters>
        <filter val="PENDING"/>
      </filters>
    </filterColumn>
  </autoFilter>
  <conditionalFormatting sqref="F2:G2 G4:G10 G18:H19 G12:G17 G21:H21 G20 G26:H26 G22:G25 G27:G28 G11:H11 G3:H3 F3:F28">
    <cfRule type="cellIs" dxfId="2" priority="2" operator="lessThan">
      <formula>0</formula>
    </cfRule>
  </conditionalFormatting>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1E29-F92B-4C49-BC4E-9EB2AD6AA179}">
  <sheetPr>
    <tabColor theme="0" tint="-0.249977111117893"/>
  </sheetPr>
  <dimension ref="A1:AI46"/>
  <sheetViews>
    <sheetView topLeftCell="E1" zoomScale="85" zoomScaleNormal="85" workbookViewId="0">
      <pane ySplit="750" topLeftCell="A11" activePane="bottomLeft"/>
      <selection sqref="A1:J1048576"/>
      <selection pane="bottomLeft" activeCell="I44" sqref="I44"/>
    </sheetView>
  </sheetViews>
  <sheetFormatPr defaultRowHeight="15" x14ac:dyDescent="0.25"/>
  <cols>
    <col min="2" max="2" width="57.140625" bestFit="1" customWidth="1"/>
    <col min="3" max="3" width="18.5703125" style="53" bestFit="1" customWidth="1"/>
    <col min="4" max="4" width="18.85546875" style="53" bestFit="1" customWidth="1"/>
    <col min="5" max="5" width="20.28515625" style="53" bestFit="1" customWidth="1"/>
    <col min="6" max="6" width="21.5703125" style="53" bestFit="1" customWidth="1"/>
    <col min="7" max="7" width="20.28515625" style="53" bestFit="1" customWidth="1"/>
    <col min="8" max="8" width="20" style="53" bestFit="1" customWidth="1"/>
    <col min="9" max="10" width="20.28515625" style="53" bestFit="1" customWidth="1"/>
    <col min="11" max="11" width="20.28515625" style="53" customWidth="1"/>
    <col min="12" max="12" width="24.85546875" style="53" bestFit="1" customWidth="1"/>
    <col min="13" max="15" width="24.85546875" style="53" customWidth="1"/>
    <col min="16" max="16" width="24.85546875" style="53" hidden="1" customWidth="1"/>
    <col min="17" max="18" width="24.85546875" style="53" customWidth="1"/>
    <col min="19" max="19" width="24.85546875" customWidth="1"/>
    <col min="20" max="20" width="20.7109375" style="38" bestFit="1" customWidth="1"/>
    <col min="21" max="21" width="19.140625" style="38" bestFit="1" customWidth="1"/>
    <col min="22" max="22" width="34.28515625" bestFit="1" customWidth="1"/>
    <col min="23" max="23" width="22.7109375" customWidth="1"/>
    <col min="24" max="24" width="41" bestFit="1" customWidth="1"/>
    <col min="25" max="25" width="20.28515625" bestFit="1" customWidth="1"/>
    <col min="26" max="26" width="27.28515625" bestFit="1" customWidth="1"/>
    <col min="27" max="27" width="34.140625" customWidth="1"/>
    <col min="28" max="29" width="26.85546875" style="20" customWidth="1"/>
    <col min="30" max="30" width="26.85546875" customWidth="1"/>
    <col min="31" max="31" width="21.7109375" customWidth="1"/>
    <col min="32" max="32" width="17.7109375" bestFit="1" customWidth="1"/>
    <col min="33" max="33" width="17.28515625" bestFit="1" customWidth="1"/>
    <col min="34" max="34" width="17.7109375" bestFit="1" customWidth="1"/>
    <col min="35" max="35" width="18.5703125" bestFit="1" customWidth="1"/>
  </cols>
  <sheetData>
    <row r="1" spans="1:35" s="17" customFormat="1" x14ac:dyDescent="0.25">
      <c r="A1" s="24" t="s">
        <v>161</v>
      </c>
      <c r="B1" s="24" t="s">
        <v>162</v>
      </c>
      <c r="C1" s="18" t="s">
        <v>163</v>
      </c>
      <c r="D1" s="18" t="s">
        <v>164</v>
      </c>
      <c r="E1" s="18" t="s">
        <v>165</v>
      </c>
      <c r="F1" s="18" t="s">
        <v>160</v>
      </c>
      <c r="G1" s="18" t="s">
        <v>166</v>
      </c>
      <c r="H1" s="17" t="s">
        <v>167</v>
      </c>
      <c r="I1" s="17" t="s">
        <v>168</v>
      </c>
      <c r="J1" s="17" t="s">
        <v>159</v>
      </c>
      <c r="K1" s="17" t="str">
        <f>'ContractPrice-CDE'!L1</f>
        <v>NotYetAward</v>
      </c>
      <c r="L1" s="50" t="s">
        <v>298</v>
      </c>
      <c r="M1" s="50" t="s">
        <v>363</v>
      </c>
      <c r="N1" s="50" t="s">
        <v>364</v>
      </c>
      <c r="O1" s="50" t="s">
        <v>365</v>
      </c>
      <c r="P1" s="50" t="s">
        <v>361</v>
      </c>
      <c r="Q1" s="50" t="s">
        <v>377</v>
      </c>
      <c r="R1" s="50" t="s">
        <v>229</v>
      </c>
      <c r="S1" s="17" t="s">
        <v>366</v>
      </c>
      <c r="T1" s="37" t="s">
        <v>227</v>
      </c>
      <c r="U1" s="37" t="s">
        <v>228</v>
      </c>
      <c r="V1" s="17" t="s">
        <v>230</v>
      </c>
      <c r="W1" s="17" t="s">
        <v>231</v>
      </c>
      <c r="X1" s="17" t="s">
        <v>232</v>
      </c>
      <c r="Y1" s="17" t="s">
        <v>233</v>
      </c>
      <c r="Z1" s="17" t="s">
        <v>234</v>
      </c>
      <c r="AA1" s="17" t="s">
        <v>287</v>
      </c>
      <c r="AB1" s="18" t="s">
        <v>288</v>
      </c>
      <c r="AC1" s="18" t="s">
        <v>290</v>
      </c>
      <c r="AD1" s="17" t="s">
        <v>291</v>
      </c>
      <c r="AE1" s="17" t="s">
        <v>289</v>
      </c>
      <c r="AF1" s="17" t="s">
        <v>169</v>
      </c>
    </row>
    <row r="2" spans="1:35" x14ac:dyDescent="0.25">
      <c r="A2" s="16" t="s">
        <v>36</v>
      </c>
      <c r="B2" s="16" t="s">
        <v>170</v>
      </c>
      <c r="C2" s="147">
        <f>'ContractPrice-CDE'!C2/1000000</f>
        <v>2.78681</v>
      </c>
      <c r="D2" s="147">
        <f>'ContractPrice-CDE'!D2/1000000</f>
        <v>2.7421899999999999</v>
      </c>
      <c r="E2" s="147">
        <f>'ContractPrice-CDE'!E2/1000000</f>
        <v>4.1710000000000003</v>
      </c>
      <c r="F2" s="147">
        <f>'ContractPrice-CDE'!F2/1000000</f>
        <v>9.6999999999999993</v>
      </c>
      <c r="G2" s="147">
        <f>'ContractPrice-CDE'!G2/1000000</f>
        <v>2.78681</v>
      </c>
      <c r="H2" s="147">
        <f>'ContractPrice-CDE'!H2/1000000</f>
        <v>2.7421899999999999</v>
      </c>
      <c r="I2" s="147">
        <f>'ContractPrice-CDE'!I2/1000000</f>
        <v>4.1710000000000003</v>
      </c>
      <c r="J2" s="147">
        <f>'ContractPrice-CDE'!J2/1000000</f>
        <v>9.6999999999999993</v>
      </c>
      <c r="K2" s="51">
        <f>'ContractPrice-CDE'!L2/1000000</f>
        <v>0</v>
      </c>
      <c r="L2" s="51">
        <f>'ContractPrice-CDE'!M2/1000000</f>
        <v>1.8258823500000001</v>
      </c>
      <c r="M2" s="51">
        <f>'ContractPrice-CDE'!N2/1000000</f>
        <v>0.71118242000000009</v>
      </c>
      <c r="N2" s="51">
        <f>'ContractPrice-CDE'!O2/1000000</f>
        <v>0.69979557999999997</v>
      </c>
      <c r="O2" s="51">
        <f>'ContractPrice-CDE'!P2/1000000</f>
        <v>1.064422</v>
      </c>
      <c r="P2" s="51">
        <f>'ContractPrice-CDE'!Q2/1000000</f>
        <v>2.4754</v>
      </c>
      <c r="Q2" s="51">
        <f>'ContractPrice-CDE'!R2/1000000</f>
        <v>2.4754</v>
      </c>
      <c r="R2" s="51">
        <f>'ContractPrice-CDE'!S2/1000000</f>
        <v>2.4754</v>
      </c>
      <c r="S2" s="20">
        <f>R2-Q2</f>
        <v>0</v>
      </c>
      <c r="T2" s="38">
        <f t="shared" ref="T2:T44" si="0">IFERROR(R2/F2,0)</f>
        <v>0.25519587628865981</v>
      </c>
      <c r="U2" s="38">
        <f t="shared" ref="U2:U44" si="1">IFERROR(R2/J2,0)</f>
        <v>0.25519587628865981</v>
      </c>
      <c r="V2" s="20"/>
      <c r="W2" s="44">
        <v>0.1</v>
      </c>
      <c r="X2" s="25">
        <v>0</v>
      </c>
      <c r="Y2" t="str">
        <f t="shared" ref="Y2:Y43" si="2">IF(X2=0,"",(L2-X2))</f>
        <v/>
      </c>
      <c r="Z2" t="str">
        <f>IF(Y2="","",(Y2/F2*100))</f>
        <v/>
      </c>
      <c r="AA2" s="27"/>
      <c r="AB2" s="25">
        <f>'ContractPrice-CDE'!AC2/1000000</f>
        <v>0.64951764999999995</v>
      </c>
      <c r="AD2">
        <v>1</v>
      </c>
      <c r="AE2" s="40">
        <f>AC2+AB2</f>
        <v>0.64951764999999995</v>
      </c>
      <c r="AF2" t="s">
        <v>292</v>
      </c>
    </row>
    <row r="3" spans="1:35" x14ac:dyDescent="0.25">
      <c r="A3" s="16" t="s">
        <v>130</v>
      </c>
      <c r="B3" s="16" t="s">
        <v>171</v>
      </c>
      <c r="C3" s="147">
        <f>'ContractPrice-CDE'!C3/1000000</f>
        <v>104.86450000000001</v>
      </c>
      <c r="D3" s="147">
        <f>'ContractPrice-CDE'!D3/1000000</f>
        <v>103.1855</v>
      </c>
      <c r="E3" s="147">
        <f>'ContractPrice-CDE'!E3/1000000</f>
        <v>156.94999999999999</v>
      </c>
      <c r="F3" s="147">
        <f>'ContractPrice-CDE'!F3/1000000</f>
        <v>365</v>
      </c>
      <c r="G3" s="147">
        <f>'ContractPrice-CDE'!G3/1000000</f>
        <v>152.44192050000001</v>
      </c>
      <c r="H3" s="147">
        <f>'ContractPrice-CDE'!H3/1000000</f>
        <v>150.00115184999999</v>
      </c>
      <c r="I3" s="147">
        <f>'ContractPrice-CDE'!I3/1000000</f>
        <v>228.15880897</v>
      </c>
      <c r="J3" s="147">
        <f>'ContractPrice-CDE'!J3/1000000</f>
        <v>530.60188132000007</v>
      </c>
      <c r="K3" s="51">
        <f>'ContractPrice-CDE'!L3/1000000</f>
        <v>0</v>
      </c>
      <c r="L3" s="51">
        <f>'ContractPrice-CDE'!M3/1000000</f>
        <v>331.96139113999999</v>
      </c>
      <c r="M3" s="51">
        <f>'ContractPrice-CDE'!N3/1000000</f>
        <v>105.85895767</v>
      </c>
      <c r="N3" s="51">
        <f>'ContractPrice-CDE'!O3/1000000</f>
        <v>104.16403528000001</v>
      </c>
      <c r="O3" s="51">
        <f>'ContractPrice-CDE'!P3/1000000</f>
        <v>158.43839818999999</v>
      </c>
      <c r="P3" s="51">
        <f>'ContractPrice-CDE'!Q3/1000000</f>
        <v>368.46139113999999</v>
      </c>
      <c r="Q3" s="51">
        <f>'ContractPrice-CDE'!R3/1000000</f>
        <v>368.46139113999999</v>
      </c>
      <c r="R3" s="51">
        <f>'ContractPrice-CDE'!S3/1000000</f>
        <v>368.46139113999999</v>
      </c>
      <c r="S3" s="20">
        <f t="shared" ref="S3:S43" si="3">R3-Q3</f>
        <v>0</v>
      </c>
      <c r="T3" s="38">
        <f t="shared" si="0"/>
        <v>1.0094832633972604</v>
      </c>
      <c r="U3" s="38">
        <f t="shared" si="1"/>
        <v>0.69442156937582555</v>
      </c>
      <c r="V3" s="20" t="s">
        <v>296</v>
      </c>
      <c r="W3" s="36">
        <v>0.1</v>
      </c>
      <c r="X3" s="20">
        <v>36500000</v>
      </c>
      <c r="Y3">
        <f t="shared" si="2"/>
        <v>-36499668.038608856</v>
      </c>
      <c r="Z3" s="38">
        <f t="shared" ref="Z3:Z43" si="4">IF(Y3="","",(Y3/F3))</f>
        <v>-99999.0905167366</v>
      </c>
      <c r="AA3" s="27"/>
      <c r="AB3" s="25">
        <f>'ContractPrice-CDE'!AC3/1000000</f>
        <v>36.5</v>
      </c>
      <c r="AD3">
        <v>1</v>
      </c>
      <c r="AE3" s="40">
        <f t="shared" ref="AE3:AE43" si="5">AC3+AB3</f>
        <v>36.5</v>
      </c>
    </row>
    <row r="4" spans="1:35" x14ac:dyDescent="0.25">
      <c r="A4" s="16" t="s">
        <v>172</v>
      </c>
      <c r="B4" s="16" t="s">
        <v>173</v>
      </c>
      <c r="C4" s="147">
        <f>'ContractPrice-CDE'!C4/1000000</f>
        <v>37.9236</v>
      </c>
      <c r="D4" s="147">
        <f>'ContractPrice-CDE'!D4/1000000</f>
        <v>37.316400000000002</v>
      </c>
      <c r="E4" s="147">
        <f>'ContractPrice-CDE'!E4/1000000</f>
        <v>56.76</v>
      </c>
      <c r="F4" s="147">
        <f>'ContractPrice-CDE'!F4/1000000</f>
        <v>132</v>
      </c>
      <c r="G4" s="147">
        <f>'ContractPrice-CDE'!G4/1000000</f>
        <v>39.718682130000005</v>
      </c>
      <c r="H4" s="147">
        <f>'ContractPrice-CDE'!H4/1000000</f>
        <v>39.082740830000006</v>
      </c>
      <c r="I4" s="147">
        <f>'ContractPrice-CDE'!I4/1000000</f>
        <v>59.446687499999996</v>
      </c>
      <c r="J4" s="147">
        <f>'ContractPrice-CDE'!J4/1000000</f>
        <v>138.24811046000002</v>
      </c>
      <c r="K4" s="51">
        <f>'ContractPrice-CDE'!L4/1000000</f>
        <v>0</v>
      </c>
      <c r="L4" s="51">
        <f>'ContractPrice-CDE'!M4/1000000</f>
        <v>14.356944890000001</v>
      </c>
      <c r="M4" s="51">
        <f>'ContractPrice-CDE'!N4/1000000</f>
        <v>7.9171102699999993</v>
      </c>
      <c r="N4" s="51">
        <f>'ContractPrice-CDE'!O4/1000000</f>
        <v>7.7903483200000005</v>
      </c>
      <c r="O4" s="51">
        <f>'ContractPrice-CDE'!P4/1000000</f>
        <v>11.849486300000001</v>
      </c>
      <c r="P4" s="51">
        <f>'ContractPrice-CDE'!Q4/1000000</f>
        <v>27.55694489</v>
      </c>
      <c r="Q4" s="51">
        <f>'ContractPrice-CDE'!R4/1000000</f>
        <v>27.55694489</v>
      </c>
      <c r="R4" s="51">
        <f>'ContractPrice-CDE'!S4/1000000</f>
        <v>28.657621679999998</v>
      </c>
      <c r="S4" s="20">
        <f t="shared" si="3"/>
        <v>1.1006767899999979</v>
      </c>
      <c r="T4" s="38">
        <f t="shared" si="0"/>
        <v>0.21710319454545454</v>
      </c>
      <c r="U4" s="38">
        <f t="shared" si="1"/>
        <v>0.20729123591379314</v>
      </c>
      <c r="V4" s="20" t="s">
        <v>296</v>
      </c>
      <c r="W4" s="36">
        <v>0.1</v>
      </c>
      <c r="X4" s="20">
        <v>13200000</v>
      </c>
      <c r="Y4">
        <f t="shared" si="2"/>
        <v>-13199985.643055109</v>
      </c>
      <c r="Z4" s="38">
        <f t="shared" si="4"/>
        <v>-99999.891235265983</v>
      </c>
      <c r="AA4" s="27"/>
      <c r="AB4" s="25">
        <f>'ContractPrice-CDE'!AC4/1000000</f>
        <v>14.300676789999999</v>
      </c>
      <c r="AD4">
        <v>1</v>
      </c>
      <c r="AE4" s="40">
        <f t="shared" si="5"/>
        <v>14.300676789999999</v>
      </c>
    </row>
    <row r="5" spans="1:35" x14ac:dyDescent="0.25">
      <c r="A5" s="16" t="s">
        <v>117</v>
      </c>
      <c r="B5" s="16" t="s">
        <v>174</v>
      </c>
      <c r="C5" s="147">
        <f>'ContractPrice-CDE'!C5/1000000</f>
        <v>83.366702900000007</v>
      </c>
      <c r="D5" s="147">
        <f>'ContractPrice-CDE'!D5/1000000</f>
        <v>82.031907099999998</v>
      </c>
      <c r="E5" s="147">
        <f>'ContractPrice-CDE'!E5/1000000</f>
        <v>124.77439</v>
      </c>
      <c r="F5" s="147">
        <f>'ContractPrice-CDE'!F5/1000000</f>
        <v>290.173</v>
      </c>
      <c r="G5" s="147">
        <f>'ContractPrice-CDE'!G5/1000000</f>
        <v>82.490383699999981</v>
      </c>
      <c r="H5" s="147">
        <f>'ContractPrice-CDE'!H5/1000000</f>
        <v>81.16961877</v>
      </c>
      <c r="I5" s="147">
        <f>'ContractPrice-CDE'!I5/1000000</f>
        <v>123.46280888</v>
      </c>
      <c r="J5" s="147">
        <f>'ContractPrice-CDE'!J5/1000000</f>
        <v>287.12281134999995</v>
      </c>
      <c r="K5" s="51">
        <f>'ContractPrice-CDE'!L5/1000000</f>
        <v>0</v>
      </c>
      <c r="L5" s="51">
        <f>'ContractPrice-CDE'!M5/1000000</f>
        <v>53.272370199999997</v>
      </c>
      <c r="M5" s="51">
        <f>'ContractPrice-CDE'!N5/1000000</f>
        <v>24.12076897</v>
      </c>
      <c r="N5" s="51">
        <f>'ContractPrice-CDE'!O5/1000000</f>
        <v>23.73456801</v>
      </c>
      <c r="O5" s="51">
        <f>'ContractPrice-CDE'!P5/1000000</f>
        <v>36.101394560000003</v>
      </c>
      <c r="P5" s="51">
        <f>'ContractPrice-CDE'!Q5/1000000</f>
        <v>83.956731540000007</v>
      </c>
      <c r="Q5" s="51">
        <f>'ContractPrice-CDE'!R5/1000000</f>
        <v>83.956731540000007</v>
      </c>
      <c r="R5" s="51">
        <f>'ContractPrice-CDE'!S5/1000000</f>
        <v>83.956731540000007</v>
      </c>
      <c r="S5" s="20">
        <f t="shared" si="3"/>
        <v>0</v>
      </c>
      <c r="T5" s="38">
        <f t="shared" si="0"/>
        <v>0.28933336850775232</v>
      </c>
      <c r="U5" s="38">
        <f t="shared" si="1"/>
        <v>0.29240704054564848</v>
      </c>
      <c r="V5" s="20" t="s">
        <v>296</v>
      </c>
      <c r="W5" s="36">
        <v>0.1</v>
      </c>
      <c r="X5" s="20">
        <v>29017300</v>
      </c>
      <c r="Y5">
        <f t="shared" si="2"/>
        <v>-29017246.727629799</v>
      </c>
      <c r="Z5" s="38">
        <f t="shared" si="4"/>
        <v>-99999.816411691645</v>
      </c>
      <c r="AA5" s="27"/>
      <c r="AB5" s="25">
        <f>'ContractPrice-CDE'!AC5/1000000</f>
        <v>30.684361340000009</v>
      </c>
      <c r="AD5">
        <v>1</v>
      </c>
      <c r="AE5" s="40">
        <f t="shared" si="5"/>
        <v>30.684361340000009</v>
      </c>
    </row>
    <row r="6" spans="1:35" x14ac:dyDescent="0.25">
      <c r="A6" s="16" t="s">
        <v>63</v>
      </c>
      <c r="B6" s="16" t="s">
        <v>175</v>
      </c>
      <c r="C6" s="147">
        <f>'ContractPrice-CDE'!C6/1000000</f>
        <v>4.3094999999999999</v>
      </c>
      <c r="D6" s="147">
        <f>'ContractPrice-CDE'!D6/1000000</f>
        <v>4.2404999999999999</v>
      </c>
      <c r="E6" s="147">
        <f>'ContractPrice-CDE'!E6/1000000</f>
        <v>6.45</v>
      </c>
      <c r="F6" s="147">
        <f>'ContractPrice-CDE'!F6/1000000</f>
        <v>15</v>
      </c>
      <c r="G6" s="147">
        <f>'ContractPrice-CDE'!G6/1000000</f>
        <v>5.3310208899999996</v>
      </c>
      <c r="H6" s="147">
        <f>'ContractPrice-CDE'!H6/1000000</f>
        <v>5.2456651800000005</v>
      </c>
      <c r="I6" s="147">
        <f>'ContractPrice-CDE'!I6/1000000</f>
        <v>7.9789035200000011</v>
      </c>
      <c r="J6" s="147">
        <f>'ContractPrice-CDE'!J6/1000000</f>
        <v>18.555589590000004</v>
      </c>
      <c r="K6" s="51">
        <f>'ContractPrice-CDE'!L6/1000000</f>
        <v>0</v>
      </c>
      <c r="L6" s="51">
        <f>'ContractPrice-CDE'!M6/1000000</f>
        <v>2.4607082399999998</v>
      </c>
      <c r="M6" s="51">
        <f>'ContractPrice-CDE'!N6/1000000</f>
        <v>1.1667398200000001</v>
      </c>
      <c r="N6" s="51">
        <f>'ContractPrice-CDE'!O6/1000000</f>
        <v>1.14805899</v>
      </c>
      <c r="O6" s="51">
        <f>'ContractPrice-CDE'!P6/1000000</f>
        <v>1.7462517399999999</v>
      </c>
      <c r="P6" s="51">
        <f>'ContractPrice-CDE'!Q6/1000000</f>
        <v>4.06105055</v>
      </c>
      <c r="Q6" s="51">
        <f>'ContractPrice-CDE'!R6/1000000</f>
        <v>4.06105055</v>
      </c>
      <c r="R6" s="51">
        <f>'ContractPrice-CDE'!S6/1000000</f>
        <v>4.06105055</v>
      </c>
      <c r="S6" s="20">
        <f t="shared" si="3"/>
        <v>0</v>
      </c>
      <c r="T6" s="38">
        <f t="shared" si="0"/>
        <v>0.27073670333333333</v>
      </c>
      <c r="U6" s="38">
        <f t="shared" si="1"/>
        <v>0.21885861024801848</v>
      </c>
      <c r="V6" s="20" t="s">
        <v>296</v>
      </c>
      <c r="W6" s="36">
        <v>0.1</v>
      </c>
      <c r="X6" s="20">
        <v>1500000</v>
      </c>
      <c r="Y6">
        <f t="shared" si="2"/>
        <v>-1499997.53929176</v>
      </c>
      <c r="Z6" s="38">
        <f t="shared" si="4"/>
        <v>-99999.835952783993</v>
      </c>
      <c r="AA6" s="27"/>
      <c r="AB6" s="25">
        <f>'ContractPrice-CDE'!AC6/1000000</f>
        <v>1.60034231</v>
      </c>
      <c r="AD6">
        <v>1</v>
      </c>
      <c r="AE6" s="40">
        <f t="shared" si="5"/>
        <v>1.60034231</v>
      </c>
    </row>
    <row r="7" spans="1:35" x14ac:dyDescent="0.25">
      <c r="A7" s="16" t="s">
        <v>64</v>
      </c>
      <c r="B7" s="16" t="s">
        <v>176</v>
      </c>
      <c r="C7" s="147">
        <f>'ContractPrice-CDE'!C7/1000000</f>
        <v>4.3094999999999999</v>
      </c>
      <c r="D7" s="147">
        <f>'ContractPrice-CDE'!D7/1000000</f>
        <v>4.2404999999999999</v>
      </c>
      <c r="E7" s="147">
        <f>'ContractPrice-CDE'!E7/1000000</f>
        <v>6.45</v>
      </c>
      <c r="F7" s="147">
        <f>'ContractPrice-CDE'!F7/1000000</f>
        <v>15</v>
      </c>
      <c r="G7" s="147">
        <f>'ContractPrice-CDE'!G7/1000000</f>
        <v>5.6005944999999997</v>
      </c>
      <c r="H7" s="147">
        <f>'ContractPrice-CDE'!H7/1000000</f>
        <v>5.5109226000000007</v>
      </c>
      <c r="I7" s="147">
        <f>'ContractPrice-CDE'!I7/1000000</f>
        <v>8.3823725499999995</v>
      </c>
      <c r="J7" s="147">
        <f>'ContractPrice-CDE'!J7/1000000</f>
        <v>19.493889650000003</v>
      </c>
      <c r="K7" s="51">
        <f>'ContractPrice-CDE'!L7/1000000</f>
        <v>0</v>
      </c>
      <c r="L7" s="51">
        <f>'ContractPrice-CDE'!M7/1000000</f>
        <v>2.9886709499999999</v>
      </c>
      <c r="M7" s="51">
        <f>'ContractPrice-CDE'!N7/1000000</f>
        <v>1.44978326</v>
      </c>
      <c r="N7" s="51">
        <f>'ContractPrice-CDE'!O7/1000000</f>
        <v>1.4265705800000001</v>
      </c>
      <c r="O7" s="51">
        <f>'ContractPrice-CDE'!P7/1000000</f>
        <v>2.1698809700000004</v>
      </c>
      <c r="P7" s="51">
        <f>'ContractPrice-CDE'!Q7/1000000</f>
        <v>5.0462348099999996</v>
      </c>
      <c r="Q7" s="51">
        <f>'ContractPrice-CDE'!R7/1000000</f>
        <v>5.0462348100000005</v>
      </c>
      <c r="R7" s="51">
        <f>'ContractPrice-CDE'!S7/1000000</f>
        <v>5.0462348099999996</v>
      </c>
      <c r="S7" s="20">
        <f t="shared" si="3"/>
        <v>0</v>
      </c>
      <c r="T7" s="38">
        <f t="shared" si="0"/>
        <v>0.33641565399999995</v>
      </c>
      <c r="U7" s="38">
        <f t="shared" si="1"/>
        <v>0.25886238716858639</v>
      </c>
      <c r="V7" s="20" t="s">
        <v>296</v>
      </c>
      <c r="W7" s="36">
        <v>0.1</v>
      </c>
      <c r="X7" s="20">
        <v>1500000</v>
      </c>
      <c r="Y7">
        <f t="shared" si="2"/>
        <v>-1499997.0113290499</v>
      </c>
      <c r="Z7" s="38">
        <f t="shared" si="4"/>
        <v>-99999.80075527</v>
      </c>
      <c r="AA7" s="27"/>
      <c r="AB7" s="25">
        <f>'ContractPrice-CDE'!AC7/1000000</f>
        <v>2.0575638599999997</v>
      </c>
      <c r="AD7">
        <v>1</v>
      </c>
      <c r="AE7" s="40">
        <f t="shared" si="5"/>
        <v>2.0575638599999997</v>
      </c>
    </row>
    <row r="8" spans="1:35" x14ac:dyDescent="0.25">
      <c r="A8" s="6" t="s">
        <v>86</v>
      </c>
      <c r="B8" s="6" t="s">
        <v>177</v>
      </c>
      <c r="C8" s="147">
        <f>'ContractPrice-CDE'!C8/1000000</f>
        <v>6.6078999999999999</v>
      </c>
      <c r="D8" s="147">
        <f>'ContractPrice-CDE'!D8/1000000</f>
        <v>6.5021000000000004</v>
      </c>
      <c r="E8" s="147">
        <f>'ContractPrice-CDE'!E8/1000000</f>
        <v>9.89</v>
      </c>
      <c r="F8" s="147">
        <f>'ContractPrice-CDE'!F8/1000000</f>
        <v>23</v>
      </c>
      <c r="G8" s="147">
        <f>'ContractPrice-CDE'!G8/1000000</f>
        <v>7.5385457800000015</v>
      </c>
      <c r="H8" s="147">
        <f>'ContractPrice-CDE'!H8/1000000</f>
        <v>7.4178450900000019</v>
      </c>
      <c r="I8" s="147">
        <f>'ContractPrice-CDE'!I8/1000000</f>
        <v>11.282891350000002</v>
      </c>
      <c r="J8" s="147">
        <f>'ContractPrice-CDE'!J8/1000000</f>
        <v>26.239282220000007</v>
      </c>
      <c r="K8" s="51">
        <f>'ContractPrice-CDE'!L8/1000000</f>
        <v>0</v>
      </c>
      <c r="L8" s="51">
        <f>'ContractPrice-CDE'!M8/1000000</f>
        <v>1.6084234999999998</v>
      </c>
      <c r="M8" s="51">
        <f>'ContractPrice-CDE'!N8/1000000</f>
        <v>1.0629381</v>
      </c>
      <c r="N8" s="51">
        <f>'ContractPrice-CDE'!O8/1000000</f>
        <v>1.1425186599999999</v>
      </c>
      <c r="O8" s="51">
        <f>'ContractPrice-CDE'!P8/1000000</f>
        <v>1.5443268300000002</v>
      </c>
      <c r="P8" s="51">
        <f>'ContractPrice-CDE'!Q8/1000000</f>
        <v>4.46721565</v>
      </c>
      <c r="Q8" s="51">
        <f>'ContractPrice-CDE'!R8/1000000</f>
        <v>3.7497835899999998</v>
      </c>
      <c r="R8" s="51">
        <f>'ContractPrice-CDE'!S8/1000000</f>
        <v>4.46721565</v>
      </c>
      <c r="S8" s="20">
        <f t="shared" si="3"/>
        <v>0.71743206000000015</v>
      </c>
      <c r="T8" s="38">
        <f t="shared" si="0"/>
        <v>0.19422676739130434</v>
      </c>
      <c r="U8" s="38">
        <f t="shared" si="1"/>
        <v>0.17024915592374762</v>
      </c>
      <c r="V8" t="s">
        <v>292</v>
      </c>
      <c r="W8" s="44">
        <v>0.1</v>
      </c>
      <c r="X8" s="25">
        <v>0</v>
      </c>
      <c r="Y8" t="str">
        <f t="shared" si="2"/>
        <v/>
      </c>
      <c r="Z8" s="38" t="str">
        <f t="shared" si="4"/>
        <v/>
      </c>
      <c r="AA8" s="27"/>
      <c r="AB8" s="25">
        <f>'ContractPrice-CDE'!AC8/1000000</f>
        <v>2.8587921500000002</v>
      </c>
      <c r="AD8">
        <v>1</v>
      </c>
      <c r="AE8" s="40">
        <f t="shared" si="5"/>
        <v>2.8587921500000002</v>
      </c>
    </row>
    <row r="9" spans="1:35" x14ac:dyDescent="0.25">
      <c r="A9" s="16" t="s">
        <v>87</v>
      </c>
      <c r="B9" s="16" t="s">
        <v>178</v>
      </c>
      <c r="C9" s="147">
        <f>'ContractPrice-CDE'!C9/1000000</f>
        <v>8.0443999999999996</v>
      </c>
      <c r="D9" s="147">
        <f>'ContractPrice-CDE'!D9/1000000</f>
        <v>7.9156000000000004</v>
      </c>
      <c r="E9" s="147">
        <f>'ContractPrice-CDE'!E9/1000000</f>
        <v>12.04</v>
      </c>
      <c r="F9" s="147">
        <f>'ContractPrice-CDE'!F9/1000000</f>
        <v>28</v>
      </c>
      <c r="G9" s="147">
        <f>'ContractPrice-CDE'!G9/1000000</f>
        <v>9.4175866499999987</v>
      </c>
      <c r="H9" s="147">
        <f>'ContractPrice-CDE'!H9/1000000</f>
        <v>9.2668003699999986</v>
      </c>
      <c r="I9" s="147">
        <f>'ContractPrice-CDE'!I9/1000000</f>
        <v>14.095239329999998</v>
      </c>
      <c r="J9" s="147">
        <f>'ContractPrice-CDE'!J9/1000000</f>
        <v>32.779626349999994</v>
      </c>
      <c r="K9" s="51">
        <f>'ContractPrice-CDE'!L9/1000000</f>
        <v>0</v>
      </c>
      <c r="L9" s="51">
        <f>'ContractPrice-CDE'!M9/1000000</f>
        <v>0</v>
      </c>
      <c r="M9" s="51">
        <f>'ContractPrice-CDE'!N9/1000000</f>
        <v>0.83508391000000004</v>
      </c>
      <c r="N9" s="51">
        <f>'ContractPrice-CDE'!O9/1000000</f>
        <v>0.83508391000000004</v>
      </c>
      <c r="O9" s="51">
        <f>'ContractPrice-CDE'!P9/1000000</f>
        <v>1.12983218</v>
      </c>
      <c r="P9" s="51">
        <f>'ContractPrice-CDE'!Q9/1000000</f>
        <v>2.8</v>
      </c>
      <c r="Q9" s="51">
        <f>'ContractPrice-CDE'!R9/1000000</f>
        <v>2.8</v>
      </c>
      <c r="R9" s="51">
        <f>'ContractPrice-CDE'!S9/1000000</f>
        <v>2.8</v>
      </c>
      <c r="S9" s="20">
        <f t="shared" si="3"/>
        <v>0</v>
      </c>
      <c r="T9" s="38">
        <f t="shared" si="0"/>
        <v>9.9999999999999992E-2</v>
      </c>
      <c r="U9" s="38">
        <f t="shared" si="1"/>
        <v>8.5418911433076797E-2</v>
      </c>
      <c r="V9" s="20" t="s">
        <v>296</v>
      </c>
      <c r="W9" s="36">
        <v>0.1</v>
      </c>
      <c r="X9" s="20">
        <v>2800000</v>
      </c>
      <c r="Y9">
        <f t="shared" si="2"/>
        <v>-2800000</v>
      </c>
      <c r="Z9" s="38">
        <f t="shared" si="4"/>
        <v>-100000</v>
      </c>
      <c r="AA9" s="27"/>
      <c r="AB9" s="25">
        <f>'ContractPrice-CDE'!AC9/1000000</f>
        <v>2.8</v>
      </c>
      <c r="AD9">
        <v>1</v>
      </c>
      <c r="AE9" s="40">
        <f t="shared" si="5"/>
        <v>2.8</v>
      </c>
      <c r="AF9" t="s">
        <v>293</v>
      </c>
    </row>
    <row r="10" spans="1:35" x14ac:dyDescent="0.25">
      <c r="A10" s="16" t="s">
        <v>88</v>
      </c>
      <c r="B10" s="16" t="s">
        <v>179</v>
      </c>
      <c r="C10" s="147">
        <f>'ContractPrice-CDE'!C10/1000000</f>
        <v>6.3205999999999998</v>
      </c>
      <c r="D10" s="147">
        <f>'ContractPrice-CDE'!D10/1000000</f>
        <v>6.2194000000000003</v>
      </c>
      <c r="E10" s="147">
        <f>'ContractPrice-CDE'!E10/1000000</f>
        <v>9.4600000000000009</v>
      </c>
      <c r="F10" s="147">
        <f>'ContractPrice-CDE'!F10/1000000</f>
        <v>22</v>
      </c>
      <c r="G10" s="147">
        <f>'ContractPrice-CDE'!G10/1000000</f>
        <v>6.3754733599999991</v>
      </c>
      <c r="H10" s="147">
        <f>'ContractPrice-CDE'!H10/1000000</f>
        <v>6.2733947699999995</v>
      </c>
      <c r="I10" s="147">
        <f>'ContractPrice-CDE'!I10/1000000</f>
        <v>9.542128589999999</v>
      </c>
      <c r="J10" s="147">
        <f>'ContractPrice-CDE'!J10/1000000</f>
        <v>22.190996719999998</v>
      </c>
      <c r="K10" s="51">
        <f>'ContractPrice-CDE'!L10/1000000</f>
        <v>0</v>
      </c>
      <c r="L10" s="51">
        <f>'ContractPrice-CDE'!M10/1000000</f>
        <v>8.3988761099999998</v>
      </c>
      <c r="M10" s="51">
        <f>'ContractPrice-CDE'!N10/1000000</f>
        <v>3.0530003699999999</v>
      </c>
      <c r="N10" s="51">
        <f>'ContractPrice-CDE'!O10/1000000</f>
        <v>3.06983915</v>
      </c>
      <c r="O10" s="51">
        <f>'ContractPrice-CDE'!P10/1000000</f>
        <v>4.4760365899999996</v>
      </c>
      <c r="P10" s="51">
        <f>'ContractPrice-CDE'!Q10/1000000</f>
        <v>10.598876109999999</v>
      </c>
      <c r="Q10" s="51">
        <f>'ContractPrice-CDE'!R10/1000000</f>
        <v>10.598876109999999</v>
      </c>
      <c r="R10" s="51">
        <f>'ContractPrice-CDE'!S10/1000000</f>
        <v>10.598876109999999</v>
      </c>
      <c r="S10" s="20">
        <f t="shared" si="3"/>
        <v>0</v>
      </c>
      <c r="T10" s="38">
        <f t="shared" si="0"/>
        <v>0.48176709590909089</v>
      </c>
      <c r="U10" s="38">
        <f t="shared" si="1"/>
        <v>0.47762055232280709</v>
      </c>
      <c r="V10" s="20" t="s">
        <v>296</v>
      </c>
      <c r="W10" s="36">
        <v>0.1</v>
      </c>
      <c r="X10" s="20">
        <v>2200000</v>
      </c>
      <c r="Y10">
        <f t="shared" si="2"/>
        <v>-2199991.6011238899</v>
      </c>
      <c r="Z10" s="38">
        <f t="shared" si="4"/>
        <v>-99999.618232904089</v>
      </c>
      <c r="AA10" s="27"/>
      <c r="AB10" s="25">
        <f>'ContractPrice-CDE'!AC10/1000000</f>
        <v>2.2000000000000002</v>
      </c>
      <c r="AD10">
        <v>1</v>
      </c>
      <c r="AE10" s="40">
        <f t="shared" si="5"/>
        <v>2.2000000000000002</v>
      </c>
    </row>
    <row r="11" spans="1:35" x14ac:dyDescent="0.25">
      <c r="A11" s="16" t="s">
        <v>65</v>
      </c>
      <c r="B11" s="16" t="s">
        <v>180</v>
      </c>
      <c r="C11" s="147">
        <f>'ContractPrice-CDE'!C11/1000000</f>
        <v>11.492000000000001</v>
      </c>
      <c r="D11" s="147">
        <f>'ContractPrice-CDE'!D11/1000000</f>
        <v>11.308</v>
      </c>
      <c r="E11" s="147">
        <f>'ContractPrice-CDE'!E11/1000000</f>
        <v>17.2</v>
      </c>
      <c r="F11" s="147">
        <f>'ContractPrice-CDE'!F11/1000000</f>
        <v>40</v>
      </c>
      <c r="G11" s="147">
        <f>'ContractPrice-CDE'!G11/1000000</f>
        <v>12.13236953</v>
      </c>
      <c r="H11" s="147">
        <f>'ContractPrice-CDE'!H11/1000000</f>
        <v>11.938116490000001</v>
      </c>
      <c r="I11" s="147">
        <f>'ContractPrice-CDE'!I11/1000000</f>
        <v>18.158436819999999</v>
      </c>
      <c r="J11" s="147">
        <f>'ContractPrice-CDE'!J11/1000000</f>
        <v>42.228922840000003</v>
      </c>
      <c r="K11" s="51">
        <f>'ContractPrice-CDE'!L11/1000000</f>
        <v>0</v>
      </c>
      <c r="L11" s="51">
        <f>'ContractPrice-CDE'!M11/1000000</f>
        <v>8.496687320000003</v>
      </c>
      <c r="M11" s="51">
        <f>'ContractPrice-CDE'!N11/1000000</f>
        <v>3.6638764300000002</v>
      </c>
      <c r="N11" s="51">
        <f>'ContractPrice-CDE'!O11/1000000</f>
        <v>3.6052135999999999</v>
      </c>
      <c r="O11" s="51">
        <f>'ContractPrice-CDE'!P11/1000000</f>
        <v>5.4836995000000002</v>
      </c>
      <c r="P11" s="51">
        <f>'ContractPrice-CDE'!Q11/1000000</f>
        <v>12.752789529999999</v>
      </c>
      <c r="Q11" s="51">
        <f>'ContractPrice-CDE'!R11/1000000</f>
        <v>12.752789530000001</v>
      </c>
      <c r="R11" s="51">
        <f>'ContractPrice-CDE'!S11/1000000</f>
        <v>12.752789529999999</v>
      </c>
      <c r="S11" s="20">
        <f t="shared" si="3"/>
        <v>0</v>
      </c>
      <c r="T11" s="38">
        <f t="shared" si="0"/>
        <v>0.31881973824999998</v>
      </c>
      <c r="U11" s="38">
        <f t="shared" si="1"/>
        <v>0.30199182627316096</v>
      </c>
      <c r="V11" s="20" t="s">
        <v>296</v>
      </c>
      <c r="W11" s="44">
        <v>0.1</v>
      </c>
      <c r="X11" s="25">
        <v>0</v>
      </c>
      <c r="Y11" t="str">
        <f t="shared" si="2"/>
        <v/>
      </c>
      <c r="Z11" s="38" t="str">
        <f t="shared" si="4"/>
        <v/>
      </c>
      <c r="AA11" s="27"/>
      <c r="AB11" s="25">
        <f>'ContractPrice-CDE'!AC11/1000000</f>
        <v>4.2561022099999972</v>
      </c>
      <c r="AD11">
        <v>1</v>
      </c>
      <c r="AE11" s="40">
        <f t="shared" si="5"/>
        <v>4.2561022099999972</v>
      </c>
    </row>
    <row r="12" spans="1:35" x14ac:dyDescent="0.25">
      <c r="A12" s="16" t="s">
        <v>67</v>
      </c>
      <c r="B12" s="16" t="s">
        <v>181</v>
      </c>
      <c r="C12" s="147">
        <f>'ContractPrice-CDE'!C12/1000000</f>
        <v>14.96833</v>
      </c>
      <c r="D12" s="147">
        <f>'ContractPrice-CDE'!D12/1000000</f>
        <v>14.728669999999999</v>
      </c>
      <c r="E12" s="147">
        <f>'ContractPrice-CDE'!E12/1000000</f>
        <v>22.402999999999999</v>
      </c>
      <c r="F12" s="147">
        <f>'ContractPrice-CDE'!F12/1000000</f>
        <v>52.1</v>
      </c>
      <c r="G12" s="147">
        <f>'ContractPrice-CDE'!G12/1000000</f>
        <v>14.461824550000001</v>
      </c>
      <c r="H12" s="147">
        <f>'ContractPrice-CDE'!H12/1000000</f>
        <v>14.230274280000001</v>
      </c>
      <c r="I12" s="147">
        <f>'ContractPrice-CDE'!I12/1000000</f>
        <v>21.64491666</v>
      </c>
      <c r="J12" s="147">
        <f>'ContractPrice-CDE'!J12/1000000</f>
        <v>50.337015489999999</v>
      </c>
      <c r="K12" s="51">
        <f>'ContractPrice-CDE'!L12/1000000</f>
        <v>0</v>
      </c>
      <c r="L12" s="51">
        <f>'ContractPrice-CDE'!M12/1000000</f>
        <v>14.363966019999999</v>
      </c>
      <c r="M12" s="51">
        <f>'ContractPrice-CDE'!N12/1000000</f>
        <v>5.7366113200000006</v>
      </c>
      <c r="N12" s="51">
        <f>'ContractPrice-CDE'!O12/1000000</f>
        <v>5.6447616500000004</v>
      </c>
      <c r="O12" s="51">
        <f>'ContractPrice-CDE'!P12/1000000</f>
        <v>8.5859480299999991</v>
      </c>
      <c r="P12" s="51">
        <f>'ContractPrice-CDE'!Q12/1000000</f>
        <v>19.967320999999998</v>
      </c>
      <c r="Q12" s="51">
        <f>'ContractPrice-CDE'!R12/1000000</f>
        <v>19.967320999999998</v>
      </c>
      <c r="R12" s="51">
        <f>'ContractPrice-CDE'!S12/1000000</f>
        <v>20.42597151</v>
      </c>
      <c r="S12" s="20">
        <f t="shared" si="3"/>
        <v>0.45865051000000179</v>
      </c>
      <c r="T12" s="38">
        <f t="shared" si="0"/>
        <v>0.39205319596928984</v>
      </c>
      <c r="U12" s="38">
        <f t="shared" si="1"/>
        <v>0.40578431818346172</v>
      </c>
      <c r="V12" s="20" t="s">
        <v>296</v>
      </c>
      <c r="W12" s="44">
        <v>0.1</v>
      </c>
      <c r="X12" s="25">
        <v>0</v>
      </c>
      <c r="Y12" t="str">
        <f t="shared" si="2"/>
        <v/>
      </c>
      <c r="Z12" s="38" t="str">
        <f t="shared" si="4"/>
        <v/>
      </c>
      <c r="AA12" s="27"/>
      <c r="AB12" s="25">
        <f>'ContractPrice-CDE'!AC12/1000000</f>
        <v>6.0620054900000024</v>
      </c>
      <c r="AD12">
        <v>1</v>
      </c>
      <c r="AE12" s="40">
        <f t="shared" si="5"/>
        <v>6.0620054900000024</v>
      </c>
    </row>
    <row r="13" spans="1:35" x14ac:dyDescent="0.25">
      <c r="A13" s="16" t="s">
        <v>69</v>
      </c>
      <c r="B13" s="16" t="s">
        <v>182</v>
      </c>
      <c r="C13" s="147">
        <f>'ContractPrice-CDE'!C13/1000000</f>
        <v>68.123436530000006</v>
      </c>
      <c r="D13" s="147">
        <f>'ContractPrice-CDE'!D13/1000000</f>
        <v>67.03270277</v>
      </c>
      <c r="E13" s="147">
        <f>'ContractPrice-CDE'!E13/1000000</f>
        <v>101.95989456000001</v>
      </c>
      <c r="F13" s="147">
        <f>'ContractPrice-CDE'!F13/1000000</f>
        <v>237.11603386000002</v>
      </c>
      <c r="G13" s="147">
        <f>'ContractPrice-CDE'!G13/1000000</f>
        <v>62.871654370000002</v>
      </c>
      <c r="H13" s="147">
        <f>'ContractPrice-CDE'!H13/1000000</f>
        <v>61.865007629999994</v>
      </c>
      <c r="I13" s="147">
        <f>'ContractPrice-CDE'!I13/1000000</f>
        <v>94.09958712000001</v>
      </c>
      <c r="J13" s="147">
        <f>'ContractPrice-CDE'!J13/1000000</f>
        <v>218.83624911999999</v>
      </c>
      <c r="K13" s="51">
        <f>'ContractPrice-CDE'!L13/1000000</f>
        <v>0</v>
      </c>
      <c r="L13" s="51">
        <f>'ContractPrice-CDE'!M13/1000000</f>
        <v>20.08790625</v>
      </c>
      <c r="M13" s="51">
        <f>'ContractPrice-CDE'!N13/1000000</f>
        <v>12.688137880000001</v>
      </c>
      <c r="N13" s="51">
        <f>'ContractPrice-CDE'!O13/1000000</f>
        <v>12.484986359999999</v>
      </c>
      <c r="O13" s="51">
        <f>'ContractPrice-CDE'!P13/1000000</f>
        <v>18.990251620000002</v>
      </c>
      <c r="P13" s="51">
        <f>'ContractPrice-CDE'!Q13/1000000</f>
        <v>44.163375860000002</v>
      </c>
      <c r="Q13" s="51">
        <f>'ContractPrice-CDE'!R13/1000000</f>
        <v>44.163375860000002</v>
      </c>
      <c r="R13" s="51">
        <f>'ContractPrice-CDE'!S13/1000000</f>
        <v>44.824317450000002</v>
      </c>
      <c r="S13" s="20">
        <f t="shared" si="3"/>
        <v>0.66094159000000019</v>
      </c>
      <c r="T13" s="38">
        <f t="shared" si="0"/>
        <v>0.18903958842557878</v>
      </c>
      <c r="U13" s="38">
        <f t="shared" si="1"/>
        <v>0.20483040460732974</v>
      </c>
      <c r="V13" s="20" t="s">
        <v>296</v>
      </c>
      <c r="W13" s="36">
        <v>0.1</v>
      </c>
      <c r="X13" s="20">
        <v>33800000</v>
      </c>
      <c r="Y13">
        <f t="shared" si="2"/>
        <v>-33799979.912093751</v>
      </c>
      <c r="Z13" s="38">
        <f t="shared" si="4"/>
        <v>-142546.15920258776</v>
      </c>
      <c r="AA13" s="27"/>
      <c r="AB13" s="25">
        <f>'ContractPrice-CDE'!AC13/1000000</f>
        <v>24.736411200000003</v>
      </c>
      <c r="AD13">
        <v>1</v>
      </c>
      <c r="AE13" s="40">
        <f t="shared" si="5"/>
        <v>24.736411200000003</v>
      </c>
      <c r="AF13" s="20" t="s">
        <v>297</v>
      </c>
      <c r="AG13" s="18"/>
      <c r="AH13" s="18"/>
      <c r="AI13" s="18"/>
    </row>
    <row r="14" spans="1:35" x14ac:dyDescent="0.25">
      <c r="A14" s="6" t="s">
        <v>51</v>
      </c>
      <c r="B14" s="6" t="s">
        <v>183</v>
      </c>
      <c r="C14" s="147">
        <f>'ContractPrice-CDE'!C14/1000000</f>
        <v>65.34820775</v>
      </c>
      <c r="D14" s="147">
        <f>'ContractPrice-CDE'!D14/1000000</f>
        <v>64.301908569999995</v>
      </c>
      <c r="E14" s="147">
        <f>'ContractPrice-CDE'!E14/1000000</f>
        <v>97.806228099999998</v>
      </c>
      <c r="F14" s="147">
        <f>'ContractPrice-CDE'!F14/1000000</f>
        <v>227.45634441999999</v>
      </c>
      <c r="G14" s="147">
        <f>'ContractPrice-CDE'!G14/1000000</f>
        <v>69.773752090000002</v>
      </c>
      <c r="H14" s="147">
        <f>'ContractPrice-CDE'!H14/1000000</f>
        <v>68.656594909999995</v>
      </c>
      <c r="I14" s="147">
        <f>'ContractPrice-CDE'!I14/1000000</f>
        <v>104.42991090999999</v>
      </c>
      <c r="J14" s="147">
        <f>'ContractPrice-CDE'!J14/1000000</f>
        <v>242.86025791</v>
      </c>
      <c r="K14" s="51">
        <f>'ContractPrice-CDE'!L14/1000000</f>
        <v>0</v>
      </c>
      <c r="L14" s="51">
        <f>'ContractPrice-CDE'!M14/1000000</f>
        <v>3.2927275700000003</v>
      </c>
      <c r="M14" s="51">
        <f>'ContractPrice-CDE'!N14/1000000</f>
        <v>9.4145211199999999</v>
      </c>
      <c r="N14" s="51">
        <f>'ContractPrice-CDE'!O14/1000000</f>
        <v>9.2637839199999998</v>
      </c>
      <c r="O14" s="51">
        <f>'ContractPrice-CDE'!P14/1000000</f>
        <v>14.090651169999999</v>
      </c>
      <c r="P14" s="51">
        <f>'ContractPrice-CDE'!Q14/1000000</f>
        <v>32.76895622</v>
      </c>
      <c r="Q14" s="51">
        <f>'ContractPrice-CDE'!R14/1000000</f>
        <v>32.768956209999999</v>
      </c>
      <c r="R14" s="51">
        <f>'ContractPrice-CDE'!S14/1000000</f>
        <v>32.76895622</v>
      </c>
      <c r="S14" s="20">
        <f t="shared" si="3"/>
        <v>1.000000082740371E-8</v>
      </c>
      <c r="T14" s="38">
        <f t="shared" si="0"/>
        <v>0.14406701340232503</v>
      </c>
      <c r="U14" s="38">
        <f t="shared" si="1"/>
        <v>0.13492926550437756</v>
      </c>
      <c r="V14" t="s">
        <v>292</v>
      </c>
      <c r="W14" s="44">
        <v>0.1</v>
      </c>
      <c r="X14" s="25">
        <v>0</v>
      </c>
      <c r="Y14" t="str">
        <f t="shared" si="2"/>
        <v/>
      </c>
      <c r="Z14" s="38" t="str">
        <f t="shared" si="4"/>
        <v/>
      </c>
      <c r="AA14" s="48"/>
      <c r="AB14" s="25">
        <f>'ContractPrice-CDE'!AC14/1000000</f>
        <v>29.476228649999999</v>
      </c>
      <c r="AD14">
        <v>1</v>
      </c>
      <c r="AE14" s="40">
        <f t="shared" si="5"/>
        <v>29.476228649999999</v>
      </c>
      <c r="AF14" s="20"/>
      <c r="AG14" s="20"/>
      <c r="AH14" s="20"/>
      <c r="AI14" s="20"/>
    </row>
    <row r="15" spans="1:35" x14ac:dyDescent="0.25">
      <c r="A15" s="16" t="s">
        <v>184</v>
      </c>
      <c r="B15" s="16" t="s">
        <v>185</v>
      </c>
      <c r="C15" s="147">
        <f>'ContractPrice-CDE'!C15/1000000</f>
        <v>53.130194639999999</v>
      </c>
      <c r="D15" s="147">
        <f>'ContractPrice-CDE'!D15/1000000</f>
        <v>52.279519749999999</v>
      </c>
      <c r="E15" s="147">
        <f>'ContractPrice-CDE'!E15/1000000</f>
        <v>79.519609099999997</v>
      </c>
      <c r="F15" s="147">
        <f>'ContractPrice-CDE'!F15/1000000</f>
        <v>184.92932349</v>
      </c>
      <c r="G15" s="147">
        <f>'ContractPrice-CDE'!G15/1000000</f>
        <v>55.639035360000001</v>
      </c>
      <c r="H15" s="147">
        <f>'ContractPrice-CDE'!H15/1000000</f>
        <v>54.748191079999998</v>
      </c>
      <c r="I15" s="147">
        <f>'ContractPrice-CDE'!I15/1000000</f>
        <v>83.274574329999993</v>
      </c>
      <c r="J15" s="147">
        <f>'ContractPrice-CDE'!J15/1000000</f>
        <v>193.66180076999999</v>
      </c>
      <c r="K15" s="51">
        <f>'ContractPrice-CDE'!L15/1000000</f>
        <v>0</v>
      </c>
      <c r="L15" s="51">
        <f>'ContractPrice-CDE'!M15/1000000</f>
        <v>59.795754870000003</v>
      </c>
      <c r="M15" s="51">
        <f>'ContractPrice-CDE'!N15/1000000</f>
        <v>22.49233984</v>
      </c>
      <c r="N15" s="51">
        <f>'ContractPrice-CDE'!O15/1000000</f>
        <v>22.13221188</v>
      </c>
      <c r="O15" s="51">
        <f>'ContractPrice-CDE'!P15/1000000</f>
        <v>33.6641355</v>
      </c>
      <c r="P15" s="51">
        <f>'ContractPrice-CDE'!Q15/1000000</f>
        <v>78.28868722</v>
      </c>
      <c r="Q15" s="51">
        <f>'ContractPrice-CDE'!R15/1000000</f>
        <v>78.28868722</v>
      </c>
      <c r="R15" s="51">
        <f>'ContractPrice-CDE'!S15/1000000</f>
        <v>80.681651620000011</v>
      </c>
      <c r="S15" s="20">
        <f t="shared" si="3"/>
        <v>2.392964400000011</v>
      </c>
      <c r="T15" s="38">
        <f t="shared" si="0"/>
        <v>0.43628371151405226</v>
      </c>
      <c r="U15" s="38">
        <f t="shared" si="1"/>
        <v>0.41661107817447474</v>
      </c>
      <c r="V15" s="20" t="s">
        <v>296</v>
      </c>
      <c r="W15" s="36">
        <v>0.1</v>
      </c>
      <c r="X15" s="20">
        <v>18492932.349000003</v>
      </c>
      <c r="Y15">
        <f t="shared" si="2"/>
        <v>-18492872.553245135</v>
      </c>
      <c r="Z15" s="38">
        <f t="shared" si="4"/>
        <v>-99999.676656174706</v>
      </c>
      <c r="AA15" s="27"/>
      <c r="AB15" s="25">
        <f>'ContractPrice-CDE'!AC15/1000000</f>
        <v>20.885896750000001</v>
      </c>
      <c r="AD15">
        <v>1</v>
      </c>
      <c r="AE15" s="40">
        <f t="shared" si="5"/>
        <v>20.885896750000001</v>
      </c>
      <c r="AF15" s="20"/>
      <c r="AG15" s="20"/>
      <c r="AH15" s="20"/>
      <c r="AI15" s="20"/>
    </row>
    <row r="16" spans="1:35" ht="30" x14ac:dyDescent="0.25">
      <c r="A16" s="16" t="s">
        <v>71</v>
      </c>
      <c r="B16" s="16" t="s">
        <v>194</v>
      </c>
      <c r="C16" s="147">
        <f>'ContractPrice-CDE'!C16/1000000</f>
        <v>45.199789680000002</v>
      </c>
      <c r="D16" s="147">
        <f>'ContractPrice-CDE'!D16/1000000</f>
        <v>44.476089600000002</v>
      </c>
      <c r="E16" s="147">
        <f>'ContractPrice-CDE'!E16/1000000</f>
        <v>67.650224719999997</v>
      </c>
      <c r="F16" s="147">
        <f>'ContractPrice-CDE'!F16/1000000</f>
        <v>157.32610399999999</v>
      </c>
      <c r="G16" s="147">
        <f>'ContractPrice-CDE'!G16/1000000</f>
        <v>42.819531590000004</v>
      </c>
      <c r="H16" s="147">
        <f>'ContractPrice-CDE'!H16/1000000</f>
        <v>42.133942149999996</v>
      </c>
      <c r="I16" s="147">
        <f>'ContractPrice-CDE'!I16/1000000</f>
        <v>64.087708259999999</v>
      </c>
      <c r="J16" s="147">
        <f>'ContractPrice-CDE'!J16/1000000</f>
        <v>149.04118199999999</v>
      </c>
      <c r="K16" s="51">
        <f>'ContractPrice-CDE'!L16/1000000</f>
        <v>0</v>
      </c>
      <c r="L16" s="51">
        <f>'ContractPrice-CDE'!M16/1000000</f>
        <v>26.5</v>
      </c>
      <c r="M16" s="51">
        <f>'ContractPrice-CDE'!N16/1000000</f>
        <v>21.19740788</v>
      </c>
      <c r="N16" s="51">
        <f>'ContractPrice-CDE'!O16/1000000</f>
        <v>20.85801326</v>
      </c>
      <c r="O16" s="51">
        <f>'ContractPrice-CDE'!P16/1000000</f>
        <v>31.72601946</v>
      </c>
      <c r="P16" s="51">
        <f>'ContractPrice-CDE'!Q16/1000000</f>
        <v>73.781440599999996</v>
      </c>
      <c r="Q16" s="51">
        <f>'ContractPrice-CDE'!R16/1000000</f>
        <v>73.781440599999996</v>
      </c>
      <c r="R16" s="51">
        <f>'ContractPrice-CDE'!S16/1000000</f>
        <v>73.781440599999996</v>
      </c>
      <c r="S16" s="20">
        <f t="shared" si="3"/>
        <v>0</v>
      </c>
      <c r="T16" s="38">
        <f t="shared" si="0"/>
        <v>0.46897138315965675</v>
      </c>
      <c r="U16" s="38">
        <f t="shared" si="1"/>
        <v>0.4950406297770773</v>
      </c>
      <c r="V16" s="20" t="s">
        <v>296</v>
      </c>
      <c r="W16" s="43" t="s">
        <v>295</v>
      </c>
      <c r="X16" s="20">
        <v>35206933.5</v>
      </c>
      <c r="Y16">
        <f t="shared" si="2"/>
        <v>-35206907</v>
      </c>
      <c r="Z16" s="38">
        <f t="shared" si="4"/>
        <v>-223782.99662209905</v>
      </c>
      <c r="AA16" s="27"/>
      <c r="AB16" s="25">
        <f>'ContractPrice-CDE'!AC16/1000000</f>
        <v>47.281440599999996</v>
      </c>
      <c r="AD16">
        <v>1</v>
      </c>
      <c r="AE16" s="40">
        <f t="shared" si="5"/>
        <v>47.281440599999996</v>
      </c>
    </row>
    <row r="17" spans="1:32" ht="30" x14ac:dyDescent="0.25">
      <c r="A17" s="16" t="s">
        <v>73</v>
      </c>
      <c r="B17" s="16" t="s">
        <v>186</v>
      </c>
      <c r="C17" s="147">
        <f>'ContractPrice-CDE'!C17/1000000</f>
        <v>48.888294009999996</v>
      </c>
      <c r="D17" s="147">
        <f>'ContractPrice-CDE'!D17/1000000</f>
        <v>48.105536780000001</v>
      </c>
      <c r="E17" s="147">
        <f>'ContractPrice-CDE'!E17/1000000</f>
        <v>73.17078463</v>
      </c>
      <c r="F17" s="147">
        <f>'ContractPrice-CDE'!F17/1000000</f>
        <v>170.16461541999999</v>
      </c>
      <c r="G17" s="147">
        <f>'ContractPrice-CDE'!G17/1000000</f>
        <v>46.876691489999999</v>
      </c>
      <c r="H17" s="147">
        <f>'ContractPrice-CDE'!H17/1000000</f>
        <v>46.126142300000005</v>
      </c>
      <c r="I17" s="147">
        <f>'ContractPrice-CDE'!I17/1000000</f>
        <v>70.1600325</v>
      </c>
      <c r="J17" s="147">
        <f>'ContractPrice-CDE'!J17/1000000</f>
        <v>163.16286629000001</v>
      </c>
      <c r="K17" s="51">
        <f>'ContractPrice-CDE'!L17/1000000</f>
        <v>0</v>
      </c>
      <c r="L17" s="51">
        <f>'ContractPrice-CDE'!M17/1000000</f>
        <v>12.4385408</v>
      </c>
      <c r="M17" s="51">
        <f>'ContractPrice-CDE'!N17/1000000</f>
        <v>26.173729920000003</v>
      </c>
      <c r="N17" s="51">
        <f>'ContractPrice-CDE'!O17/1000000</f>
        <v>25.754658710000001</v>
      </c>
      <c r="O17" s="51">
        <f>'ContractPrice-CDE'!P17/1000000</f>
        <v>39.174047569999999</v>
      </c>
      <c r="P17" s="51">
        <f>'ContractPrice-CDE'!Q17/1000000</f>
        <v>91.1024362</v>
      </c>
      <c r="Q17" s="51">
        <f>'ContractPrice-CDE'!R17/1000000</f>
        <v>91.1024362</v>
      </c>
      <c r="R17" s="51">
        <f>'ContractPrice-CDE'!S17/1000000</f>
        <v>91.1024362</v>
      </c>
      <c r="S17" s="20">
        <f t="shared" si="3"/>
        <v>0</v>
      </c>
      <c r="T17" s="38">
        <f t="shared" si="0"/>
        <v>0.5353782628376712</v>
      </c>
      <c r="U17" s="38">
        <f t="shared" si="1"/>
        <v>0.5583527567974792</v>
      </c>
      <c r="V17" s="20" t="s">
        <v>296</v>
      </c>
      <c r="W17" s="43" t="s">
        <v>295</v>
      </c>
      <c r="X17" s="20">
        <v>40461085.027999997</v>
      </c>
      <c r="Y17">
        <f t="shared" si="2"/>
        <v>-40461072.589459196</v>
      </c>
      <c r="Z17" s="38">
        <f t="shared" si="4"/>
        <v>-237776.06460422603</v>
      </c>
      <c r="AA17" s="27"/>
      <c r="AB17" s="25">
        <f>'ContractPrice-CDE'!AC17/1000000</f>
        <v>78.663895400000001</v>
      </c>
      <c r="AD17">
        <v>1</v>
      </c>
      <c r="AE17" s="40">
        <f t="shared" si="5"/>
        <v>78.663895400000001</v>
      </c>
      <c r="AF17" t="s">
        <v>294</v>
      </c>
    </row>
    <row r="18" spans="1:32" x14ac:dyDescent="0.25">
      <c r="A18" s="6" t="s">
        <v>94</v>
      </c>
      <c r="B18" s="6" t="s">
        <v>187</v>
      </c>
      <c r="C18" s="147">
        <f>'ContractPrice-CDE'!C18/1000000</f>
        <v>16.950700000000001</v>
      </c>
      <c r="D18" s="147">
        <f>'ContractPrice-CDE'!D18/1000000</f>
        <v>16.679300000000001</v>
      </c>
      <c r="E18" s="147">
        <f>'ContractPrice-CDE'!E18/1000000</f>
        <v>25.37</v>
      </c>
      <c r="F18" s="147">
        <f>'ContractPrice-CDE'!F18/1000000</f>
        <v>59</v>
      </c>
      <c r="G18" s="147">
        <f>'ContractPrice-CDE'!G18/1000000</f>
        <v>16.64708504</v>
      </c>
      <c r="H18" s="147">
        <f>'ContractPrice-CDE'!H18/1000000</f>
        <v>16.380546259999999</v>
      </c>
      <c r="I18" s="147">
        <f>'ContractPrice-CDE'!I18/1000000</f>
        <v>24.915581510000003</v>
      </c>
      <c r="J18" s="147">
        <f>'ContractPrice-CDE'!J18/1000000</f>
        <v>57.943212810000006</v>
      </c>
      <c r="K18" s="51">
        <f>'ContractPrice-CDE'!L18/1000000</f>
        <v>0</v>
      </c>
      <c r="L18" s="51">
        <f>'ContractPrice-CDE'!M18/1000000</f>
        <v>0</v>
      </c>
      <c r="M18" s="51">
        <f>'ContractPrice-CDE'!N18/1000000</f>
        <v>1.6109634799999999</v>
      </c>
      <c r="N18" s="51">
        <f>'ContractPrice-CDE'!O18/1000000</f>
        <v>1.6109634900000001</v>
      </c>
      <c r="O18" s="51">
        <f>'ContractPrice-CDE'!P18/1000000</f>
        <v>2.6780730299999997</v>
      </c>
      <c r="P18" s="51">
        <f>'ContractPrice-CDE'!Q18/1000000</f>
        <v>5.9</v>
      </c>
      <c r="Q18" s="51">
        <f>'ContractPrice-CDE'!R18/1000000</f>
        <v>5.9</v>
      </c>
      <c r="R18" s="51">
        <f>'ContractPrice-CDE'!S18/1000000</f>
        <v>5.9</v>
      </c>
      <c r="S18" s="20">
        <f t="shared" si="3"/>
        <v>0</v>
      </c>
      <c r="T18" s="38">
        <f t="shared" si="0"/>
        <v>0.1</v>
      </c>
      <c r="U18" s="38">
        <f t="shared" si="1"/>
        <v>0.10182383257460245</v>
      </c>
      <c r="V18" t="s">
        <v>292</v>
      </c>
      <c r="W18" s="36">
        <v>0</v>
      </c>
      <c r="X18" s="20">
        <v>0</v>
      </c>
      <c r="Y18" t="str">
        <f t="shared" si="2"/>
        <v/>
      </c>
      <c r="Z18" s="38" t="str">
        <f t="shared" si="4"/>
        <v/>
      </c>
      <c r="AA18" s="27"/>
      <c r="AB18" s="25">
        <f>'ContractPrice-CDE'!AC18/1000000</f>
        <v>5.9</v>
      </c>
      <c r="AD18">
        <v>1</v>
      </c>
      <c r="AE18" s="40">
        <f t="shared" si="5"/>
        <v>5.9</v>
      </c>
    </row>
    <row r="19" spans="1:32" x14ac:dyDescent="0.25">
      <c r="A19" s="16" t="s">
        <v>118</v>
      </c>
      <c r="B19" s="16" t="s">
        <v>188</v>
      </c>
      <c r="C19" s="147">
        <f>'ContractPrice-CDE'!C19/1000000</f>
        <v>89.063000000000002</v>
      </c>
      <c r="D19" s="147">
        <f>'ContractPrice-CDE'!D19/1000000</f>
        <v>87.637</v>
      </c>
      <c r="E19" s="147">
        <f>'ContractPrice-CDE'!E19/1000000</f>
        <v>133.30000000000001</v>
      </c>
      <c r="F19" s="147">
        <f>'ContractPrice-CDE'!F19/1000000</f>
        <v>310</v>
      </c>
      <c r="G19" s="147">
        <f>'ContractPrice-CDE'!G19/1000000</f>
        <v>89.284552410000003</v>
      </c>
      <c r="H19" s="147">
        <f>'ContractPrice-CDE'!H19/1000000</f>
        <v>87.855005100000014</v>
      </c>
      <c r="I19" s="147">
        <f>'ContractPrice-CDE'!I19/1000000</f>
        <v>133.63159603</v>
      </c>
      <c r="J19" s="147">
        <f>'ContractPrice-CDE'!J19/1000000</f>
        <v>310.77115353999994</v>
      </c>
      <c r="K19" s="51">
        <f>'ContractPrice-CDE'!L19/1000000</f>
        <v>0</v>
      </c>
      <c r="L19" s="51">
        <f>'ContractPrice-CDE'!M19/1000000</f>
        <v>4.6134237100000002</v>
      </c>
      <c r="M19" s="51">
        <f>'ContractPrice-CDE'!N19/1000000</f>
        <v>8.7501491700000003</v>
      </c>
      <c r="N19" s="51">
        <f>'ContractPrice-CDE'!O19/1000000</f>
        <v>8.7429924499999991</v>
      </c>
      <c r="O19" s="51">
        <f>'ContractPrice-CDE'!P19/1000000</f>
        <v>16.198337849999998</v>
      </c>
      <c r="P19" s="51">
        <f>'ContractPrice-CDE'!Q19/1000000</f>
        <v>35.613423709999999</v>
      </c>
      <c r="Q19" s="51">
        <f>'ContractPrice-CDE'!R19/1000000</f>
        <v>33.691479469999997</v>
      </c>
      <c r="R19" s="51">
        <f>'ContractPrice-CDE'!S19/1000000</f>
        <v>35.613423709999999</v>
      </c>
      <c r="S19" s="20">
        <f t="shared" si="3"/>
        <v>1.921944240000002</v>
      </c>
      <c r="T19" s="38">
        <f t="shared" si="0"/>
        <v>0.11488201196774193</v>
      </c>
      <c r="U19" s="38">
        <f t="shared" si="1"/>
        <v>0.11459694152538559</v>
      </c>
      <c r="V19" s="20" t="s">
        <v>296</v>
      </c>
      <c r="W19" s="36">
        <v>0.1</v>
      </c>
      <c r="X19" s="20">
        <v>31000000</v>
      </c>
      <c r="Y19">
        <f t="shared" si="2"/>
        <v>-30999995.386576291</v>
      </c>
      <c r="Z19" s="38">
        <f t="shared" si="4"/>
        <v>-99999.985117988035</v>
      </c>
      <c r="AA19" s="27"/>
      <c r="AB19" s="25">
        <f>'ContractPrice-CDE'!AC19/1000000</f>
        <v>31</v>
      </c>
      <c r="AD19">
        <v>1</v>
      </c>
      <c r="AE19" s="40">
        <f t="shared" si="5"/>
        <v>31</v>
      </c>
      <c r="AF19" t="s">
        <v>294</v>
      </c>
    </row>
    <row r="20" spans="1:32" x14ac:dyDescent="0.25">
      <c r="A20" s="16" t="s">
        <v>54</v>
      </c>
      <c r="B20" s="16" t="s">
        <v>189</v>
      </c>
      <c r="C20" s="147">
        <f>'ContractPrice-CDE'!C20/1000000</f>
        <v>5.3457826399999995</v>
      </c>
      <c r="D20" s="147">
        <f>'ContractPrice-CDE'!D20/1000000</f>
        <v>5.2601905700000007</v>
      </c>
      <c r="E20" s="147">
        <f>'ContractPrice-CDE'!E20/1000000</f>
        <v>8.0009973399999996</v>
      </c>
      <c r="F20" s="147">
        <f>'ContractPrice-CDE'!F20/1000000</f>
        <v>18.60697055</v>
      </c>
      <c r="G20" s="147">
        <f>'ContractPrice-CDE'!G20/1000000</f>
        <v>5.0463001700000003</v>
      </c>
      <c r="H20" s="147">
        <f>'ContractPrice-CDE'!H20/1000000</f>
        <v>4.9655031599999999</v>
      </c>
      <c r="I20" s="147">
        <f>'ContractPrice-CDE'!I20/1000000</f>
        <v>7.5527639200000003</v>
      </c>
      <c r="J20" s="147">
        <f>'ContractPrice-CDE'!J20/1000000</f>
        <v>17.56456725</v>
      </c>
      <c r="K20" s="51">
        <f>'ContractPrice-CDE'!L20/1000000</f>
        <v>0</v>
      </c>
      <c r="L20" s="51">
        <f>'ContractPrice-CDE'!M20/1000000</f>
        <v>0</v>
      </c>
      <c r="M20" s="51">
        <f>'ContractPrice-CDE'!N20/1000000</f>
        <v>2.9695917999999999</v>
      </c>
      <c r="N20" s="51">
        <f>'ContractPrice-CDE'!O20/1000000</f>
        <v>2.92204526</v>
      </c>
      <c r="O20" s="51">
        <f>'ContractPrice-CDE'!P20/1000000</f>
        <v>4.4445683000000002</v>
      </c>
      <c r="P20" s="51">
        <f>'ContractPrice-CDE'!Q20/1000000</f>
        <v>10.336205359999999</v>
      </c>
      <c r="Q20" s="51">
        <f>'ContractPrice-CDE'!R20/1000000</f>
        <v>10.336205359999999</v>
      </c>
      <c r="R20" s="51">
        <f>'ContractPrice-CDE'!S20/1000000</f>
        <v>10.482491359999999</v>
      </c>
      <c r="S20" s="20">
        <f t="shared" si="3"/>
        <v>0.14628599999999992</v>
      </c>
      <c r="T20" s="38">
        <f t="shared" si="0"/>
        <v>0.56336367770518125</v>
      </c>
      <c r="U20" s="38">
        <f t="shared" si="1"/>
        <v>0.59679758748397282</v>
      </c>
      <c r="V20" t="s">
        <v>292</v>
      </c>
      <c r="W20" s="44">
        <v>0.1</v>
      </c>
      <c r="X20" s="25">
        <v>0</v>
      </c>
      <c r="Y20" t="str">
        <f t="shared" si="2"/>
        <v/>
      </c>
      <c r="Z20" s="38" t="str">
        <f t="shared" si="4"/>
        <v/>
      </c>
      <c r="AA20" s="27"/>
      <c r="AB20" s="25">
        <f>'ContractPrice-CDE'!AC20/1000000</f>
        <v>10.482491359999999</v>
      </c>
      <c r="AD20">
        <v>1</v>
      </c>
      <c r="AE20" s="40">
        <f t="shared" si="5"/>
        <v>10.482491359999999</v>
      </c>
    </row>
    <row r="21" spans="1:32" x14ac:dyDescent="0.25">
      <c r="A21" s="6" t="s">
        <v>49</v>
      </c>
      <c r="B21" s="6" t="s">
        <v>190</v>
      </c>
      <c r="C21" s="147">
        <f>'ContractPrice-CDE'!C21/1000000</f>
        <v>2.95919</v>
      </c>
      <c r="D21" s="147">
        <f>'ContractPrice-CDE'!D21/1000000</f>
        <v>2.91181</v>
      </c>
      <c r="E21" s="147">
        <f>'ContractPrice-CDE'!E21/1000000</f>
        <v>4.4290000000000003</v>
      </c>
      <c r="F21" s="147">
        <f>'ContractPrice-CDE'!F21/1000000</f>
        <v>10.3</v>
      </c>
      <c r="G21" s="147">
        <f>'ContractPrice-CDE'!G21/1000000</f>
        <v>3.2464900000000001</v>
      </c>
      <c r="H21" s="147">
        <f>'ContractPrice-CDE'!H21/1000000</f>
        <v>3.1945100000000002</v>
      </c>
      <c r="I21" s="147">
        <f>'ContractPrice-CDE'!I21/1000000</f>
        <v>4.859</v>
      </c>
      <c r="J21" s="147">
        <f>'ContractPrice-CDE'!J21/1000000</f>
        <v>11.3</v>
      </c>
      <c r="K21" s="51">
        <f>'ContractPrice-CDE'!L21/1000000</f>
        <v>0</v>
      </c>
      <c r="L21" s="51">
        <f>'ContractPrice-CDE'!M21/1000000</f>
        <v>0</v>
      </c>
      <c r="M21" s="51">
        <f>'ContractPrice-CDE'!N21/1000000</f>
        <v>0.68165659000000001</v>
      </c>
      <c r="N21" s="51">
        <f>'ContractPrice-CDE'!O21/1000000</f>
        <v>0.67074248999999997</v>
      </c>
      <c r="O21" s="51">
        <f>'ContractPrice-CDE'!P21/1000000</f>
        <v>1.0202308900000001</v>
      </c>
      <c r="P21" s="51">
        <f>'ContractPrice-CDE'!Q21/1000000</f>
        <v>2.3726299700000002</v>
      </c>
      <c r="Q21" s="51">
        <f>'ContractPrice-CDE'!R21/1000000</f>
        <v>2.3726299700000002</v>
      </c>
      <c r="R21" s="51">
        <f>'ContractPrice-CDE'!S21/1000000</f>
        <v>2.3726299700000002</v>
      </c>
      <c r="S21" s="20">
        <f t="shared" si="3"/>
        <v>0</v>
      </c>
      <c r="T21" s="38">
        <f t="shared" si="0"/>
        <v>0.23035242427184466</v>
      </c>
      <c r="U21" s="38">
        <f t="shared" si="1"/>
        <v>0.2099672539823009</v>
      </c>
      <c r="V21" t="s">
        <v>292</v>
      </c>
      <c r="W21" s="44">
        <v>0.1</v>
      </c>
      <c r="X21" s="25">
        <v>0</v>
      </c>
      <c r="Y21" t="str">
        <f t="shared" si="2"/>
        <v/>
      </c>
      <c r="Z21" s="38" t="str">
        <f t="shared" si="4"/>
        <v/>
      </c>
      <c r="AA21" s="27"/>
      <c r="AB21" s="25">
        <f>'ContractPrice-CDE'!AC21/1000000</f>
        <v>2.3726299700000002</v>
      </c>
      <c r="AD21">
        <v>1</v>
      </c>
      <c r="AE21" s="40">
        <f t="shared" si="5"/>
        <v>2.3726299700000002</v>
      </c>
    </row>
    <row r="22" spans="1:32" x14ac:dyDescent="0.25">
      <c r="A22" s="6" t="s">
        <v>91</v>
      </c>
      <c r="B22" s="6" t="s">
        <v>191</v>
      </c>
      <c r="C22" s="147">
        <f>'ContractPrice-CDE'!C22/1000000</f>
        <v>1.7238</v>
      </c>
      <c r="D22" s="147">
        <f>'ContractPrice-CDE'!D22/1000000</f>
        <v>1.6961999999999999</v>
      </c>
      <c r="E22" s="147">
        <f>'ContractPrice-CDE'!E22/1000000</f>
        <v>2.58</v>
      </c>
      <c r="F22" s="147">
        <f>'ContractPrice-CDE'!F22/1000000</f>
        <v>6</v>
      </c>
      <c r="G22" s="147">
        <f>'ContractPrice-CDE'!G22/1000000</f>
        <v>1.7251287900000001</v>
      </c>
      <c r="H22" s="147">
        <f>'ContractPrice-CDE'!H22/1000000</f>
        <v>1.69750752</v>
      </c>
      <c r="I22" s="147">
        <f>'ContractPrice-CDE'!I22/1000000</f>
        <v>2.58198879</v>
      </c>
      <c r="J22" s="147">
        <f>'ContractPrice-CDE'!J22/1000000</f>
        <v>6.0046250999999993</v>
      </c>
      <c r="K22" s="51">
        <f>'ContractPrice-CDE'!L22/1000000</f>
        <v>0</v>
      </c>
      <c r="L22" s="51">
        <f>'ContractPrice-CDE'!M22/1000000</f>
        <v>0</v>
      </c>
      <c r="M22" s="51">
        <f>'ContractPrice-CDE'!N22/1000000</f>
        <v>0</v>
      </c>
      <c r="N22" s="51">
        <f>'ContractPrice-CDE'!O22/1000000</f>
        <v>0</v>
      </c>
      <c r="O22" s="51">
        <f>'ContractPrice-CDE'!P22/1000000</f>
        <v>0</v>
      </c>
      <c r="P22" s="51">
        <f>'ContractPrice-CDE'!Q22/1000000</f>
        <v>0</v>
      </c>
      <c r="Q22" s="51">
        <f>'ContractPrice-CDE'!R22/1000000</f>
        <v>0</v>
      </c>
      <c r="R22" s="51">
        <f>'ContractPrice-CDE'!S22/1000000</f>
        <v>0</v>
      </c>
      <c r="S22" s="20">
        <f t="shared" si="3"/>
        <v>0</v>
      </c>
      <c r="T22" s="38">
        <f t="shared" si="0"/>
        <v>0</v>
      </c>
      <c r="U22" s="38">
        <f t="shared" si="1"/>
        <v>0</v>
      </c>
      <c r="V22" t="s">
        <v>292</v>
      </c>
      <c r="W22" s="44">
        <v>0.1</v>
      </c>
      <c r="X22" s="25">
        <v>0</v>
      </c>
      <c r="Y22" t="str">
        <f t="shared" si="2"/>
        <v/>
      </c>
      <c r="Z22" s="38" t="str">
        <f t="shared" si="4"/>
        <v/>
      </c>
      <c r="AA22" s="27"/>
      <c r="AB22" s="25">
        <f>'ContractPrice-CDE'!AC22/1000000</f>
        <v>0</v>
      </c>
      <c r="AD22">
        <v>1</v>
      </c>
      <c r="AE22" s="40">
        <f t="shared" si="5"/>
        <v>0</v>
      </c>
    </row>
    <row r="23" spans="1:32" x14ac:dyDescent="0.25">
      <c r="A23" s="6" t="s">
        <v>112</v>
      </c>
      <c r="B23" s="6" t="s">
        <v>14</v>
      </c>
      <c r="C23" s="147">
        <f>'ContractPrice-CDE'!C23/1000000</f>
        <v>0</v>
      </c>
      <c r="D23" s="147">
        <f>'ContractPrice-CDE'!D23/1000000</f>
        <v>0</v>
      </c>
      <c r="E23" s="147">
        <f>'ContractPrice-CDE'!E23/1000000</f>
        <v>0</v>
      </c>
      <c r="F23" s="147">
        <f>'ContractPrice-CDE'!F23/1000000</f>
        <v>0</v>
      </c>
      <c r="G23" s="147">
        <f>'ContractPrice-CDE'!G23/1000000</f>
        <v>0</v>
      </c>
      <c r="H23" s="147">
        <f>'ContractPrice-CDE'!H23/1000000</f>
        <v>0</v>
      </c>
      <c r="I23" s="147">
        <f>'ContractPrice-CDE'!I23/1000000</f>
        <v>0</v>
      </c>
      <c r="J23" s="147">
        <f>'ContractPrice-CDE'!J23/1000000</f>
        <v>0</v>
      </c>
      <c r="K23" s="51">
        <f>'ContractPrice-CDE'!L23/1000000</f>
        <v>0</v>
      </c>
      <c r="L23" s="51">
        <f>'ContractPrice-CDE'!M23/1000000</f>
        <v>76.424022249999993</v>
      </c>
      <c r="M23" s="51">
        <f>'ContractPrice-CDE'!N23/1000000</f>
        <v>0</v>
      </c>
      <c r="N23" s="51">
        <f>'ContractPrice-CDE'!O23/1000000</f>
        <v>0</v>
      </c>
      <c r="O23" s="51">
        <f>'ContractPrice-CDE'!P23/1000000</f>
        <v>0</v>
      </c>
      <c r="P23" s="51">
        <f>'ContractPrice-CDE'!Q23/1000000</f>
        <v>0</v>
      </c>
      <c r="Q23" s="51">
        <f>'ContractPrice-CDE'!R23/1000000</f>
        <v>0</v>
      </c>
      <c r="R23" s="51">
        <f>'ContractPrice-CDE'!S23/1000000</f>
        <v>0</v>
      </c>
      <c r="S23" s="20">
        <f t="shared" si="3"/>
        <v>0</v>
      </c>
      <c r="T23" s="38">
        <f t="shared" si="0"/>
        <v>0</v>
      </c>
      <c r="U23" s="38">
        <f t="shared" si="1"/>
        <v>0</v>
      </c>
      <c r="V23" t="s">
        <v>292</v>
      </c>
      <c r="W23" s="44">
        <v>0.1</v>
      </c>
      <c r="X23" s="25">
        <v>0</v>
      </c>
      <c r="Y23" t="str">
        <f t="shared" si="2"/>
        <v/>
      </c>
      <c r="Z23" s="38" t="str">
        <f t="shared" si="4"/>
        <v/>
      </c>
      <c r="AA23" s="27"/>
      <c r="AB23" s="25">
        <f>'ContractPrice-CDE'!AC23/1000000</f>
        <v>-76.424022249999993</v>
      </c>
      <c r="AD23">
        <v>1</v>
      </c>
      <c r="AE23" s="40">
        <f t="shared" si="5"/>
        <v>-76.424022249999993</v>
      </c>
    </row>
    <row r="24" spans="1:32" x14ac:dyDescent="0.25">
      <c r="A24" s="6" t="s">
        <v>16</v>
      </c>
      <c r="B24" s="6" t="s">
        <v>195</v>
      </c>
      <c r="C24" s="147">
        <f>'ContractPrice-CDE'!C24/1000000</f>
        <v>1.7652388000000001</v>
      </c>
      <c r="D24" s="147">
        <f>'ContractPrice-CDE'!D24/1000000</f>
        <v>1.73697532</v>
      </c>
      <c r="E24" s="147">
        <f>'ContractPrice-CDE'!E24/1000000</f>
        <v>2.64202117</v>
      </c>
      <c r="F24" s="147">
        <f>'ContractPrice-CDE'!F24/1000000</f>
        <v>6.1442352900000001</v>
      </c>
      <c r="G24" s="147">
        <f>'ContractPrice-CDE'!G24/1000000</f>
        <v>1.0469888000000001</v>
      </c>
      <c r="H24" s="147">
        <f>'ContractPrice-CDE'!H24/1000000</f>
        <v>1.03022532</v>
      </c>
      <c r="I24" s="147">
        <f>'ContractPrice-CDE'!I24/1000000</f>
        <v>1.5670211699999999</v>
      </c>
      <c r="J24" s="147">
        <f>'ContractPrice-CDE'!J24/1000000</f>
        <v>3.6442352900000001</v>
      </c>
      <c r="K24" s="51">
        <f>'ContractPrice-CDE'!L24/1000000</f>
        <v>0</v>
      </c>
      <c r="L24" s="51">
        <f>'ContractPrice-CDE'!M24/1000000</f>
        <v>2.3274108099999995</v>
      </c>
      <c r="M24" s="51">
        <f>'ContractPrice-CDE'!N24/1000000</f>
        <v>1.0469888000000001</v>
      </c>
      <c r="N24" s="51">
        <f>'ContractPrice-CDE'!O24/1000000</f>
        <v>1.03022532</v>
      </c>
      <c r="O24" s="51">
        <f>'ContractPrice-CDE'!P24/1000000</f>
        <v>1.5670211699999999</v>
      </c>
      <c r="P24" s="51">
        <f>'ContractPrice-CDE'!Q24/1000000</f>
        <v>3.6442352900000001</v>
      </c>
      <c r="Q24" s="51">
        <f>'ContractPrice-CDE'!R24/1000000</f>
        <v>3.6442352900000001</v>
      </c>
      <c r="R24" s="51">
        <f>'ContractPrice-CDE'!S24/1000000</f>
        <v>3.6442352900000001</v>
      </c>
      <c r="S24" s="20">
        <f t="shared" si="3"/>
        <v>0</v>
      </c>
      <c r="T24" s="38">
        <f t="shared" si="0"/>
        <v>0.59311454037757072</v>
      </c>
      <c r="U24" s="38">
        <f t="shared" si="1"/>
        <v>1</v>
      </c>
      <c r="V24" t="s">
        <v>292</v>
      </c>
      <c r="W24" s="44">
        <v>0.1</v>
      </c>
      <c r="X24" s="25">
        <v>0</v>
      </c>
      <c r="Y24" t="str">
        <f t="shared" si="2"/>
        <v/>
      </c>
      <c r="Z24" s="38" t="str">
        <f t="shared" si="4"/>
        <v/>
      </c>
      <c r="AA24" s="27"/>
      <c r="AB24" s="25">
        <f>'ContractPrice-CDE'!AC24/1000000</f>
        <v>1.3168244800000004</v>
      </c>
      <c r="AD24">
        <v>1</v>
      </c>
      <c r="AE24" s="40">
        <f t="shared" si="5"/>
        <v>1.3168244800000004</v>
      </c>
    </row>
    <row r="25" spans="1:32" x14ac:dyDescent="0.25">
      <c r="A25" s="6" t="s">
        <v>19</v>
      </c>
      <c r="B25" s="6" t="s">
        <v>196</v>
      </c>
      <c r="C25" s="147">
        <f>'ContractPrice-CDE'!C25/1000000</f>
        <v>1.4365000000000001</v>
      </c>
      <c r="D25" s="147">
        <f>'ContractPrice-CDE'!D25/1000000</f>
        <v>1.4135</v>
      </c>
      <c r="E25" s="147">
        <f>'ContractPrice-CDE'!E25/1000000</f>
        <v>2.15</v>
      </c>
      <c r="F25" s="147">
        <f>'ContractPrice-CDE'!F25/1000000</f>
        <v>5</v>
      </c>
      <c r="G25" s="147">
        <f>'ContractPrice-CDE'!G25/1000000</f>
        <v>1.63761</v>
      </c>
      <c r="H25" s="147">
        <f>'ContractPrice-CDE'!H25/1000000</f>
        <v>1.6113900000000001</v>
      </c>
      <c r="I25" s="147">
        <f>'ContractPrice-CDE'!I25/1000000</f>
        <v>2.4510000000000001</v>
      </c>
      <c r="J25" s="147">
        <f>'ContractPrice-CDE'!J25/1000000</f>
        <v>5.7</v>
      </c>
      <c r="K25" s="51">
        <f>'ContractPrice-CDE'!L25/1000000</f>
        <v>0</v>
      </c>
      <c r="L25" s="51">
        <f>'ContractPrice-CDE'!M25/1000000</f>
        <v>5.7401721200000004</v>
      </c>
      <c r="M25" s="51">
        <f>'ContractPrice-CDE'!N25/1000000</f>
        <v>2.6748124500000001</v>
      </c>
      <c r="N25" s="51">
        <f>'ContractPrice-CDE'!O25/1000000</f>
        <v>2.6319856600000002</v>
      </c>
      <c r="O25" s="51">
        <f>'ContractPrice-CDE'!P25/1000000</f>
        <v>4.0033740099999999</v>
      </c>
      <c r="P25" s="51">
        <f>'ContractPrice-CDE'!Q25/1000000</f>
        <v>9.3101721199999989</v>
      </c>
      <c r="Q25" s="51">
        <f>'ContractPrice-CDE'!R25/1000000</f>
        <v>9.3101721200000007</v>
      </c>
      <c r="R25" s="51">
        <f>'ContractPrice-CDE'!S25/1000000</f>
        <v>9.3101721199999989</v>
      </c>
      <c r="S25" s="20">
        <f t="shared" si="3"/>
        <v>0</v>
      </c>
      <c r="T25" s="38">
        <f t="shared" si="0"/>
        <v>1.8620344239999997</v>
      </c>
      <c r="U25" s="38">
        <f t="shared" si="1"/>
        <v>1.6333635298245612</v>
      </c>
      <c r="V25" t="s">
        <v>292</v>
      </c>
      <c r="W25" s="44">
        <v>0.1</v>
      </c>
      <c r="X25" s="25">
        <v>0</v>
      </c>
      <c r="Y25" t="str">
        <f t="shared" si="2"/>
        <v/>
      </c>
      <c r="Z25" s="38" t="str">
        <f t="shared" si="4"/>
        <v/>
      </c>
      <c r="AA25" s="27"/>
      <c r="AB25" s="25">
        <f>'ContractPrice-CDE'!AC25/1000000</f>
        <v>3.569999999999999</v>
      </c>
      <c r="AD25">
        <v>1</v>
      </c>
      <c r="AE25" s="40">
        <f t="shared" si="5"/>
        <v>3.569999999999999</v>
      </c>
    </row>
    <row r="26" spans="1:32" x14ac:dyDescent="0.25">
      <c r="A26" s="6" t="s">
        <v>22</v>
      </c>
      <c r="B26" s="6" t="s">
        <v>197</v>
      </c>
      <c r="C26" s="147">
        <f>'ContractPrice-CDE'!C26/1000000</f>
        <v>6.8951999999999999E-2</v>
      </c>
      <c r="D26" s="147">
        <f>'ContractPrice-CDE'!D26/1000000</f>
        <v>6.7848000000000006E-2</v>
      </c>
      <c r="E26" s="147">
        <f>'ContractPrice-CDE'!E26/1000000</f>
        <v>0.1032</v>
      </c>
      <c r="F26" s="147">
        <f>'ContractPrice-CDE'!F26/1000000</f>
        <v>0.24</v>
      </c>
      <c r="G26" s="147">
        <f>'ContractPrice-CDE'!G26/1000000</f>
        <v>0.21260200000000001</v>
      </c>
      <c r="H26" s="147">
        <f>'ContractPrice-CDE'!H26/1000000</f>
        <v>0.209198</v>
      </c>
      <c r="I26" s="147">
        <f>'ContractPrice-CDE'!I26/1000000</f>
        <v>0.31819999999999998</v>
      </c>
      <c r="J26" s="147">
        <f>'ContractPrice-CDE'!J26/1000000</f>
        <v>0.74</v>
      </c>
      <c r="K26" s="51">
        <f>'ContractPrice-CDE'!L26/1000000</f>
        <v>0</v>
      </c>
      <c r="L26" s="51">
        <f>'ContractPrice-CDE'!M26/1000000</f>
        <v>0.24</v>
      </c>
      <c r="M26" s="51">
        <f>'ContractPrice-CDE'!N26/1000000</f>
        <v>6.8951999999999999E-2</v>
      </c>
      <c r="N26" s="51">
        <f>'ContractPrice-CDE'!O26/1000000</f>
        <v>6.7848000000000006E-2</v>
      </c>
      <c r="O26" s="51">
        <f>'ContractPrice-CDE'!P26/1000000</f>
        <v>0.1032</v>
      </c>
      <c r="P26" s="51">
        <f>'ContractPrice-CDE'!Q26/1000000</f>
        <v>0.24</v>
      </c>
      <c r="Q26" s="51">
        <f>'ContractPrice-CDE'!R26/1000000</f>
        <v>0.24</v>
      </c>
      <c r="R26" s="51">
        <f>'ContractPrice-CDE'!S26/1000000</f>
        <v>0.24</v>
      </c>
      <c r="S26" s="20">
        <f t="shared" si="3"/>
        <v>0</v>
      </c>
      <c r="T26" s="38">
        <f t="shared" si="0"/>
        <v>1</v>
      </c>
      <c r="U26" s="38">
        <f t="shared" si="1"/>
        <v>0.32432432432432434</v>
      </c>
      <c r="V26" t="s">
        <v>292</v>
      </c>
      <c r="W26" s="44">
        <v>0.1</v>
      </c>
      <c r="X26" s="25">
        <v>0</v>
      </c>
      <c r="Y26" t="str">
        <f t="shared" si="2"/>
        <v/>
      </c>
      <c r="Z26" s="38" t="str">
        <f t="shared" si="4"/>
        <v/>
      </c>
      <c r="AA26" s="27"/>
      <c r="AB26" s="25">
        <f>'ContractPrice-CDE'!AC26/1000000</f>
        <v>0</v>
      </c>
      <c r="AD26">
        <v>1</v>
      </c>
      <c r="AE26" s="40">
        <f t="shared" si="5"/>
        <v>0</v>
      </c>
    </row>
    <row r="27" spans="1:32" x14ac:dyDescent="0.25">
      <c r="A27" s="6" t="s">
        <v>24</v>
      </c>
      <c r="B27" s="6" t="s">
        <v>198</v>
      </c>
      <c r="C27" s="147">
        <f>'ContractPrice-CDE'!C27/1000000</f>
        <v>0.70798928000000005</v>
      </c>
      <c r="D27" s="147">
        <f>'ContractPrice-CDE'!D27/1000000</f>
        <v>0.69665356999999994</v>
      </c>
      <c r="E27" s="147">
        <f>'ContractPrice-CDE'!E27/1000000</f>
        <v>1.0596428600000001</v>
      </c>
      <c r="F27" s="147">
        <f>'ContractPrice-CDE'!F27/1000000</f>
        <v>2.46428571</v>
      </c>
      <c r="G27" s="147">
        <f>'ContractPrice-CDE'!G27/1000000</f>
        <v>2.2898542599999998</v>
      </c>
      <c r="H27" s="147">
        <f>'ContractPrice-CDE'!H27/1000000</f>
        <v>2.2531910900000001</v>
      </c>
      <c r="I27" s="147">
        <f>'ContractPrice-CDE'!I27/1000000</f>
        <v>3.4272096500000004</v>
      </c>
      <c r="J27" s="147">
        <f>'ContractPrice-CDE'!J27/1000000</f>
        <v>7.9702549999999999</v>
      </c>
      <c r="K27" s="51">
        <f>'ContractPrice-CDE'!L27/1000000</f>
        <v>0</v>
      </c>
      <c r="L27" s="51">
        <f>'ContractPrice-CDE'!M27/1000000</f>
        <v>7.6089285599999998</v>
      </c>
      <c r="M27" s="51">
        <f>'ContractPrice-CDE'!N27/1000000</f>
        <v>2.5400398100000001</v>
      </c>
      <c r="N27" s="51">
        <f>'ContractPrice-CDE'!O27/1000000</f>
        <v>2.4993708799999999</v>
      </c>
      <c r="O27" s="51">
        <f>'ContractPrice-CDE'!P27/1000000</f>
        <v>3.8016607000000002</v>
      </c>
      <c r="P27" s="51">
        <f>'ContractPrice-CDE'!Q27/1000000</f>
        <v>8.8410714000000006</v>
      </c>
      <c r="Q27" s="51">
        <f>'ContractPrice-CDE'!R27/1000000</f>
        <v>8.8410713899999998</v>
      </c>
      <c r="R27" s="51">
        <f>'ContractPrice-CDE'!S27/1000000</f>
        <v>8.8410714000000006</v>
      </c>
      <c r="S27" s="20">
        <f t="shared" si="3"/>
        <v>1.000000082740371E-8</v>
      </c>
      <c r="T27" s="38">
        <f t="shared" si="0"/>
        <v>3.5876811540655327</v>
      </c>
      <c r="U27" s="38">
        <f t="shared" si="1"/>
        <v>1.1092582859645019</v>
      </c>
      <c r="V27" t="s">
        <v>292</v>
      </c>
      <c r="W27" s="44">
        <v>0.1</v>
      </c>
      <c r="X27" s="25">
        <v>0</v>
      </c>
      <c r="Y27" t="str">
        <f t="shared" si="2"/>
        <v/>
      </c>
      <c r="Z27" s="38" t="str">
        <f t="shared" si="4"/>
        <v/>
      </c>
      <c r="AA27" s="27"/>
      <c r="AB27" s="25">
        <f>'ContractPrice-CDE'!AC27/1000000</f>
        <v>1.2321428400000007</v>
      </c>
      <c r="AD27">
        <v>1</v>
      </c>
      <c r="AE27" s="40">
        <f t="shared" si="5"/>
        <v>1.2321428400000007</v>
      </c>
    </row>
    <row r="28" spans="1:32" x14ac:dyDescent="0.25">
      <c r="A28" s="6" t="s">
        <v>26</v>
      </c>
      <c r="B28" s="6" t="s">
        <v>199</v>
      </c>
      <c r="C28" s="147">
        <f>'ContractPrice-CDE'!C28/1000000</f>
        <v>1.0055499999999999</v>
      </c>
      <c r="D28" s="147">
        <f>'ContractPrice-CDE'!D28/1000000</f>
        <v>0.98945000000000005</v>
      </c>
      <c r="E28" s="147">
        <f>'ContractPrice-CDE'!E28/1000000</f>
        <v>1.5049999999999999</v>
      </c>
      <c r="F28" s="147">
        <f>'ContractPrice-CDE'!F28/1000000</f>
        <v>3.5</v>
      </c>
      <c r="G28" s="147">
        <f>'ContractPrice-CDE'!G28/1000000</f>
        <v>1.0055499999999999</v>
      </c>
      <c r="H28" s="147">
        <f>'ContractPrice-CDE'!H28/1000000</f>
        <v>0.98945000000000005</v>
      </c>
      <c r="I28" s="147">
        <f>'ContractPrice-CDE'!I28/1000000</f>
        <v>1.5049999999999999</v>
      </c>
      <c r="J28" s="147">
        <f>'ContractPrice-CDE'!J28/1000000</f>
        <v>3.5</v>
      </c>
      <c r="K28" s="51">
        <f>'ContractPrice-CDE'!L28/1000000</f>
        <v>0</v>
      </c>
      <c r="L28" s="51">
        <f>'ContractPrice-CDE'!M28/1000000</f>
        <v>1.95955882</v>
      </c>
      <c r="M28" s="51">
        <f>'ContractPrice-CDE'!N28/1000000</f>
        <v>1.0055499999999999</v>
      </c>
      <c r="N28" s="51">
        <f>'ContractPrice-CDE'!O28/1000000</f>
        <v>0.98945000000000005</v>
      </c>
      <c r="O28" s="51">
        <f>'ContractPrice-CDE'!P28/1000000</f>
        <v>1.5049999999999999</v>
      </c>
      <c r="P28" s="51">
        <f>'ContractPrice-CDE'!Q28/1000000</f>
        <v>3.5</v>
      </c>
      <c r="Q28" s="51">
        <f>'ContractPrice-CDE'!R28/1000000</f>
        <v>3.5</v>
      </c>
      <c r="R28" s="51">
        <f>'ContractPrice-CDE'!S28/1000000</f>
        <v>3.5</v>
      </c>
      <c r="S28" s="20">
        <f t="shared" si="3"/>
        <v>0</v>
      </c>
      <c r="T28" s="38">
        <f t="shared" si="0"/>
        <v>1</v>
      </c>
      <c r="U28" s="38">
        <f t="shared" si="1"/>
        <v>1</v>
      </c>
      <c r="V28" t="s">
        <v>292</v>
      </c>
      <c r="W28" s="44">
        <v>0.1</v>
      </c>
      <c r="X28" s="25">
        <v>0</v>
      </c>
      <c r="Y28" t="str">
        <f t="shared" si="2"/>
        <v/>
      </c>
      <c r="Z28" s="38" t="str">
        <f t="shared" si="4"/>
        <v/>
      </c>
      <c r="AA28" s="27"/>
      <c r="AB28" s="25">
        <f>'ContractPrice-CDE'!AC28/1000000</f>
        <v>1.54044118</v>
      </c>
      <c r="AD28">
        <v>1</v>
      </c>
      <c r="AE28" s="40">
        <f t="shared" si="5"/>
        <v>1.54044118</v>
      </c>
    </row>
    <row r="29" spans="1:32" x14ac:dyDescent="0.25">
      <c r="A29" s="6" t="s">
        <v>28</v>
      </c>
      <c r="B29" s="6" t="s">
        <v>200</v>
      </c>
      <c r="C29" s="147">
        <f>'ContractPrice-CDE'!C29/1000000</f>
        <v>0.57747300000000001</v>
      </c>
      <c r="D29" s="147">
        <f>'ContractPrice-CDE'!D29/1000000</f>
        <v>0.56822700000000004</v>
      </c>
      <c r="E29" s="147">
        <f>'ContractPrice-CDE'!E29/1000000</f>
        <v>0.86429999999999996</v>
      </c>
      <c r="F29" s="147">
        <f>'ContractPrice-CDE'!F29/1000000</f>
        <v>2.0099999999999998</v>
      </c>
      <c r="G29" s="147">
        <f>'ContractPrice-CDE'!G29/1000000</f>
        <v>0.60476649999999998</v>
      </c>
      <c r="H29" s="147">
        <f>'ContractPrice-CDE'!H29/1000000</f>
        <v>0.59508349999999999</v>
      </c>
      <c r="I29" s="147">
        <f>'ContractPrice-CDE'!I29/1000000</f>
        <v>0.90515000000000001</v>
      </c>
      <c r="J29" s="147">
        <f>'ContractPrice-CDE'!J29/1000000</f>
        <v>2.105</v>
      </c>
      <c r="K29" s="51">
        <f>'ContractPrice-CDE'!L29/1000000</f>
        <v>0</v>
      </c>
      <c r="L29" s="51">
        <f>'ContractPrice-CDE'!M29/1000000</f>
        <v>0.755</v>
      </c>
      <c r="M29" s="51">
        <f>'ContractPrice-CDE'!N29/1000000</f>
        <v>0.42807699999999999</v>
      </c>
      <c r="N29" s="51">
        <f>'ContractPrice-CDE'!O29/1000000</f>
        <v>0.42122300000000001</v>
      </c>
      <c r="O29" s="51">
        <f>'ContractPrice-CDE'!P29/1000000</f>
        <v>0.64070000000000005</v>
      </c>
      <c r="P29" s="51">
        <f>'ContractPrice-CDE'!Q29/1000000</f>
        <v>1.49</v>
      </c>
      <c r="Q29" s="51">
        <f>'ContractPrice-CDE'!R29/1000000</f>
        <v>1.49</v>
      </c>
      <c r="R29" s="51">
        <f>'ContractPrice-CDE'!S29/1000000</f>
        <v>1.49</v>
      </c>
      <c r="S29" s="20">
        <f t="shared" si="3"/>
        <v>0</v>
      </c>
      <c r="T29" s="38">
        <f t="shared" si="0"/>
        <v>0.74129353233830853</v>
      </c>
      <c r="U29" s="38">
        <f t="shared" si="1"/>
        <v>0.70783847980997627</v>
      </c>
      <c r="V29" t="s">
        <v>292</v>
      </c>
      <c r="W29" s="44">
        <v>0.1</v>
      </c>
      <c r="X29" s="25">
        <v>0</v>
      </c>
      <c r="Y29" t="str">
        <f t="shared" si="2"/>
        <v/>
      </c>
      <c r="Z29" s="38" t="str">
        <f t="shared" si="4"/>
        <v/>
      </c>
      <c r="AA29" s="27"/>
      <c r="AB29" s="25">
        <f>'ContractPrice-CDE'!AC29/1000000</f>
        <v>0.73499999999999999</v>
      </c>
      <c r="AD29">
        <v>1</v>
      </c>
      <c r="AE29" s="40">
        <f t="shared" si="5"/>
        <v>0.73499999999999999</v>
      </c>
    </row>
    <row r="30" spans="1:32" x14ac:dyDescent="0.25">
      <c r="A30" s="6" t="s">
        <v>31</v>
      </c>
      <c r="B30" s="6" t="s">
        <v>201</v>
      </c>
      <c r="C30" s="147">
        <f>'ContractPrice-CDE'!C30/1000000</f>
        <v>8.6190000000000003E-2</v>
      </c>
      <c r="D30" s="147">
        <f>'ContractPrice-CDE'!D30/1000000</f>
        <v>8.4809999999999997E-2</v>
      </c>
      <c r="E30" s="147">
        <f>'ContractPrice-CDE'!E30/1000000</f>
        <v>0.129</v>
      </c>
      <c r="F30" s="147">
        <f>'ContractPrice-CDE'!F30/1000000</f>
        <v>0.3</v>
      </c>
      <c r="G30" s="147">
        <f>'ContractPrice-CDE'!G30/1000000</f>
        <v>8.6190000000000003E-2</v>
      </c>
      <c r="H30" s="147">
        <f>'ContractPrice-CDE'!H30/1000000</f>
        <v>8.4809999999999997E-2</v>
      </c>
      <c r="I30" s="147">
        <f>'ContractPrice-CDE'!I30/1000000</f>
        <v>0.129</v>
      </c>
      <c r="J30" s="147">
        <f>'ContractPrice-CDE'!J30/1000000</f>
        <v>0.3</v>
      </c>
      <c r="K30" s="51">
        <f>'ContractPrice-CDE'!L30/1000000</f>
        <v>0</v>
      </c>
      <c r="L30" s="51">
        <f>'ContractPrice-CDE'!M30/1000000</f>
        <v>0</v>
      </c>
      <c r="M30" s="51">
        <f>'ContractPrice-CDE'!N30/1000000</f>
        <v>0</v>
      </c>
      <c r="N30" s="51">
        <f>'ContractPrice-CDE'!O30/1000000</f>
        <v>0</v>
      </c>
      <c r="O30" s="51">
        <f>'ContractPrice-CDE'!P30/1000000</f>
        <v>0</v>
      </c>
      <c r="P30" s="51">
        <f>'ContractPrice-CDE'!Q30/1000000</f>
        <v>0</v>
      </c>
      <c r="Q30" s="51">
        <f>'ContractPrice-CDE'!R30/1000000</f>
        <v>0</v>
      </c>
      <c r="R30" s="51">
        <f>'ContractPrice-CDE'!S30/1000000</f>
        <v>0</v>
      </c>
      <c r="S30" s="20">
        <f t="shared" si="3"/>
        <v>0</v>
      </c>
      <c r="T30" s="38">
        <f t="shared" si="0"/>
        <v>0</v>
      </c>
      <c r="U30" s="38">
        <f t="shared" si="1"/>
        <v>0</v>
      </c>
      <c r="V30" t="s">
        <v>292</v>
      </c>
      <c r="W30" s="44">
        <v>0.1</v>
      </c>
      <c r="X30" s="25">
        <v>0</v>
      </c>
      <c r="Y30" t="str">
        <f t="shared" si="2"/>
        <v/>
      </c>
      <c r="Z30" s="38" t="str">
        <f t="shared" si="4"/>
        <v/>
      </c>
      <c r="AA30" s="27"/>
      <c r="AB30" s="25">
        <f>'ContractPrice-CDE'!AC30/1000000</f>
        <v>0</v>
      </c>
      <c r="AD30">
        <v>1</v>
      </c>
      <c r="AE30" s="40">
        <f t="shared" si="5"/>
        <v>0</v>
      </c>
    </row>
    <row r="31" spans="1:32" x14ac:dyDescent="0.25">
      <c r="A31" s="6" t="s">
        <v>34</v>
      </c>
      <c r="B31" s="6" t="s">
        <v>202</v>
      </c>
      <c r="C31" s="147">
        <f>'ContractPrice-CDE'!C31/1000000</f>
        <v>6.7738444800000002</v>
      </c>
      <c r="D31" s="147">
        <f>'ContractPrice-CDE'!D31/1000000</f>
        <v>6.6653875199999995</v>
      </c>
      <c r="E31" s="147">
        <f>'ContractPrice-CDE'!E31/1000000</f>
        <v>10.138368</v>
      </c>
      <c r="F31" s="147">
        <f>'ContractPrice-CDE'!F31/1000000</f>
        <v>23.5776</v>
      </c>
      <c r="G31" s="147">
        <f>'ContractPrice-CDE'!G31/1000000</f>
        <v>4.3094999999999999</v>
      </c>
      <c r="H31" s="147">
        <f>'ContractPrice-CDE'!H31/1000000</f>
        <v>4.2404999999999999</v>
      </c>
      <c r="I31" s="147">
        <f>'ContractPrice-CDE'!I31/1000000</f>
        <v>6.45</v>
      </c>
      <c r="J31" s="147">
        <f>'ContractPrice-CDE'!J31/1000000</f>
        <v>15</v>
      </c>
      <c r="K31" s="51">
        <f>'ContractPrice-CDE'!L31/1000000</f>
        <v>0</v>
      </c>
      <c r="L31" s="51">
        <f>'ContractPrice-CDE'!M31/1000000</f>
        <v>17.254999999999999</v>
      </c>
      <c r="M31" s="51">
        <f>'ContractPrice-CDE'!N31/1000000</f>
        <v>5.6080959999999997</v>
      </c>
      <c r="N31" s="51">
        <f>'ContractPrice-CDE'!O31/1000000</f>
        <v>5.5183039999999997</v>
      </c>
      <c r="O31" s="51">
        <f>'ContractPrice-CDE'!P31/1000000</f>
        <v>8.3935999999999993</v>
      </c>
      <c r="P31" s="51">
        <f>'ContractPrice-CDE'!Q31/1000000</f>
        <v>19.52</v>
      </c>
      <c r="Q31" s="51">
        <f>'ContractPrice-CDE'!R31/1000000</f>
        <v>19.52</v>
      </c>
      <c r="R31" s="51">
        <f>'ContractPrice-CDE'!S31/1000000</f>
        <v>19.52</v>
      </c>
      <c r="S31" s="20">
        <f t="shared" si="3"/>
        <v>0</v>
      </c>
      <c r="T31" s="38">
        <f t="shared" si="0"/>
        <v>0.82790445168295324</v>
      </c>
      <c r="U31" s="38">
        <f t="shared" si="1"/>
        <v>1.3013333333333332</v>
      </c>
      <c r="V31" t="s">
        <v>292</v>
      </c>
      <c r="W31" s="44">
        <v>0.1</v>
      </c>
      <c r="X31" s="25">
        <v>0</v>
      </c>
      <c r="Y31" t="str">
        <f t="shared" si="2"/>
        <v/>
      </c>
      <c r="Z31" s="38" t="str">
        <f t="shared" si="4"/>
        <v/>
      </c>
      <c r="AA31" s="27"/>
      <c r="AB31" s="25">
        <f>'ContractPrice-CDE'!AC31/1000000</f>
        <v>2.2650000000000001</v>
      </c>
      <c r="AD31">
        <v>1</v>
      </c>
      <c r="AE31" s="40">
        <f t="shared" si="5"/>
        <v>2.2650000000000001</v>
      </c>
    </row>
    <row r="32" spans="1:32" x14ac:dyDescent="0.25">
      <c r="A32" s="6" t="s">
        <v>41</v>
      </c>
      <c r="B32" s="6" t="s">
        <v>203</v>
      </c>
      <c r="C32" s="147">
        <f>'ContractPrice-CDE'!C32/1000000</f>
        <v>1.9802857</v>
      </c>
      <c r="D32" s="147">
        <f>'ContractPrice-CDE'!D32/1000000</f>
        <v>1.9485790700000001</v>
      </c>
      <c r="E32" s="147">
        <f>'ContractPrice-CDE'!E32/1000000</f>
        <v>2.9638804400000001</v>
      </c>
      <c r="F32" s="147">
        <f>'ContractPrice-CDE'!F32/1000000</f>
        <v>6.8927452100000002</v>
      </c>
      <c r="G32" s="147">
        <f>'ContractPrice-CDE'!G32/1000000</f>
        <v>2.98641157</v>
      </c>
      <c r="H32" s="147">
        <f>'ContractPrice-CDE'!H32/1000000</f>
        <v>2.9385957200000004</v>
      </c>
      <c r="I32" s="147">
        <f>'ContractPrice-CDE'!I32/1000000</f>
        <v>4.4697423399999998</v>
      </c>
      <c r="J32" s="147">
        <f>'ContractPrice-CDE'!J32/1000000</f>
        <v>10.39474963</v>
      </c>
      <c r="K32" s="51">
        <f>'ContractPrice-CDE'!L32/1000000</f>
        <v>3.5020044199999991</v>
      </c>
      <c r="L32" s="51">
        <f>'ContractPrice-CDE'!M32/1000000</f>
        <v>10.39474963</v>
      </c>
      <c r="M32" s="51">
        <f>'ContractPrice-CDE'!N32/1000000</f>
        <v>2.98641157</v>
      </c>
      <c r="N32" s="51">
        <f>'ContractPrice-CDE'!O32/1000000</f>
        <v>2.9385957200000004</v>
      </c>
      <c r="O32" s="51">
        <f>'ContractPrice-CDE'!P32/1000000</f>
        <v>4.4697423399999998</v>
      </c>
      <c r="P32" s="51">
        <f>'ContractPrice-CDE'!Q32/1000000</f>
        <v>10.394749630000002</v>
      </c>
      <c r="Q32" s="51">
        <f>'ContractPrice-CDE'!R32/1000000</f>
        <v>10.39474963</v>
      </c>
      <c r="R32" s="51">
        <f>'ContractPrice-CDE'!S32/1000000</f>
        <v>10.394749630000002</v>
      </c>
      <c r="S32" s="20">
        <f t="shared" si="3"/>
        <v>0</v>
      </c>
      <c r="T32" s="38">
        <f t="shared" si="0"/>
        <v>1.5080710679569718</v>
      </c>
      <c r="U32" s="38">
        <f t="shared" si="1"/>
        <v>1.0000000000000002</v>
      </c>
      <c r="V32" t="s">
        <v>362</v>
      </c>
      <c r="W32" s="44">
        <v>0.1</v>
      </c>
      <c r="X32" s="25">
        <v>0</v>
      </c>
      <c r="Y32" t="str">
        <f t="shared" si="2"/>
        <v/>
      </c>
      <c r="Z32" s="38" t="str">
        <f t="shared" si="4"/>
        <v/>
      </c>
      <c r="AA32" s="27"/>
      <c r="AB32" s="25">
        <f>'ContractPrice-CDE'!AC32/1000000</f>
        <v>0</v>
      </c>
      <c r="AD32">
        <v>1</v>
      </c>
      <c r="AE32" s="40">
        <f t="shared" si="5"/>
        <v>0</v>
      </c>
    </row>
    <row r="33" spans="1:31" x14ac:dyDescent="0.25">
      <c r="A33" s="6" t="s">
        <v>44</v>
      </c>
      <c r="B33" s="6" t="s">
        <v>204</v>
      </c>
      <c r="C33" s="147">
        <f>'ContractPrice-CDE'!C33/1000000</f>
        <v>26.477942930000001</v>
      </c>
      <c r="D33" s="147">
        <f>'ContractPrice-CDE'!D33/1000000</f>
        <v>26.054000920000004</v>
      </c>
      <c r="E33" s="147">
        <f>'ContractPrice-CDE'!E33/1000000</f>
        <v>39.629361150000001</v>
      </c>
      <c r="F33" s="147">
        <f>'ContractPrice-CDE'!F33/1000000</f>
        <v>92.161304999999999</v>
      </c>
      <c r="G33" s="147">
        <f>'ContractPrice-CDE'!G33/1000000</f>
        <v>23.134451550000001</v>
      </c>
      <c r="H33" s="147">
        <f>'ContractPrice-CDE'!H33/1000000</f>
        <v>22.76404264</v>
      </c>
      <c r="I33" s="147">
        <f>'ContractPrice-CDE'!I33/1000000</f>
        <v>34.62517983</v>
      </c>
      <c r="J33" s="147">
        <f>'ContractPrice-CDE'!J33/1000000</f>
        <v>80.523674020000001</v>
      </c>
      <c r="K33" s="51">
        <f>'ContractPrice-CDE'!L33/1000000</f>
        <v>0</v>
      </c>
      <c r="L33" s="51">
        <f>'ContractPrice-CDE'!M33/1000000</f>
        <v>33.041300839999998</v>
      </c>
      <c r="M33" s="51">
        <f>'ContractPrice-CDE'!N33/1000000</f>
        <v>9.4927657300000003</v>
      </c>
      <c r="N33" s="51">
        <f>'ContractPrice-CDE'!O33/1000000</f>
        <v>9.3407757500000006</v>
      </c>
      <c r="O33" s="51">
        <f>'ContractPrice-CDE'!P33/1000000</f>
        <v>14.207759359999999</v>
      </c>
      <c r="P33" s="51">
        <f>'ContractPrice-CDE'!Q33/1000000</f>
        <v>33.041300839999998</v>
      </c>
      <c r="Q33" s="51">
        <f>'ContractPrice-CDE'!R33/1000000</f>
        <v>33.041300839999998</v>
      </c>
      <c r="R33" s="51">
        <f>'ContractPrice-CDE'!S33/1000000</f>
        <v>33.041300839999998</v>
      </c>
      <c r="S33" s="20">
        <f t="shared" si="3"/>
        <v>0</v>
      </c>
      <c r="T33" s="38">
        <f t="shared" si="0"/>
        <v>0.35851598281947067</v>
      </c>
      <c r="U33" s="38">
        <f t="shared" si="1"/>
        <v>0.41033026922980925</v>
      </c>
      <c r="V33" t="s">
        <v>292</v>
      </c>
      <c r="W33" s="44">
        <v>0.1</v>
      </c>
      <c r="X33" s="25">
        <v>0</v>
      </c>
      <c r="Y33" t="str">
        <f t="shared" si="2"/>
        <v/>
      </c>
      <c r="Z33" s="38" t="str">
        <f t="shared" si="4"/>
        <v/>
      </c>
      <c r="AA33" s="27"/>
      <c r="AB33" s="25">
        <f>'ContractPrice-CDE'!AC33/1000000</f>
        <v>0</v>
      </c>
      <c r="AD33">
        <v>1</v>
      </c>
      <c r="AE33" s="40">
        <f t="shared" si="5"/>
        <v>0</v>
      </c>
    </row>
    <row r="34" spans="1:31" x14ac:dyDescent="0.25">
      <c r="A34" s="6" t="s">
        <v>47</v>
      </c>
      <c r="B34" s="6" t="s">
        <v>205</v>
      </c>
      <c r="C34" s="147">
        <f>'ContractPrice-CDE'!C34/1000000</f>
        <v>74.582968249999993</v>
      </c>
      <c r="D34" s="147">
        <f>'ContractPrice-CDE'!D34/1000000</f>
        <v>73.38881004000001</v>
      </c>
      <c r="E34" s="147">
        <f>'ContractPrice-CDE'!E34/1000000</f>
        <v>111.62783275</v>
      </c>
      <c r="F34" s="147">
        <f>'ContractPrice-CDE'!F34/1000000</f>
        <v>259.59961104000001</v>
      </c>
      <c r="G34" s="147">
        <f>'ContractPrice-CDE'!G34/1000000</f>
        <v>48.193963519999997</v>
      </c>
      <c r="H34" s="147">
        <f>'ContractPrice-CDE'!H34/1000000</f>
        <v>47.422323310000003</v>
      </c>
      <c r="I34" s="147">
        <f>'ContractPrice-CDE'!I34/1000000</f>
        <v>72.131584810000007</v>
      </c>
      <c r="J34" s="147">
        <f>'ContractPrice-CDE'!J34/1000000</f>
        <v>167.74787164</v>
      </c>
      <c r="K34" s="51">
        <f>'ContractPrice-CDE'!L34/1000000</f>
        <v>0</v>
      </c>
      <c r="L34" s="51">
        <f>'ContractPrice-CDE'!M34/1000000</f>
        <v>105.75202831979799</v>
      </c>
      <c r="M34" s="51">
        <f>'ContractPrice-CDE'!N34/1000000</f>
        <v>30.382557739999999</v>
      </c>
      <c r="N34" s="51">
        <f>'ContractPrice-CDE'!O34/1000000</f>
        <v>29.89609841</v>
      </c>
      <c r="O34" s="51">
        <f>'ContractPrice-CDE'!P34/1000000</f>
        <v>45.473372179999998</v>
      </c>
      <c r="P34" s="51">
        <f>'ContractPrice-CDE'!Q34/1000000</f>
        <v>105.75202831999999</v>
      </c>
      <c r="Q34" s="51">
        <f>'ContractPrice-CDE'!R34/1000000</f>
        <v>105.75202833</v>
      </c>
      <c r="R34" s="51">
        <f>'ContractPrice-CDE'!S34/1000000</f>
        <v>105.75202831999999</v>
      </c>
      <c r="S34" s="20">
        <f t="shared" si="3"/>
        <v>-1.0000007932831068E-8</v>
      </c>
      <c r="T34" s="38">
        <f t="shared" si="0"/>
        <v>0.40736589664498901</v>
      </c>
      <c r="U34" s="38">
        <f t="shared" si="1"/>
        <v>0.63042247443205768</v>
      </c>
      <c r="V34" t="s">
        <v>292</v>
      </c>
      <c r="W34" s="44">
        <v>0.1</v>
      </c>
      <c r="X34" s="25">
        <v>0</v>
      </c>
      <c r="Y34" t="str">
        <f t="shared" si="2"/>
        <v/>
      </c>
      <c r="Z34" s="38" t="str">
        <f t="shared" si="4"/>
        <v/>
      </c>
      <c r="AA34" s="27"/>
      <c r="AB34" s="25">
        <f>'ContractPrice-CDE'!AC34/1000000</f>
        <v>2.0200014114379883E-10</v>
      </c>
      <c r="AD34">
        <v>1</v>
      </c>
      <c r="AE34" s="40">
        <f t="shared" si="5"/>
        <v>2.0200014114379883E-10</v>
      </c>
    </row>
    <row r="35" spans="1:31" x14ac:dyDescent="0.25">
      <c r="A35" s="6" t="s">
        <v>57</v>
      </c>
      <c r="B35" s="6" t="s">
        <v>206</v>
      </c>
      <c r="C35" s="147">
        <f>'ContractPrice-CDE'!C35/1000000</f>
        <v>3.8210899999999999</v>
      </c>
      <c r="D35" s="147">
        <f>'ContractPrice-CDE'!D35/1000000</f>
        <v>3.7599100000000001</v>
      </c>
      <c r="E35" s="147">
        <f>'ContractPrice-CDE'!E35/1000000</f>
        <v>5.7190000000000003</v>
      </c>
      <c r="F35" s="147">
        <f>'ContractPrice-CDE'!F35/1000000</f>
        <v>13.3</v>
      </c>
      <c r="G35" s="147">
        <f>'ContractPrice-CDE'!G35/1000000</f>
        <v>3.9409380899999999</v>
      </c>
      <c r="H35" s="147">
        <f>'ContractPrice-CDE'!H35/1000000</f>
        <v>3.8778391799999996</v>
      </c>
      <c r="I35" s="147">
        <f>'ContractPrice-CDE'!I35/1000000</f>
        <v>5.89837583</v>
      </c>
      <c r="J35" s="147">
        <f>'ContractPrice-CDE'!J35/1000000</f>
        <v>13.717153099999999</v>
      </c>
      <c r="K35" s="51">
        <f>'ContractPrice-CDE'!L35/1000000</f>
        <v>0.41715309999999961</v>
      </c>
      <c r="L35" s="51">
        <f>'ContractPrice-CDE'!M35/1000000</f>
        <v>0</v>
      </c>
      <c r="M35" s="51">
        <f>'ContractPrice-CDE'!N35/1000000</f>
        <v>0</v>
      </c>
      <c r="N35" s="51">
        <f>'ContractPrice-CDE'!O35/1000000</f>
        <v>0</v>
      </c>
      <c r="O35" s="51">
        <f>'ContractPrice-CDE'!P35/1000000</f>
        <v>0</v>
      </c>
      <c r="P35" s="51">
        <f>'ContractPrice-CDE'!Q35/1000000</f>
        <v>0</v>
      </c>
      <c r="Q35" s="51">
        <f>'ContractPrice-CDE'!R35/1000000</f>
        <v>0</v>
      </c>
      <c r="R35" s="51">
        <f>'ContractPrice-CDE'!S35/1000000</f>
        <v>0</v>
      </c>
      <c r="S35" s="20">
        <f t="shared" si="3"/>
        <v>0</v>
      </c>
      <c r="T35" s="38">
        <f t="shared" si="0"/>
        <v>0</v>
      </c>
      <c r="U35" s="38">
        <f t="shared" si="1"/>
        <v>0</v>
      </c>
      <c r="V35" t="s">
        <v>292</v>
      </c>
      <c r="W35" s="44">
        <v>0.1</v>
      </c>
      <c r="X35" s="25">
        <v>0</v>
      </c>
      <c r="Y35" t="str">
        <f t="shared" si="2"/>
        <v/>
      </c>
      <c r="Z35" s="38" t="str">
        <f t="shared" si="4"/>
        <v/>
      </c>
      <c r="AA35" s="27"/>
      <c r="AB35" s="25">
        <f>'ContractPrice-CDE'!AC35/1000000</f>
        <v>0</v>
      </c>
      <c r="AD35">
        <v>1</v>
      </c>
      <c r="AE35" s="40">
        <f t="shared" si="5"/>
        <v>0</v>
      </c>
    </row>
    <row r="36" spans="1:31" x14ac:dyDescent="0.25">
      <c r="A36" s="6" t="s">
        <v>77</v>
      </c>
      <c r="B36" s="6" t="s">
        <v>192</v>
      </c>
      <c r="C36" s="147">
        <f>'ContractPrice-CDE'!C36/1000000</f>
        <v>10.0555</v>
      </c>
      <c r="D36" s="147">
        <f>'ContractPrice-CDE'!D36/1000000</f>
        <v>9.8945000000000007</v>
      </c>
      <c r="E36" s="147">
        <f>'ContractPrice-CDE'!E36/1000000</f>
        <v>15.05</v>
      </c>
      <c r="F36" s="147">
        <f>'ContractPrice-CDE'!F36/1000000</f>
        <v>35</v>
      </c>
      <c r="G36" s="147">
        <f>'ContractPrice-CDE'!G36/1000000</f>
        <v>10.820840390000001</v>
      </c>
      <c r="H36" s="147">
        <f>'ContractPrice-CDE'!H36/1000000</f>
        <v>10.64758642</v>
      </c>
      <c r="I36" s="147">
        <f>'ContractPrice-CDE'!I36/1000000</f>
        <v>16.19547987</v>
      </c>
      <c r="J36" s="147">
        <f>'ContractPrice-CDE'!J36/1000000</f>
        <v>37.663906679999997</v>
      </c>
      <c r="K36" s="51">
        <f>'ContractPrice-CDE'!L36/1000000</f>
        <v>2.6639066799999997</v>
      </c>
      <c r="L36" s="51">
        <f>'ContractPrice-CDE'!M36/1000000</f>
        <v>1.7925071000000001</v>
      </c>
      <c r="M36" s="51">
        <f>'ContractPrice-CDE'!N36/1000000</f>
        <v>9.5432361599999993</v>
      </c>
      <c r="N36" s="51">
        <f>'ContractPrice-CDE'!O36/1000000</f>
        <v>9.39043809</v>
      </c>
      <c r="O36" s="51">
        <f>'ContractPrice-CDE'!P36/1000000</f>
        <v>14.283298109999999</v>
      </c>
      <c r="P36" s="51">
        <f>'ContractPrice-CDE'!Q36/1000000</f>
        <v>33.21697236</v>
      </c>
      <c r="Q36" s="51">
        <f>'ContractPrice-CDE'!R36/1000000</f>
        <v>33.21697236</v>
      </c>
      <c r="R36" s="51">
        <f>'ContractPrice-CDE'!S36/1000000</f>
        <v>33.21697236</v>
      </c>
      <c r="S36" s="20">
        <f t="shared" si="3"/>
        <v>0</v>
      </c>
      <c r="T36" s="38">
        <f t="shared" si="0"/>
        <v>0.94905635314285719</v>
      </c>
      <c r="U36" s="38">
        <f t="shared" si="1"/>
        <v>0.88193114543899997</v>
      </c>
      <c r="V36" t="s">
        <v>292</v>
      </c>
      <c r="W36" s="44">
        <v>0.1</v>
      </c>
      <c r="X36" s="25">
        <v>0</v>
      </c>
      <c r="Y36" t="str">
        <f t="shared" si="2"/>
        <v/>
      </c>
      <c r="Z36" s="38" t="str">
        <f t="shared" si="4"/>
        <v/>
      </c>
      <c r="AA36" s="27"/>
      <c r="AB36" s="25">
        <f>'ContractPrice-CDE'!AC36/1000000</f>
        <v>31.424465259999998</v>
      </c>
      <c r="AD36">
        <v>1</v>
      </c>
      <c r="AE36" s="40">
        <f t="shared" si="5"/>
        <v>31.424465259999998</v>
      </c>
    </row>
    <row r="37" spans="1:31" x14ac:dyDescent="0.25">
      <c r="A37" s="6" t="s">
        <v>75</v>
      </c>
      <c r="B37" s="6" t="s">
        <v>207</v>
      </c>
      <c r="C37" s="147">
        <f>'ContractPrice-CDE'!C37/1000000</f>
        <v>6.9354449800000006</v>
      </c>
      <c r="D37" s="147">
        <f>'ContractPrice-CDE'!D37/1000000</f>
        <v>6.8244006200000005</v>
      </c>
      <c r="E37" s="147">
        <f>'ContractPrice-CDE'!E37/1000000</f>
        <v>10.380234400000001</v>
      </c>
      <c r="F37" s="147">
        <f>'ContractPrice-CDE'!F37/1000000</f>
        <v>24.140080000000001</v>
      </c>
      <c r="G37" s="147">
        <f>'ContractPrice-CDE'!G37/1000000</f>
        <v>7.3663949799999981</v>
      </c>
      <c r="H37" s="147">
        <f>'ContractPrice-CDE'!H37/1000000</f>
        <v>7.248450619999999</v>
      </c>
      <c r="I37" s="147">
        <f>'ContractPrice-CDE'!I37/1000000</f>
        <v>11.0252344</v>
      </c>
      <c r="J37" s="147">
        <f>'ContractPrice-CDE'!J37/1000000</f>
        <v>25.640080000000001</v>
      </c>
      <c r="K37" s="51">
        <f>'ContractPrice-CDE'!L37/1000000</f>
        <v>1.5</v>
      </c>
      <c r="L37" s="51">
        <f>'ContractPrice-CDE'!M37/1000000</f>
        <v>15.08121848</v>
      </c>
      <c r="M37" s="51">
        <f>'ContractPrice-CDE'!N37/1000000</f>
        <v>5.0740052100000002</v>
      </c>
      <c r="N37" s="51">
        <f>'ContractPrice-CDE'!O37/1000000</f>
        <v>4.99276462</v>
      </c>
      <c r="O37" s="51">
        <f>'ContractPrice-CDE'!P37/1000000</f>
        <v>7.5942298700000004</v>
      </c>
      <c r="P37" s="51">
        <f>'ContractPrice-CDE'!Q37/1000000</f>
        <v>17.660999699999998</v>
      </c>
      <c r="Q37" s="51">
        <f>'ContractPrice-CDE'!R37/1000000</f>
        <v>17.660999699999998</v>
      </c>
      <c r="R37" s="51">
        <f>'ContractPrice-CDE'!S37/1000000</f>
        <v>19.3531923</v>
      </c>
      <c r="S37" s="20">
        <f t="shared" si="3"/>
        <v>1.692192600000002</v>
      </c>
      <c r="T37" s="38">
        <f t="shared" si="0"/>
        <v>0.80170373503318959</v>
      </c>
      <c r="U37" s="38">
        <f t="shared" si="1"/>
        <v>0.7548023368101815</v>
      </c>
      <c r="V37" t="s">
        <v>292</v>
      </c>
      <c r="W37" s="44">
        <v>0.1</v>
      </c>
      <c r="X37" s="25">
        <v>0</v>
      </c>
      <c r="Y37" t="str">
        <f t="shared" si="2"/>
        <v/>
      </c>
      <c r="Z37" s="38" t="str">
        <f t="shared" si="4"/>
        <v/>
      </c>
      <c r="AA37" s="27"/>
      <c r="AB37" s="25">
        <f>'ContractPrice-CDE'!AC37/1000000</f>
        <v>4.2719738200000004</v>
      </c>
      <c r="AD37">
        <v>1</v>
      </c>
      <c r="AE37" s="40">
        <f t="shared" si="5"/>
        <v>4.2719738200000004</v>
      </c>
    </row>
    <row r="38" spans="1:31" x14ac:dyDescent="0.25">
      <c r="A38" s="6" t="s">
        <v>79</v>
      </c>
      <c r="B38" s="6" t="s">
        <v>208</v>
      </c>
      <c r="C38" s="147">
        <f>'ContractPrice-CDE'!C38/1000000</f>
        <v>3.2177600000000002</v>
      </c>
      <c r="D38" s="147">
        <f>'ContractPrice-CDE'!D38/1000000</f>
        <v>3.1662400000000002</v>
      </c>
      <c r="E38" s="147">
        <f>'ContractPrice-CDE'!E38/1000000</f>
        <v>4.8159999999999998</v>
      </c>
      <c r="F38" s="147">
        <f>'ContractPrice-CDE'!F38/1000000</f>
        <v>11.2</v>
      </c>
      <c r="G38" s="147">
        <f>'ContractPrice-CDE'!G38/1000000</f>
        <v>4.1057199899999999</v>
      </c>
      <c r="H38" s="147">
        <f>'ContractPrice-CDE'!H38/1000000</f>
        <v>4.0399827299999993</v>
      </c>
      <c r="I38" s="147">
        <f>'ContractPrice-CDE'!I38/1000000</f>
        <v>6.1450038000000005</v>
      </c>
      <c r="J38" s="147">
        <f>'ContractPrice-CDE'!J38/1000000</f>
        <v>14.290706519999999</v>
      </c>
      <c r="K38" s="51">
        <f>'ContractPrice-CDE'!L38/1000000</f>
        <v>3.0907065199999995</v>
      </c>
      <c r="L38" s="51">
        <f>'ContractPrice-CDE'!M38/1000000</f>
        <v>0</v>
      </c>
      <c r="M38" s="51">
        <f>'ContractPrice-CDE'!N38/1000000</f>
        <v>3.0812611099999998</v>
      </c>
      <c r="N38" s="51">
        <f>'ContractPrice-CDE'!O38/1000000</f>
        <v>3.0319266099999997</v>
      </c>
      <c r="O38" s="51">
        <f>'ContractPrice-CDE'!P38/1000000</f>
        <v>4.6117030099999994</v>
      </c>
      <c r="P38" s="51">
        <f>'ContractPrice-CDE'!Q38/1000000</f>
        <v>10.72489073</v>
      </c>
      <c r="Q38" s="51">
        <f>'ContractPrice-CDE'!R38/1000000</f>
        <v>10.72489073</v>
      </c>
      <c r="R38" s="51">
        <f>'ContractPrice-CDE'!S38/1000000</f>
        <v>10.72489073</v>
      </c>
      <c r="S38" s="20">
        <f t="shared" si="3"/>
        <v>0</v>
      </c>
      <c r="T38" s="38">
        <f t="shared" si="0"/>
        <v>0.95757952946428582</v>
      </c>
      <c r="U38" s="38">
        <f t="shared" si="1"/>
        <v>0.75048009102911739</v>
      </c>
      <c r="V38" t="s">
        <v>292</v>
      </c>
      <c r="W38" s="44">
        <v>0.1</v>
      </c>
      <c r="X38" s="25">
        <v>0</v>
      </c>
      <c r="Y38" t="str">
        <f t="shared" si="2"/>
        <v/>
      </c>
      <c r="Z38" s="38" t="str">
        <f t="shared" si="4"/>
        <v/>
      </c>
      <c r="AA38" s="27"/>
      <c r="AB38" s="25">
        <f>'ContractPrice-CDE'!AC38/1000000</f>
        <v>10.72489073</v>
      </c>
      <c r="AD38">
        <v>1</v>
      </c>
      <c r="AE38" s="40">
        <f t="shared" si="5"/>
        <v>10.72489073</v>
      </c>
    </row>
    <row r="39" spans="1:31" x14ac:dyDescent="0.25">
      <c r="A39" s="6" t="s">
        <v>82</v>
      </c>
      <c r="B39" s="6" t="s">
        <v>209</v>
      </c>
      <c r="C39" s="147">
        <f>'ContractPrice-CDE'!C39/1000000</f>
        <v>2.2952137000000001</v>
      </c>
      <c r="D39" s="147">
        <f>'ContractPrice-CDE'!D39/1000000</f>
        <v>2.2584647200000001</v>
      </c>
      <c r="E39" s="147">
        <f>'ContractPrice-CDE'!E39/1000000</f>
        <v>3.4352310899999998</v>
      </c>
      <c r="F39" s="147">
        <f>'ContractPrice-CDE'!F39/1000000</f>
        <v>7.98890951</v>
      </c>
      <c r="G39" s="147">
        <f>'ContractPrice-CDE'!G39/1000000</f>
        <v>2.3137174900000002</v>
      </c>
      <c r="H39" s="147">
        <f>'ContractPrice-CDE'!H39/1000000</f>
        <v>2.2766722400000003</v>
      </c>
      <c r="I39" s="147">
        <f>'ContractPrice-CDE'!I39/1000000</f>
        <v>3.4629255800000003</v>
      </c>
      <c r="J39" s="147">
        <f>'ContractPrice-CDE'!J39/1000000</f>
        <v>8.0533153100000003</v>
      </c>
      <c r="K39" s="51">
        <f>'ContractPrice-CDE'!L39/1000000</f>
        <v>6.4405800000000749E-2</v>
      </c>
      <c r="L39" s="51">
        <f>'ContractPrice-CDE'!M39/1000000</f>
        <v>28.307573760000004</v>
      </c>
      <c r="M39" s="51">
        <f>'ContractPrice-CDE'!N39/1000000</f>
        <v>0</v>
      </c>
      <c r="N39" s="51">
        <f>'ContractPrice-CDE'!O39/1000000</f>
        <v>0</v>
      </c>
      <c r="O39" s="51">
        <f>'ContractPrice-CDE'!P39/1000000</f>
        <v>0</v>
      </c>
      <c r="P39" s="51">
        <f>'ContractPrice-CDE'!Q39/1000000</f>
        <v>0</v>
      </c>
      <c r="Q39" s="51">
        <f>'ContractPrice-CDE'!R39/1000000</f>
        <v>0</v>
      </c>
      <c r="R39" s="51">
        <f>'ContractPrice-CDE'!S39/1000000</f>
        <v>0</v>
      </c>
      <c r="S39" s="20">
        <f t="shared" si="3"/>
        <v>0</v>
      </c>
      <c r="T39" s="38">
        <f t="shared" si="0"/>
        <v>0</v>
      </c>
      <c r="U39" s="38">
        <f t="shared" si="1"/>
        <v>0</v>
      </c>
      <c r="V39" t="s">
        <v>292</v>
      </c>
      <c r="W39" s="44">
        <v>0.1</v>
      </c>
      <c r="X39" s="25">
        <v>0</v>
      </c>
      <c r="Y39" t="str">
        <f t="shared" si="2"/>
        <v/>
      </c>
      <c r="Z39" s="38" t="str">
        <f t="shared" si="4"/>
        <v/>
      </c>
      <c r="AA39" s="27"/>
      <c r="AB39" s="25">
        <f>'ContractPrice-CDE'!AC39/1000000</f>
        <v>-28.307573760000004</v>
      </c>
      <c r="AD39">
        <v>1</v>
      </c>
      <c r="AE39" s="40">
        <f t="shared" si="5"/>
        <v>-28.307573760000004</v>
      </c>
    </row>
    <row r="40" spans="1:31" x14ac:dyDescent="0.25">
      <c r="A40" s="6" t="s">
        <v>85</v>
      </c>
      <c r="B40" s="6" t="s">
        <v>210</v>
      </c>
      <c r="C40" s="147">
        <f>'ContractPrice-CDE'!C40/1000000</f>
        <v>22.409400000000002</v>
      </c>
      <c r="D40" s="147">
        <f>'ContractPrice-CDE'!D40/1000000</f>
        <v>22.050599999999999</v>
      </c>
      <c r="E40" s="147">
        <f>'ContractPrice-CDE'!E40/1000000</f>
        <v>33.54</v>
      </c>
      <c r="F40" s="147">
        <f>'ContractPrice-CDE'!F40/1000000</f>
        <v>78</v>
      </c>
      <c r="G40" s="147">
        <f>'ContractPrice-CDE'!G40/1000000</f>
        <v>26.552062929999998</v>
      </c>
      <c r="H40" s="147">
        <f>'ContractPrice-CDE'!H40/1000000</f>
        <v>26.126934179999999</v>
      </c>
      <c r="I40" s="147">
        <f>'ContractPrice-CDE'!I40/1000000</f>
        <v>39.740296060000006</v>
      </c>
      <c r="J40" s="147">
        <f>'ContractPrice-CDE'!J40/1000000</f>
        <v>92.419293170000003</v>
      </c>
      <c r="K40" s="51">
        <f>'ContractPrice-CDE'!L40/1000000</f>
        <v>14.419293170000001</v>
      </c>
      <c r="L40" s="51">
        <f>'ContractPrice-CDE'!M40/1000000</f>
        <v>24.536608279999996</v>
      </c>
      <c r="M40" s="51">
        <f>'ContractPrice-CDE'!N40/1000000</f>
        <v>12.94683191</v>
      </c>
      <c r="N40" s="51">
        <f>'ContractPrice-CDE'!O40/1000000</f>
        <v>12.739538400000001</v>
      </c>
      <c r="O40" s="51">
        <f>'ContractPrice-CDE'!P40/1000000</f>
        <v>19.377437260000001</v>
      </c>
      <c r="P40" s="51">
        <f>'ContractPrice-CDE'!Q40/1000000</f>
        <v>45.063807570000002</v>
      </c>
      <c r="Q40" s="51">
        <f>'ContractPrice-CDE'!R40/1000000</f>
        <v>45.063807570000009</v>
      </c>
      <c r="R40" s="51">
        <f>'ContractPrice-CDE'!S40/1000000</f>
        <v>45.063807570000002</v>
      </c>
      <c r="S40" s="20">
        <f t="shared" si="3"/>
        <v>0</v>
      </c>
      <c r="T40" s="38">
        <f t="shared" si="0"/>
        <v>0.57774112269230771</v>
      </c>
      <c r="U40" s="38">
        <f t="shared" si="1"/>
        <v>0.48760173362403569</v>
      </c>
      <c r="V40" t="s">
        <v>292</v>
      </c>
      <c r="W40" s="44">
        <v>0.1</v>
      </c>
      <c r="X40" s="25">
        <v>0</v>
      </c>
      <c r="Y40" t="str">
        <f t="shared" si="2"/>
        <v/>
      </c>
      <c r="Z40" s="38" t="str">
        <f t="shared" si="4"/>
        <v/>
      </c>
      <c r="AA40" s="27"/>
      <c r="AB40" s="25">
        <f>'ContractPrice-CDE'!AC40/1000000</f>
        <v>20.527199290000002</v>
      </c>
      <c r="AD40">
        <v>1</v>
      </c>
      <c r="AE40" s="40">
        <f t="shared" si="5"/>
        <v>20.527199290000002</v>
      </c>
    </row>
    <row r="41" spans="1:31" x14ac:dyDescent="0.25">
      <c r="A41" s="6" t="s">
        <v>121</v>
      </c>
      <c r="B41" s="6" t="s">
        <v>211</v>
      </c>
      <c r="C41" s="147">
        <f>'ContractPrice-CDE'!C41/1000000</f>
        <v>4.2722683099999994</v>
      </c>
      <c r="D41" s="147">
        <f>'ContractPrice-CDE'!D41/1000000</f>
        <v>4.2038644299999994</v>
      </c>
      <c r="E41" s="147">
        <f>'ContractPrice-CDE'!E41/1000000</f>
        <v>6.3942755700000005</v>
      </c>
      <c r="F41" s="147">
        <f>'ContractPrice-CDE'!F41/1000000</f>
        <v>14.870408309999998</v>
      </c>
      <c r="G41" s="147">
        <f>'ContractPrice-CDE'!G41/1000000</f>
        <v>4.2722683099999994</v>
      </c>
      <c r="H41" s="147">
        <f>'ContractPrice-CDE'!H41/1000000</f>
        <v>4.2038644299999994</v>
      </c>
      <c r="I41" s="147">
        <f>'ContractPrice-CDE'!I41/1000000</f>
        <v>6.3942755700000005</v>
      </c>
      <c r="J41" s="147">
        <f>'ContractPrice-CDE'!J41/1000000</f>
        <v>14.870408309999998</v>
      </c>
      <c r="K41" s="51">
        <f>'ContractPrice-CDE'!L41/1000000</f>
        <v>0</v>
      </c>
      <c r="L41" s="51">
        <f>'ContractPrice-CDE'!M41/1000000</f>
        <v>0</v>
      </c>
      <c r="M41" s="51">
        <f>'ContractPrice-CDE'!N41/1000000</f>
        <v>0</v>
      </c>
      <c r="N41" s="51">
        <f>'ContractPrice-CDE'!O41/1000000</f>
        <v>0</v>
      </c>
      <c r="O41" s="51">
        <f>'ContractPrice-CDE'!P41/1000000</f>
        <v>0</v>
      </c>
      <c r="P41" s="51">
        <f>'ContractPrice-CDE'!Q41/1000000</f>
        <v>0</v>
      </c>
      <c r="Q41" s="51">
        <f>'ContractPrice-CDE'!R41/1000000</f>
        <v>0</v>
      </c>
      <c r="R41" s="51">
        <f>'ContractPrice-CDE'!S41/1000000</f>
        <v>0</v>
      </c>
      <c r="S41" s="20">
        <f t="shared" si="3"/>
        <v>0</v>
      </c>
      <c r="T41" s="38">
        <f t="shared" si="0"/>
        <v>0</v>
      </c>
      <c r="U41" s="38">
        <f t="shared" si="1"/>
        <v>0</v>
      </c>
      <c r="V41" t="s">
        <v>292</v>
      </c>
      <c r="W41" s="44">
        <v>0.1</v>
      </c>
      <c r="X41" s="25">
        <v>0</v>
      </c>
      <c r="Y41" t="str">
        <f t="shared" si="2"/>
        <v/>
      </c>
      <c r="Z41" s="38" t="str">
        <f t="shared" si="4"/>
        <v/>
      </c>
      <c r="AA41" s="27"/>
      <c r="AB41" s="25">
        <f>'ContractPrice-CDE'!AC41/1000000</f>
        <v>0</v>
      </c>
      <c r="AD41">
        <v>1</v>
      </c>
      <c r="AE41" s="40">
        <f t="shared" si="5"/>
        <v>0</v>
      </c>
    </row>
    <row r="42" spans="1:31" x14ac:dyDescent="0.25">
      <c r="A42" s="6" t="s">
        <v>89</v>
      </c>
      <c r="B42" s="6" t="s">
        <v>212</v>
      </c>
      <c r="C42" s="147">
        <f>'ContractPrice-CDE'!C42/1000000</f>
        <v>0.25857000000000002</v>
      </c>
      <c r="D42" s="147">
        <f>'ContractPrice-CDE'!D42/1000000</f>
        <v>0.25442999999999999</v>
      </c>
      <c r="E42" s="147">
        <f>'ContractPrice-CDE'!E42/1000000</f>
        <v>0.38700000000000001</v>
      </c>
      <c r="F42" s="147">
        <f>'ContractPrice-CDE'!F42/1000000</f>
        <v>0.9</v>
      </c>
      <c r="G42" s="147">
        <f>'ContractPrice-CDE'!G42/1000000</f>
        <v>0.25857000000000002</v>
      </c>
      <c r="H42" s="147">
        <f>'ContractPrice-CDE'!H42/1000000</f>
        <v>0.25442999999999999</v>
      </c>
      <c r="I42" s="147">
        <f>'ContractPrice-CDE'!I42/1000000</f>
        <v>0.38700000000000001</v>
      </c>
      <c r="J42" s="147">
        <f>'ContractPrice-CDE'!J42/1000000</f>
        <v>0.9</v>
      </c>
      <c r="K42" s="51">
        <f>'ContractPrice-CDE'!L42/1000000</f>
        <v>0</v>
      </c>
      <c r="L42" s="51">
        <f>'ContractPrice-CDE'!M42/1000000</f>
        <v>0</v>
      </c>
      <c r="M42" s="51">
        <f>'ContractPrice-CDE'!N42/1000000</f>
        <v>0</v>
      </c>
      <c r="N42" s="51">
        <f>'ContractPrice-CDE'!O42/1000000</f>
        <v>0</v>
      </c>
      <c r="O42" s="51">
        <f>'ContractPrice-CDE'!P42/1000000</f>
        <v>0</v>
      </c>
      <c r="P42" s="51">
        <f>'ContractPrice-CDE'!Q42/1000000</f>
        <v>0</v>
      </c>
      <c r="Q42" s="51">
        <f>'ContractPrice-CDE'!R42/1000000</f>
        <v>0</v>
      </c>
      <c r="R42" s="51">
        <f>'ContractPrice-CDE'!S42/1000000</f>
        <v>0</v>
      </c>
      <c r="S42" s="20">
        <f t="shared" si="3"/>
        <v>0</v>
      </c>
      <c r="T42" s="38">
        <f t="shared" si="0"/>
        <v>0</v>
      </c>
      <c r="U42" s="38">
        <f t="shared" si="1"/>
        <v>0</v>
      </c>
      <c r="V42" t="s">
        <v>292</v>
      </c>
      <c r="W42" s="44">
        <v>0.1</v>
      </c>
      <c r="X42" s="25">
        <v>0</v>
      </c>
      <c r="Y42" t="str">
        <f t="shared" si="2"/>
        <v/>
      </c>
      <c r="Z42" s="38" t="str">
        <f t="shared" si="4"/>
        <v/>
      </c>
      <c r="AA42" s="27"/>
      <c r="AB42" s="25">
        <f>'ContractPrice-CDE'!AC42/1000000</f>
        <v>0</v>
      </c>
      <c r="AD42">
        <v>1</v>
      </c>
      <c r="AE42" s="40">
        <f t="shared" si="5"/>
        <v>0</v>
      </c>
    </row>
    <row r="43" spans="1:31" x14ac:dyDescent="0.25">
      <c r="A43" s="6" t="s">
        <v>158</v>
      </c>
      <c r="B43" s="6" t="s">
        <v>213</v>
      </c>
      <c r="C43" s="147">
        <f>'ContractPrice-CDE'!C43/1000000</f>
        <v>0</v>
      </c>
      <c r="D43" s="147">
        <f>'ContractPrice-CDE'!D43/1000000</f>
        <v>0</v>
      </c>
      <c r="E43" s="147">
        <f>'ContractPrice-CDE'!E43/1000000</f>
        <v>0</v>
      </c>
      <c r="F43" s="147">
        <f>'ContractPrice-CDE'!F43/1000000</f>
        <v>0</v>
      </c>
      <c r="G43" s="147">
        <f>'ContractPrice-CDE'!G43/1000000</f>
        <v>145.64370959999999</v>
      </c>
      <c r="H43" s="147">
        <f>'ContractPrice-CDE'!H43/1000000</f>
        <v>143.31178803999998</v>
      </c>
      <c r="I43" s="147">
        <f>'ContractPrice-CDE'!I43/1000000</f>
        <v>217.98397191000001</v>
      </c>
      <c r="J43" s="147">
        <f>'ContractPrice-CDE'!J43/1000000</f>
        <v>506.93946954999996</v>
      </c>
      <c r="K43" s="51">
        <f>'ContractPrice-CDE'!L43/1000000</f>
        <v>506.93946954999996</v>
      </c>
      <c r="L43" s="51">
        <f>'ContractPrice-CDE'!M43/1000000</f>
        <v>0</v>
      </c>
      <c r="M43" s="51">
        <f>'ContractPrice-CDE'!N43/1000000</f>
        <v>0</v>
      </c>
      <c r="N43" s="51">
        <f>'ContractPrice-CDE'!O43/1000000</f>
        <v>0</v>
      </c>
      <c r="O43" s="51">
        <f>'ContractPrice-CDE'!P43/1000000</f>
        <v>0</v>
      </c>
      <c r="P43" s="51">
        <f>'ContractPrice-CDE'!Q43/1000000</f>
        <v>0</v>
      </c>
      <c r="Q43" s="51">
        <f>'ContractPrice-CDE'!R43/1000000</f>
        <v>0</v>
      </c>
      <c r="R43" s="51">
        <f>'ContractPrice-CDE'!S43/1000000</f>
        <v>0</v>
      </c>
      <c r="S43" s="20">
        <f t="shared" si="3"/>
        <v>0</v>
      </c>
      <c r="T43" s="38">
        <f t="shared" si="0"/>
        <v>0</v>
      </c>
      <c r="U43" s="38">
        <f t="shared" si="1"/>
        <v>0</v>
      </c>
      <c r="V43" t="s">
        <v>362</v>
      </c>
      <c r="W43" s="44">
        <v>0.1</v>
      </c>
      <c r="X43" s="25">
        <v>0</v>
      </c>
      <c r="Y43" t="str">
        <f t="shared" si="2"/>
        <v/>
      </c>
      <c r="Z43" s="38" t="str">
        <f t="shared" si="4"/>
        <v/>
      </c>
      <c r="AA43" s="27"/>
      <c r="AB43" s="25">
        <f>'ContractPrice-CDE'!AC43/1000000</f>
        <v>0</v>
      </c>
      <c r="AD43">
        <v>1</v>
      </c>
      <c r="AE43" s="40">
        <f t="shared" si="5"/>
        <v>0</v>
      </c>
    </row>
    <row r="44" spans="1:31" x14ac:dyDescent="0.25">
      <c r="B44" t="s">
        <v>193</v>
      </c>
      <c r="C44" s="148">
        <f t="shared" ref="C44:L44" si="6">SUM(C2:C43)</f>
        <v>850.45441958000004</v>
      </c>
      <c r="D44" s="148">
        <f t="shared" si="6"/>
        <v>836.83767634999992</v>
      </c>
      <c r="E44" s="148">
        <f t="shared" si="6"/>
        <v>1272.8694758799998</v>
      </c>
      <c r="F44" s="148">
        <f t="shared" si="6"/>
        <v>2960.1615718100011</v>
      </c>
      <c r="G44" s="148">
        <f t="shared" si="6"/>
        <v>1023.0075428799997</v>
      </c>
      <c r="H44" s="148">
        <f t="shared" si="6"/>
        <v>1006.6280277599999</v>
      </c>
      <c r="I44" s="148">
        <f t="shared" si="6"/>
        <v>1531.1285883600003</v>
      </c>
      <c r="J44" s="205">
        <f t="shared" si="6"/>
        <v>3560.7641590000003</v>
      </c>
      <c r="K44" s="52">
        <f>SUM(K2:K43)</f>
        <v>532.59693923999998</v>
      </c>
      <c r="L44" s="52">
        <f t="shared" si="6"/>
        <v>897.67835288979791</v>
      </c>
      <c r="M44" s="52">
        <f>SUM(M2:M43)</f>
        <v>348.43413570999996</v>
      </c>
      <c r="N44" s="52">
        <f>SUM(N2:N43)</f>
        <v>343.18973601000005</v>
      </c>
      <c r="O44" s="52">
        <f>SUM(O2:O43)</f>
        <v>524.60809028999984</v>
      </c>
      <c r="P44" s="52"/>
      <c r="Q44" s="52">
        <f>SUM(Q2:Q43)</f>
        <v>1216.23196201</v>
      </c>
      <c r="R44" s="52">
        <f>SUM(R2:R43)</f>
        <v>1225.3230502099998</v>
      </c>
      <c r="S44" s="20">
        <f>SUM(S2:S43)</f>
        <v>9.0910882000000086</v>
      </c>
      <c r="T44" s="38">
        <f t="shared" si="0"/>
        <v>0.41393789510643897</v>
      </c>
      <c r="U44" s="38">
        <f t="shared" si="1"/>
        <v>0.34411800262394171</v>
      </c>
      <c r="W44" s="36"/>
      <c r="AA44" s="20">
        <f>SUM(AA2:AA43)</f>
        <v>0</v>
      </c>
      <c r="AB44" s="20">
        <f>SUM(AB2:AB43)</f>
        <v>327.64469732020194</v>
      </c>
      <c r="AC44" s="20">
        <f>'ContractPrice-CDE'!AD44/1000000</f>
        <v>657.67618376999997</v>
      </c>
      <c r="AD44" s="20"/>
      <c r="AE44" s="20">
        <f>SUM(AE2:AE43)+AC44</f>
        <v>985.32088109020196</v>
      </c>
    </row>
    <row r="45" spans="1:31" x14ac:dyDescent="0.25">
      <c r="S45" s="20"/>
    </row>
    <row r="46" spans="1:31" x14ac:dyDescent="0.25">
      <c r="F46" s="52"/>
      <c r="S46" s="40"/>
    </row>
  </sheetData>
  <conditionalFormatting sqref="Y2:Z43">
    <cfRule type="cellIs" dxfId="1" priority="1" operator="lessThan">
      <formula>0</formula>
    </cfRule>
  </conditionalFormatting>
  <pageMargins left="0.7" right="0.7" top="0.75" bottom="0.75" header="0.3" footer="0.3"/>
  <pageSetup paperSize="9" orientation="portrait" horizontalDpi="300" verticalDpi="30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A3992-0A76-4AB9-8AE8-C5690893A5CA}">
  <dimension ref="A1:F26"/>
  <sheetViews>
    <sheetView zoomScale="160" zoomScaleNormal="160" workbookViewId="0">
      <selection activeCell="E18" sqref="E18"/>
    </sheetView>
  </sheetViews>
  <sheetFormatPr defaultRowHeight="15" x14ac:dyDescent="0.25"/>
  <cols>
    <col min="1" max="1" width="4.140625" style="96" bestFit="1" customWidth="1"/>
    <col min="2" max="2" width="27.7109375" bestFit="1" customWidth="1"/>
    <col min="3" max="3" width="22.140625" style="102" bestFit="1" customWidth="1"/>
    <col min="4" max="4" width="24" style="102" customWidth="1"/>
    <col min="5" max="5" width="20.28515625" customWidth="1"/>
    <col min="6" max="6" width="16.85546875" bestFit="1" customWidth="1"/>
  </cols>
  <sheetData>
    <row r="1" spans="1:6" s="17" customFormat="1" x14ac:dyDescent="0.25">
      <c r="A1" s="97" t="s">
        <v>398</v>
      </c>
      <c r="B1" s="98" t="s">
        <v>220</v>
      </c>
      <c r="C1" s="100" t="s">
        <v>406</v>
      </c>
      <c r="D1" s="100" t="s">
        <v>407</v>
      </c>
      <c r="E1" s="99" t="s">
        <v>393</v>
      </c>
    </row>
    <row r="2" spans="1:6" s="17" customFormat="1" x14ac:dyDescent="0.25">
      <c r="A2" s="106">
        <v>1</v>
      </c>
      <c r="B2" s="107" t="s">
        <v>390</v>
      </c>
      <c r="C2" s="108">
        <f>'ContractPrice-CDE'!F44</f>
        <v>2960161571.8100009</v>
      </c>
      <c r="D2" s="108">
        <f>C2</f>
        <v>2960161571.8100009</v>
      </c>
      <c r="E2" s="109"/>
    </row>
    <row r="3" spans="1:6" x14ac:dyDescent="0.25">
      <c r="A3" s="110"/>
      <c r="B3" s="111" t="s">
        <v>397</v>
      </c>
      <c r="C3" s="112">
        <f>6%*('ContractPrice-CDE'!F44-'ContractPrice-CDE'!S44)</f>
        <v>104090311.29600005</v>
      </c>
      <c r="D3" s="112">
        <f>6%*('ContractPrice-CDE'!F44-'Progress-CDE'!F43)</f>
        <v>121216642.92457165</v>
      </c>
      <c r="E3" s="113" t="s">
        <v>392</v>
      </c>
    </row>
    <row r="4" spans="1:6" x14ac:dyDescent="0.25">
      <c r="A4" s="114"/>
      <c r="B4" s="115" t="s">
        <v>403</v>
      </c>
      <c r="C4" s="116">
        <f>'ContractPrice-CDE'!S44</f>
        <v>1225323050.21</v>
      </c>
      <c r="D4" s="116">
        <f>'Progress-CDE'!F43</f>
        <v>939884189.73380661</v>
      </c>
      <c r="E4" s="117" t="s">
        <v>405</v>
      </c>
    </row>
    <row r="5" spans="1:6" s="17" customFormat="1" x14ac:dyDescent="0.25">
      <c r="A5" s="118">
        <v>2</v>
      </c>
      <c r="B5" s="119" t="s">
        <v>394</v>
      </c>
      <c r="C5" s="120">
        <f>C2-C4+C3</f>
        <v>1838928832.8960009</v>
      </c>
      <c r="D5" s="120">
        <f>D2-D4+D3</f>
        <v>2141494025.000766</v>
      </c>
      <c r="E5" s="141" t="s">
        <v>400</v>
      </c>
      <c r="F5" s="94"/>
    </row>
    <row r="6" spans="1:6" s="17" customFormat="1" x14ac:dyDescent="0.25">
      <c r="A6" s="106">
        <v>3</v>
      </c>
      <c r="B6" s="107" t="s">
        <v>401</v>
      </c>
      <c r="C6" s="121"/>
      <c r="D6" s="121"/>
      <c r="E6" s="109"/>
    </row>
    <row r="7" spans="1:6" x14ac:dyDescent="0.25">
      <c r="A7" s="110"/>
      <c r="B7" s="111" t="s">
        <v>388</v>
      </c>
      <c r="C7" s="122">
        <f>Risk0!J29</f>
        <v>217623411.52000001</v>
      </c>
      <c r="D7" s="122">
        <f>C7</f>
        <v>217623411.52000001</v>
      </c>
      <c r="E7" s="113"/>
    </row>
    <row r="8" spans="1:6" x14ac:dyDescent="0.25">
      <c r="A8" s="114"/>
      <c r="B8" s="123" t="s">
        <v>389</v>
      </c>
      <c r="C8" s="124">
        <f>Risk0!F29</f>
        <v>657676183.76999998</v>
      </c>
      <c r="D8" s="124">
        <f>C8</f>
        <v>657676183.76999998</v>
      </c>
      <c r="E8" s="113"/>
    </row>
    <row r="9" spans="1:6" s="17" customFormat="1" x14ac:dyDescent="0.25">
      <c r="A9" s="103">
        <v>4</v>
      </c>
      <c r="B9" s="104" t="s">
        <v>395</v>
      </c>
      <c r="C9" s="125">
        <f>'ContractPrice-CDE'!S44-'ContractPrice-CDE'!M44</f>
        <v>327644697.32020211</v>
      </c>
      <c r="D9" s="125">
        <f>'Progress-CDE'!F43-'ContractPrice-CDE'!M44</f>
        <v>42205836.844008684</v>
      </c>
      <c r="E9" s="105"/>
    </row>
    <row r="10" spans="1:6" s="17" customFormat="1" x14ac:dyDescent="0.25">
      <c r="A10" s="106">
        <v>5</v>
      </c>
      <c r="B10" s="107" t="s">
        <v>396</v>
      </c>
      <c r="C10" s="126"/>
      <c r="D10" s="126"/>
      <c r="E10" s="127" t="s">
        <v>404</v>
      </c>
    </row>
    <row r="11" spans="1:6" s="17" customFormat="1" x14ac:dyDescent="0.25">
      <c r="A11" s="106"/>
      <c r="B11" s="121" t="s">
        <v>388</v>
      </c>
      <c r="C11" s="126">
        <f>C9+C7+C5</f>
        <v>2384196941.7362032</v>
      </c>
      <c r="D11" s="203">
        <f>D9+D7+D5</f>
        <v>2401323273.3647747</v>
      </c>
      <c r="E11" s="127" t="s">
        <v>413</v>
      </c>
    </row>
    <row r="12" spans="1:6" x14ac:dyDescent="0.25">
      <c r="A12" s="114"/>
      <c r="B12" s="128" t="s">
        <v>389</v>
      </c>
      <c r="C12" s="120">
        <f>C9+C8+C5</f>
        <v>2824249713.9862032</v>
      </c>
      <c r="D12" s="204">
        <f>D9+D8+D5</f>
        <v>2841376045.6147747</v>
      </c>
      <c r="E12" s="117"/>
    </row>
    <row r="13" spans="1:6" x14ac:dyDescent="0.25">
      <c r="A13" s="110">
        <v>6</v>
      </c>
      <c r="B13" s="107" t="s">
        <v>408</v>
      </c>
      <c r="C13" s="122"/>
      <c r="D13" s="122"/>
      <c r="E13" s="129" t="s">
        <v>402</v>
      </c>
    </row>
    <row r="14" spans="1:6" x14ac:dyDescent="0.25">
      <c r="A14" s="130"/>
      <c r="B14" s="131" t="s">
        <v>388</v>
      </c>
      <c r="C14" s="132">
        <f>C11*1.1</f>
        <v>2622616635.9098239</v>
      </c>
      <c r="D14" s="132">
        <f>D11*1.1</f>
        <v>2641455600.7012525</v>
      </c>
      <c r="E14" s="133" t="s">
        <v>409</v>
      </c>
    </row>
    <row r="15" spans="1:6" x14ac:dyDescent="0.25">
      <c r="A15" s="134"/>
      <c r="B15" s="135" t="s">
        <v>389</v>
      </c>
      <c r="C15" s="136">
        <f>C12*1.1</f>
        <v>3106674685.3848238</v>
      </c>
      <c r="D15" s="136">
        <f>D12*1.1</f>
        <v>3125513650.1762524</v>
      </c>
      <c r="E15" s="137"/>
    </row>
    <row r="16" spans="1:6" s="17" customFormat="1" x14ac:dyDescent="0.25">
      <c r="A16" s="106">
        <v>7</v>
      </c>
      <c r="B16" s="107" t="s">
        <v>386</v>
      </c>
      <c r="C16" s="126"/>
      <c r="D16" s="126"/>
      <c r="E16" s="109"/>
    </row>
    <row r="17" spans="1:5" x14ac:dyDescent="0.25">
      <c r="A17" s="110"/>
      <c r="B17" s="111" t="s">
        <v>391</v>
      </c>
      <c r="C17" s="122">
        <f>'ContractPrice-CDE'!J43</f>
        <v>506939469.54999995</v>
      </c>
      <c r="D17" s="207">
        <f>C17</f>
        <v>506939469.54999995</v>
      </c>
      <c r="E17" s="113"/>
    </row>
    <row r="18" spans="1:5" x14ac:dyDescent="0.25">
      <c r="A18" s="110"/>
      <c r="B18" s="111" t="s">
        <v>399</v>
      </c>
      <c r="C18" s="122">
        <f>'ContractPrice-CDE'!J44-'ContractPrice-CDE'!J43-'ContractPrice-CDE'!F44</f>
        <v>93663117.639998913</v>
      </c>
      <c r="D18" s="138">
        <f>C18</f>
        <v>93663117.639998913</v>
      </c>
      <c r="E18" s="113"/>
    </row>
    <row r="19" spans="1:5" s="95" customFormat="1" x14ac:dyDescent="0.25">
      <c r="A19" s="139"/>
      <c r="B19" s="128" t="s">
        <v>193</v>
      </c>
      <c r="C19" s="140">
        <f>C18+C17</f>
        <v>600602587.18999887</v>
      </c>
      <c r="D19" s="140">
        <f>C19</f>
        <v>600602587.18999887</v>
      </c>
      <c r="E19" s="141"/>
    </row>
    <row r="20" spans="1:5" x14ac:dyDescent="0.25">
      <c r="A20" s="142"/>
      <c r="B20" s="143" t="s">
        <v>410</v>
      </c>
      <c r="C20" s="144" t="s">
        <v>388</v>
      </c>
      <c r="D20" s="206">
        <f>D14+D4-D9</f>
        <v>3539133953.5910501</v>
      </c>
      <c r="E20" s="145"/>
    </row>
    <row r="21" spans="1:5" x14ac:dyDescent="0.25">
      <c r="A21" s="142"/>
      <c r="B21" s="144" t="s">
        <v>411</v>
      </c>
      <c r="C21" s="146" t="s">
        <v>389</v>
      </c>
      <c r="D21" s="206">
        <f>D15+D4-D9</f>
        <v>4023192003.0660505</v>
      </c>
      <c r="E21" s="145"/>
    </row>
    <row r="22" spans="1:5" x14ac:dyDescent="0.25">
      <c r="A22" s="142"/>
      <c r="B22" s="144" t="s">
        <v>412</v>
      </c>
      <c r="C22" s="144"/>
      <c r="D22" s="144"/>
      <c r="E22" s="145"/>
    </row>
    <row r="25" spans="1:5" x14ac:dyDescent="0.25">
      <c r="D25" s="101"/>
    </row>
    <row r="26" spans="1:5" x14ac:dyDescent="0.25">
      <c r="C26" s="10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AD9BA-FEDD-43E1-833F-BB6DE88E4DA6}">
  <dimension ref="A1:F26"/>
  <sheetViews>
    <sheetView zoomScale="145" zoomScaleNormal="145" workbookViewId="0">
      <selection activeCell="C5" sqref="C5"/>
    </sheetView>
  </sheetViews>
  <sheetFormatPr defaultRowHeight="15" x14ac:dyDescent="0.25"/>
  <cols>
    <col min="1" max="1" width="4.140625" style="96" bestFit="1" customWidth="1"/>
    <col min="2" max="2" width="27.7109375" bestFit="1" customWidth="1"/>
    <col min="3" max="3" width="22.140625" style="102" bestFit="1" customWidth="1"/>
    <col min="4" max="4" width="24" style="102" customWidth="1"/>
    <col min="5" max="5" width="20.28515625" customWidth="1"/>
    <col min="6" max="6" width="16.85546875" bestFit="1" customWidth="1"/>
  </cols>
  <sheetData>
    <row r="1" spans="1:6" s="17" customFormat="1" x14ac:dyDescent="0.25">
      <c r="A1" s="170" t="s">
        <v>398</v>
      </c>
      <c r="B1" s="170" t="s">
        <v>220</v>
      </c>
      <c r="C1" s="170" t="s">
        <v>406</v>
      </c>
      <c r="D1" s="170" t="s">
        <v>407</v>
      </c>
      <c r="E1" s="170" t="s">
        <v>393</v>
      </c>
    </row>
    <row r="2" spans="1:6" s="17" customFormat="1" x14ac:dyDescent="0.25">
      <c r="A2" s="174">
        <v>1</v>
      </c>
      <c r="B2" s="174" t="s">
        <v>390</v>
      </c>
      <c r="C2" s="172">
        <v>2960161571.8100009</v>
      </c>
      <c r="D2" s="172">
        <v>2960161571.8100009</v>
      </c>
      <c r="E2" s="173"/>
    </row>
    <row r="3" spans="1:6" x14ac:dyDescent="0.25">
      <c r="A3" s="174"/>
      <c r="B3" s="174" t="s">
        <v>397</v>
      </c>
      <c r="C3" s="190">
        <v>104090311.29600005</v>
      </c>
      <c r="D3" s="190">
        <v>121216642.92457165</v>
      </c>
      <c r="E3" s="175" t="s">
        <v>392</v>
      </c>
    </row>
    <row r="4" spans="1:6" x14ac:dyDescent="0.25">
      <c r="A4" s="176"/>
      <c r="B4" s="177" t="s">
        <v>403</v>
      </c>
      <c r="C4" s="191">
        <v>1225323050.21</v>
      </c>
      <c r="D4" s="191">
        <v>939884189.73380661</v>
      </c>
      <c r="E4" s="178" t="s">
        <v>405</v>
      </c>
    </row>
    <row r="5" spans="1:6" s="17" customFormat="1" x14ac:dyDescent="0.25">
      <c r="A5" s="176">
        <v>2</v>
      </c>
      <c r="B5" s="176" t="s">
        <v>394</v>
      </c>
      <c r="C5" s="192">
        <v>1838928832.8960009</v>
      </c>
      <c r="D5" s="192">
        <v>2141494025.000766</v>
      </c>
      <c r="E5" s="178" t="s">
        <v>400</v>
      </c>
      <c r="F5" s="94"/>
    </row>
    <row r="6" spans="1:6" s="17" customFormat="1" x14ac:dyDescent="0.25">
      <c r="A6" s="174">
        <v>3</v>
      </c>
      <c r="B6" s="174" t="s">
        <v>401</v>
      </c>
      <c r="C6" s="171"/>
      <c r="D6" s="171"/>
      <c r="E6" s="173"/>
    </row>
    <row r="7" spans="1:6" x14ac:dyDescent="0.25">
      <c r="A7" s="174"/>
      <c r="B7" s="174" t="s">
        <v>388</v>
      </c>
      <c r="C7" s="193">
        <v>217623411.52000001</v>
      </c>
      <c r="D7" s="193">
        <v>217623411.52000001</v>
      </c>
      <c r="E7" s="175"/>
    </row>
    <row r="8" spans="1:6" x14ac:dyDescent="0.25">
      <c r="A8" s="176"/>
      <c r="B8" s="176" t="s">
        <v>389</v>
      </c>
      <c r="C8" s="194">
        <v>657676183.76999998</v>
      </c>
      <c r="D8" s="194">
        <v>657676183.76999998</v>
      </c>
      <c r="E8" s="175"/>
    </row>
    <row r="9" spans="1:6" s="17" customFormat="1" x14ac:dyDescent="0.25">
      <c r="A9" s="200">
        <v>4</v>
      </c>
      <c r="B9" s="200" t="s">
        <v>395</v>
      </c>
      <c r="C9" s="195">
        <v>327644697.32020211</v>
      </c>
      <c r="D9" s="195">
        <v>42205836.844008684</v>
      </c>
      <c r="E9" s="179"/>
    </row>
    <row r="10" spans="1:6" s="17" customFormat="1" x14ac:dyDescent="0.25">
      <c r="A10" s="174">
        <v>5</v>
      </c>
      <c r="B10" s="174" t="s">
        <v>396</v>
      </c>
      <c r="C10" s="196"/>
      <c r="D10" s="196"/>
      <c r="E10" s="175" t="s">
        <v>404</v>
      </c>
    </row>
    <row r="11" spans="1:6" s="17" customFormat="1" x14ac:dyDescent="0.25">
      <c r="A11" s="174"/>
      <c r="B11" s="174" t="s">
        <v>388</v>
      </c>
      <c r="C11" s="196">
        <v>2384196941.7362032</v>
      </c>
      <c r="D11" s="196">
        <v>2401323273.3647747</v>
      </c>
      <c r="E11" s="175" t="s">
        <v>413</v>
      </c>
    </row>
    <row r="12" spans="1:6" x14ac:dyDescent="0.25">
      <c r="A12" s="176"/>
      <c r="B12" s="176" t="s">
        <v>389</v>
      </c>
      <c r="C12" s="192">
        <v>2824249713.9862032</v>
      </c>
      <c r="D12" s="192">
        <v>2841376045.6147747</v>
      </c>
      <c r="E12" s="178"/>
    </row>
    <row r="13" spans="1:6" x14ac:dyDescent="0.25">
      <c r="A13" s="174">
        <v>6</v>
      </c>
      <c r="B13" s="174" t="s">
        <v>408</v>
      </c>
      <c r="C13" s="193"/>
      <c r="D13" s="193"/>
      <c r="E13" s="175" t="s">
        <v>402</v>
      </c>
    </row>
    <row r="14" spans="1:6" x14ac:dyDescent="0.25">
      <c r="A14" s="201"/>
      <c r="B14" s="201" t="s">
        <v>388</v>
      </c>
      <c r="C14" s="197">
        <v>2622616635.9098239</v>
      </c>
      <c r="D14" s="197">
        <v>2641455600.7012525</v>
      </c>
      <c r="E14" s="180" t="s">
        <v>409</v>
      </c>
    </row>
    <row r="15" spans="1:6" x14ac:dyDescent="0.25">
      <c r="A15" s="177"/>
      <c r="B15" s="177" t="s">
        <v>389</v>
      </c>
      <c r="C15" s="198">
        <v>3106674685.3848238</v>
      </c>
      <c r="D15" s="198">
        <v>3125513650.1762524</v>
      </c>
      <c r="E15" s="181"/>
    </row>
    <row r="16" spans="1:6" s="17" customFormat="1" x14ac:dyDescent="0.25">
      <c r="A16" s="174">
        <v>7</v>
      </c>
      <c r="B16" s="174" t="s">
        <v>386</v>
      </c>
      <c r="C16" s="196"/>
      <c r="D16" s="196"/>
      <c r="E16" s="173"/>
    </row>
    <row r="17" spans="1:5" x14ac:dyDescent="0.25">
      <c r="A17" s="174"/>
      <c r="B17" s="174" t="s">
        <v>391</v>
      </c>
      <c r="C17" s="193">
        <v>506939469.54999995</v>
      </c>
      <c r="D17" s="199">
        <v>506939469.54999995</v>
      </c>
      <c r="E17" s="175"/>
    </row>
    <row r="18" spans="1:5" x14ac:dyDescent="0.25">
      <c r="A18" s="174"/>
      <c r="B18" s="174" t="s">
        <v>399</v>
      </c>
      <c r="C18" s="193">
        <v>93663117.639998913</v>
      </c>
      <c r="D18" s="199">
        <v>93663117.639998913</v>
      </c>
      <c r="E18" s="175"/>
    </row>
    <row r="19" spans="1:5" s="95" customFormat="1" x14ac:dyDescent="0.25">
      <c r="A19" s="176"/>
      <c r="B19" s="176" t="s">
        <v>193</v>
      </c>
      <c r="C19" s="189">
        <v>600602587.18999887</v>
      </c>
      <c r="D19" s="189">
        <v>600602587.18999887</v>
      </c>
      <c r="E19" s="178"/>
    </row>
    <row r="20" spans="1:5" x14ac:dyDescent="0.25">
      <c r="A20" s="182"/>
      <c r="B20" s="202" t="s">
        <v>410</v>
      </c>
      <c r="C20" s="183"/>
      <c r="D20" s="183"/>
      <c r="E20" s="184"/>
    </row>
    <row r="21" spans="1:5" x14ac:dyDescent="0.25">
      <c r="A21" s="182"/>
      <c r="B21" s="183" t="s">
        <v>411</v>
      </c>
      <c r="C21" s="185"/>
      <c r="D21" s="183"/>
      <c r="E21" s="184"/>
    </row>
    <row r="22" spans="1:5" x14ac:dyDescent="0.25">
      <c r="A22" s="186"/>
      <c r="B22" s="187" t="s">
        <v>412</v>
      </c>
      <c r="C22" s="187"/>
      <c r="D22" s="187"/>
      <c r="E22" s="188"/>
    </row>
    <row r="25" spans="1:5" x14ac:dyDescent="0.25">
      <c r="D25" s="101"/>
    </row>
    <row r="26" spans="1:5" x14ac:dyDescent="0.25">
      <c r="C26" s="10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2811-0F33-499F-A056-9B8CE9D2256F}">
  <dimension ref="A1:D44"/>
  <sheetViews>
    <sheetView workbookViewId="0">
      <selection activeCell="C31" sqref="C31"/>
    </sheetView>
  </sheetViews>
  <sheetFormatPr defaultRowHeight="12.75" x14ac:dyDescent="0.2"/>
  <cols>
    <col min="1" max="1" width="6.5703125" style="149" bestFit="1" customWidth="1"/>
    <col min="2" max="2" width="57.140625" style="149" bestFit="1" customWidth="1"/>
    <col min="3" max="3" width="14.5703125" style="149" bestFit="1" customWidth="1"/>
    <col min="4" max="4" width="12.7109375" style="149" bestFit="1" customWidth="1"/>
    <col min="5" max="16384" width="9.140625" style="149"/>
  </cols>
  <sheetData>
    <row r="1" spans="1:4" ht="25.5" x14ac:dyDescent="0.2">
      <c r="A1" s="150" t="s">
        <v>161</v>
      </c>
      <c r="B1" s="150" t="s">
        <v>162</v>
      </c>
      <c r="C1" s="152" t="s">
        <v>417</v>
      </c>
      <c r="D1" s="152" t="s">
        <v>421</v>
      </c>
    </row>
    <row r="2" spans="1:4" x14ac:dyDescent="0.2">
      <c r="A2" s="150" t="s">
        <v>36</v>
      </c>
      <c r="B2" s="150" t="s">
        <v>170</v>
      </c>
      <c r="C2" s="151">
        <v>9.6999999999999993</v>
      </c>
      <c r="D2" s="151">
        <v>9.6999999999999993</v>
      </c>
    </row>
    <row r="3" spans="1:4" x14ac:dyDescent="0.2">
      <c r="A3" s="150" t="s">
        <v>130</v>
      </c>
      <c r="B3" s="150" t="s">
        <v>171</v>
      </c>
      <c r="C3" s="151">
        <v>365</v>
      </c>
      <c r="D3" s="151">
        <v>530.60188132000007</v>
      </c>
    </row>
    <row r="4" spans="1:4" x14ac:dyDescent="0.2">
      <c r="A4" s="150" t="s">
        <v>172</v>
      </c>
      <c r="B4" s="150" t="s">
        <v>173</v>
      </c>
      <c r="C4" s="151">
        <v>132</v>
      </c>
      <c r="D4" s="151">
        <v>138.24811046000002</v>
      </c>
    </row>
    <row r="5" spans="1:4" x14ac:dyDescent="0.2">
      <c r="A5" s="150" t="s">
        <v>117</v>
      </c>
      <c r="B5" s="150" t="s">
        <v>174</v>
      </c>
      <c r="C5" s="151">
        <v>290.173</v>
      </c>
      <c r="D5" s="151">
        <v>287.12281134999995</v>
      </c>
    </row>
    <row r="6" spans="1:4" x14ac:dyDescent="0.2">
      <c r="A6" s="150" t="s">
        <v>63</v>
      </c>
      <c r="B6" s="150" t="s">
        <v>175</v>
      </c>
      <c r="C6" s="151">
        <v>15</v>
      </c>
      <c r="D6" s="151">
        <v>18.555589590000004</v>
      </c>
    </row>
    <row r="7" spans="1:4" x14ac:dyDescent="0.2">
      <c r="A7" s="150" t="s">
        <v>64</v>
      </c>
      <c r="B7" s="150" t="s">
        <v>176</v>
      </c>
      <c r="C7" s="151">
        <v>15</v>
      </c>
      <c r="D7" s="151">
        <v>19.493889650000003</v>
      </c>
    </row>
    <row r="8" spans="1:4" x14ac:dyDescent="0.2">
      <c r="A8" s="150" t="s">
        <v>86</v>
      </c>
      <c r="B8" s="150" t="s">
        <v>177</v>
      </c>
      <c r="C8" s="151">
        <v>23</v>
      </c>
      <c r="D8" s="151">
        <v>26.239282220000007</v>
      </c>
    </row>
    <row r="9" spans="1:4" x14ac:dyDescent="0.2">
      <c r="A9" s="150" t="s">
        <v>87</v>
      </c>
      <c r="B9" s="150" t="s">
        <v>178</v>
      </c>
      <c r="C9" s="151">
        <v>28</v>
      </c>
      <c r="D9" s="151">
        <v>32.779626349999994</v>
      </c>
    </row>
    <row r="10" spans="1:4" x14ac:dyDescent="0.2">
      <c r="A10" s="150" t="s">
        <v>88</v>
      </c>
      <c r="B10" s="150" t="s">
        <v>179</v>
      </c>
      <c r="C10" s="151">
        <v>22</v>
      </c>
      <c r="D10" s="151">
        <v>22.190996719999998</v>
      </c>
    </row>
    <row r="11" spans="1:4" x14ac:dyDescent="0.2">
      <c r="A11" s="150" t="s">
        <v>65</v>
      </c>
      <c r="B11" s="150" t="s">
        <v>180</v>
      </c>
      <c r="C11" s="151">
        <v>40</v>
      </c>
      <c r="D11" s="151">
        <v>42.228922840000003</v>
      </c>
    </row>
    <row r="12" spans="1:4" x14ac:dyDescent="0.2">
      <c r="A12" s="150" t="s">
        <v>67</v>
      </c>
      <c r="B12" s="150" t="s">
        <v>181</v>
      </c>
      <c r="C12" s="151">
        <v>52.1</v>
      </c>
      <c r="D12" s="151">
        <v>50.337015489999999</v>
      </c>
    </row>
    <row r="13" spans="1:4" x14ac:dyDescent="0.2">
      <c r="A13" s="150" t="s">
        <v>69</v>
      </c>
      <c r="B13" s="150" t="s">
        <v>182</v>
      </c>
      <c r="C13" s="151">
        <v>237.11603386000002</v>
      </c>
      <c r="D13" s="151">
        <v>218.83624911999999</v>
      </c>
    </row>
    <row r="14" spans="1:4" x14ac:dyDescent="0.2">
      <c r="A14" s="150" t="s">
        <v>51</v>
      </c>
      <c r="B14" s="150" t="s">
        <v>183</v>
      </c>
      <c r="C14" s="151">
        <v>227.45634441999999</v>
      </c>
      <c r="D14" s="151">
        <v>242.86025791</v>
      </c>
    </row>
    <row r="15" spans="1:4" x14ac:dyDescent="0.2">
      <c r="A15" s="150" t="s">
        <v>184</v>
      </c>
      <c r="B15" s="150" t="s">
        <v>185</v>
      </c>
      <c r="C15" s="151">
        <v>184.92932349</v>
      </c>
      <c r="D15" s="151">
        <v>193.66180076999999</v>
      </c>
    </row>
    <row r="16" spans="1:4" x14ac:dyDescent="0.2">
      <c r="A16" s="150" t="s">
        <v>71</v>
      </c>
      <c r="B16" s="150" t="s">
        <v>194</v>
      </c>
      <c r="C16" s="151">
        <v>157.32610399999999</v>
      </c>
      <c r="D16" s="151">
        <v>149.04118199999999</v>
      </c>
    </row>
    <row r="17" spans="1:4" x14ac:dyDescent="0.2">
      <c r="A17" s="150" t="s">
        <v>73</v>
      </c>
      <c r="B17" s="150" t="s">
        <v>186</v>
      </c>
      <c r="C17" s="151">
        <v>170.16461541999999</v>
      </c>
      <c r="D17" s="151">
        <v>163.16286629000001</v>
      </c>
    </row>
    <row r="18" spans="1:4" x14ac:dyDescent="0.2">
      <c r="A18" s="150" t="s">
        <v>94</v>
      </c>
      <c r="B18" s="150" t="s">
        <v>187</v>
      </c>
      <c r="C18" s="151">
        <v>59</v>
      </c>
      <c r="D18" s="151">
        <v>57.943212810000006</v>
      </c>
    </row>
    <row r="19" spans="1:4" x14ac:dyDescent="0.2">
      <c r="A19" s="150" t="s">
        <v>118</v>
      </c>
      <c r="B19" s="150" t="s">
        <v>188</v>
      </c>
      <c r="C19" s="151">
        <v>310</v>
      </c>
      <c r="D19" s="151">
        <v>310.77115353999994</v>
      </c>
    </row>
    <row r="20" spans="1:4" x14ac:dyDescent="0.2">
      <c r="A20" s="150" t="s">
        <v>54</v>
      </c>
      <c r="B20" s="150" t="s">
        <v>189</v>
      </c>
      <c r="C20" s="151">
        <v>18.60697055</v>
      </c>
      <c r="D20" s="151">
        <v>17.56456725</v>
      </c>
    </row>
    <row r="21" spans="1:4" x14ac:dyDescent="0.2">
      <c r="A21" s="150" t="s">
        <v>49</v>
      </c>
      <c r="B21" s="150" t="s">
        <v>190</v>
      </c>
      <c r="C21" s="151">
        <v>10.3</v>
      </c>
      <c r="D21" s="151">
        <v>11.3</v>
      </c>
    </row>
    <row r="22" spans="1:4" x14ac:dyDescent="0.2">
      <c r="A22" s="150" t="s">
        <v>91</v>
      </c>
      <c r="B22" s="150" t="s">
        <v>191</v>
      </c>
      <c r="C22" s="151">
        <v>6</v>
      </c>
      <c r="D22" s="151">
        <v>6.0046250999999993</v>
      </c>
    </row>
    <row r="23" spans="1:4" x14ac:dyDescent="0.2">
      <c r="A23" s="150" t="s">
        <v>112</v>
      </c>
      <c r="B23" s="150" t="s">
        <v>14</v>
      </c>
      <c r="C23" s="151">
        <v>0</v>
      </c>
      <c r="D23" s="151">
        <v>0</v>
      </c>
    </row>
    <row r="24" spans="1:4" x14ac:dyDescent="0.2">
      <c r="A24" s="150" t="s">
        <v>16</v>
      </c>
      <c r="B24" s="150" t="s">
        <v>195</v>
      </c>
      <c r="C24" s="151">
        <v>6.1442352900000001</v>
      </c>
      <c r="D24" s="151">
        <v>3.6442352900000001</v>
      </c>
    </row>
    <row r="25" spans="1:4" x14ac:dyDescent="0.2">
      <c r="A25" s="150" t="s">
        <v>19</v>
      </c>
      <c r="B25" s="150" t="s">
        <v>196</v>
      </c>
      <c r="C25" s="151">
        <v>5</v>
      </c>
      <c r="D25" s="151">
        <v>5.7</v>
      </c>
    </row>
    <row r="26" spans="1:4" x14ac:dyDescent="0.2">
      <c r="A26" s="150" t="s">
        <v>22</v>
      </c>
      <c r="B26" s="150" t="s">
        <v>197</v>
      </c>
      <c r="C26" s="151">
        <v>0.24</v>
      </c>
      <c r="D26" s="151">
        <v>0.74</v>
      </c>
    </row>
    <row r="27" spans="1:4" x14ac:dyDescent="0.2">
      <c r="A27" s="150" t="s">
        <v>24</v>
      </c>
      <c r="B27" s="150" t="s">
        <v>198</v>
      </c>
      <c r="C27" s="151">
        <v>2.46428571</v>
      </c>
      <c r="D27" s="151">
        <v>7.9702549999999999</v>
      </c>
    </row>
    <row r="28" spans="1:4" x14ac:dyDescent="0.2">
      <c r="A28" s="150" t="s">
        <v>26</v>
      </c>
      <c r="B28" s="150" t="s">
        <v>199</v>
      </c>
      <c r="C28" s="151">
        <v>3.5</v>
      </c>
      <c r="D28" s="151">
        <v>3.5</v>
      </c>
    </row>
    <row r="29" spans="1:4" x14ac:dyDescent="0.2">
      <c r="A29" s="150" t="s">
        <v>28</v>
      </c>
      <c r="B29" s="150" t="s">
        <v>200</v>
      </c>
      <c r="C29" s="151">
        <v>2.0099999999999998</v>
      </c>
      <c r="D29" s="151">
        <v>2.105</v>
      </c>
    </row>
    <row r="30" spans="1:4" x14ac:dyDescent="0.2">
      <c r="A30" s="150" t="s">
        <v>31</v>
      </c>
      <c r="B30" s="150" t="s">
        <v>201</v>
      </c>
      <c r="C30" s="151">
        <v>0.3</v>
      </c>
      <c r="D30" s="151">
        <v>0.3</v>
      </c>
    </row>
    <row r="31" spans="1:4" x14ac:dyDescent="0.2">
      <c r="A31" s="150" t="s">
        <v>34</v>
      </c>
      <c r="B31" s="150" t="s">
        <v>202</v>
      </c>
      <c r="C31" s="151">
        <v>23.5776</v>
      </c>
      <c r="D31" s="151">
        <v>15</v>
      </c>
    </row>
    <row r="32" spans="1:4" x14ac:dyDescent="0.2">
      <c r="A32" s="150" t="s">
        <v>41</v>
      </c>
      <c r="B32" s="150" t="s">
        <v>203</v>
      </c>
      <c r="C32" s="151">
        <v>6.8927452100000002</v>
      </c>
      <c r="D32" s="151">
        <v>10.39474963</v>
      </c>
    </row>
    <row r="33" spans="1:4" x14ac:dyDescent="0.2">
      <c r="A33" s="150" t="s">
        <v>44</v>
      </c>
      <c r="B33" s="150" t="s">
        <v>204</v>
      </c>
      <c r="C33" s="151">
        <v>92.161304999999999</v>
      </c>
      <c r="D33" s="151">
        <v>80.523674020000001</v>
      </c>
    </row>
    <row r="34" spans="1:4" x14ac:dyDescent="0.2">
      <c r="A34" s="150" t="s">
        <v>47</v>
      </c>
      <c r="B34" s="150" t="s">
        <v>205</v>
      </c>
      <c r="C34" s="151">
        <v>259.59961104000001</v>
      </c>
      <c r="D34" s="151">
        <v>167.74787164</v>
      </c>
    </row>
    <row r="35" spans="1:4" x14ac:dyDescent="0.2">
      <c r="A35" s="150" t="s">
        <v>57</v>
      </c>
      <c r="B35" s="150" t="s">
        <v>206</v>
      </c>
      <c r="C35" s="151">
        <v>13.3</v>
      </c>
      <c r="D35" s="151">
        <v>13.717153099999999</v>
      </c>
    </row>
    <row r="36" spans="1:4" x14ac:dyDescent="0.2">
      <c r="A36" s="150" t="s">
        <v>77</v>
      </c>
      <c r="B36" s="150" t="s">
        <v>192</v>
      </c>
      <c r="C36" s="151">
        <v>35</v>
      </c>
      <c r="D36" s="151">
        <v>37.663906679999997</v>
      </c>
    </row>
    <row r="37" spans="1:4" x14ac:dyDescent="0.2">
      <c r="A37" s="150" t="s">
        <v>75</v>
      </c>
      <c r="B37" s="150" t="s">
        <v>207</v>
      </c>
      <c r="C37" s="151">
        <v>24.140080000000001</v>
      </c>
      <c r="D37" s="151">
        <v>25.640080000000001</v>
      </c>
    </row>
    <row r="38" spans="1:4" x14ac:dyDescent="0.2">
      <c r="A38" s="150" t="s">
        <v>79</v>
      </c>
      <c r="B38" s="150" t="s">
        <v>208</v>
      </c>
      <c r="C38" s="151">
        <v>11.2</v>
      </c>
      <c r="D38" s="151">
        <v>14.290706519999999</v>
      </c>
    </row>
    <row r="39" spans="1:4" x14ac:dyDescent="0.2">
      <c r="A39" s="150" t="s">
        <v>82</v>
      </c>
      <c r="B39" s="150" t="s">
        <v>209</v>
      </c>
      <c r="C39" s="151">
        <v>7.98890951</v>
      </c>
      <c r="D39" s="151">
        <v>8.0533153100000003</v>
      </c>
    </row>
    <row r="40" spans="1:4" x14ac:dyDescent="0.2">
      <c r="A40" s="150" t="s">
        <v>85</v>
      </c>
      <c r="B40" s="150" t="s">
        <v>210</v>
      </c>
      <c r="C40" s="151">
        <v>78</v>
      </c>
      <c r="D40" s="151">
        <v>92.419293170000003</v>
      </c>
    </row>
    <row r="41" spans="1:4" x14ac:dyDescent="0.2">
      <c r="A41" s="150" t="s">
        <v>121</v>
      </c>
      <c r="B41" s="150" t="s">
        <v>211</v>
      </c>
      <c r="C41" s="151">
        <v>14.870408309999998</v>
      </c>
      <c r="D41" s="151">
        <v>14.870408309999998</v>
      </c>
    </row>
    <row r="42" spans="1:4" x14ac:dyDescent="0.2">
      <c r="A42" s="150" t="s">
        <v>89</v>
      </c>
      <c r="B42" s="150" t="s">
        <v>212</v>
      </c>
      <c r="C42" s="151">
        <v>0.9</v>
      </c>
      <c r="D42" s="151">
        <v>0.9</v>
      </c>
    </row>
    <row r="43" spans="1:4" x14ac:dyDescent="0.2">
      <c r="A43" s="150" t="s">
        <v>158</v>
      </c>
      <c r="B43" s="150" t="s">
        <v>213</v>
      </c>
      <c r="C43" s="151">
        <v>0</v>
      </c>
      <c r="D43" s="151">
        <v>506.93946954999996</v>
      </c>
    </row>
    <row r="44" spans="1:4" x14ac:dyDescent="0.2">
      <c r="A44" s="150"/>
      <c r="B44" s="150" t="s">
        <v>193</v>
      </c>
      <c r="C44" s="151">
        <v>2960.1615718100011</v>
      </c>
      <c r="D44" s="151">
        <v>3560.7641590000003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6AD1E-9049-493C-B047-06AD258CD8D4}">
  <dimension ref="A1:K47"/>
  <sheetViews>
    <sheetView view="pageBreakPreview" zoomScale="60" zoomScaleNormal="100" workbookViewId="0">
      <selection activeCell="B3" sqref="A1:XFD3"/>
    </sheetView>
  </sheetViews>
  <sheetFormatPr defaultRowHeight="12.75" x14ac:dyDescent="0.2"/>
  <cols>
    <col min="1" max="1" width="7.7109375" style="149" bestFit="1" customWidth="1"/>
    <col min="2" max="2" width="57.140625" style="149" bestFit="1" customWidth="1"/>
    <col min="3" max="5" width="12" style="149" bestFit="1" customWidth="1"/>
    <col min="6" max="6" width="14.5703125" style="149" bestFit="1" customWidth="1"/>
    <col min="7" max="9" width="12" style="149" bestFit="1" customWidth="1"/>
    <col min="10" max="10" width="12.7109375" style="149" bestFit="1" customWidth="1"/>
    <col min="11" max="16384" width="9.140625" style="149"/>
  </cols>
  <sheetData>
    <row r="1" spans="1:11" s="154" customFormat="1" ht="23.25" x14ac:dyDescent="0.35">
      <c r="A1" s="156" t="s">
        <v>422</v>
      </c>
      <c r="B1" s="153"/>
      <c r="J1" s="155"/>
      <c r="K1" s="155"/>
    </row>
    <row r="2" spans="1:11" s="154" customFormat="1" ht="23.25" x14ac:dyDescent="0.35">
      <c r="A2" s="156" t="s">
        <v>423</v>
      </c>
      <c r="B2" s="153"/>
      <c r="J2" s="155"/>
      <c r="K2" s="155"/>
    </row>
    <row r="4" spans="1:11" ht="25.5" x14ac:dyDescent="0.2">
      <c r="A4" s="157" t="s">
        <v>161</v>
      </c>
      <c r="B4" s="157" t="s">
        <v>162</v>
      </c>
      <c r="C4" s="158" t="s">
        <v>414</v>
      </c>
      <c r="D4" s="158" t="s">
        <v>415</v>
      </c>
      <c r="E4" s="158" t="s">
        <v>416</v>
      </c>
      <c r="F4" s="158" t="s">
        <v>417</v>
      </c>
      <c r="G4" s="158" t="s">
        <v>418</v>
      </c>
      <c r="H4" s="158" t="s">
        <v>419</v>
      </c>
      <c r="I4" s="158" t="s">
        <v>420</v>
      </c>
      <c r="J4" s="158" t="s">
        <v>421</v>
      </c>
    </row>
    <row r="5" spans="1:11" x14ac:dyDescent="0.2">
      <c r="A5" s="150" t="s">
        <v>36</v>
      </c>
      <c r="B5" s="150" t="s">
        <v>170</v>
      </c>
      <c r="C5" s="151">
        <v>2.78681</v>
      </c>
      <c r="D5" s="151">
        <v>2.7421899999999999</v>
      </c>
      <c r="E5" s="151">
        <v>4.1710000000000003</v>
      </c>
      <c r="F5" s="151">
        <v>9.6999999999999993</v>
      </c>
      <c r="G5" s="151">
        <v>2.78681</v>
      </c>
      <c r="H5" s="151">
        <v>2.7421899999999999</v>
      </c>
      <c r="I5" s="151">
        <v>4.1710000000000003</v>
      </c>
      <c r="J5" s="151">
        <v>9.6999999999999993</v>
      </c>
    </row>
    <row r="6" spans="1:11" x14ac:dyDescent="0.2">
      <c r="A6" s="150" t="s">
        <v>130</v>
      </c>
      <c r="B6" s="150" t="s">
        <v>171</v>
      </c>
      <c r="C6" s="151">
        <v>104.86450000000001</v>
      </c>
      <c r="D6" s="151">
        <v>103.1855</v>
      </c>
      <c r="E6" s="151">
        <v>156.94999999999999</v>
      </c>
      <c r="F6" s="151">
        <v>365</v>
      </c>
      <c r="G6" s="151">
        <v>152.44192050000001</v>
      </c>
      <c r="H6" s="151">
        <v>150.00115184999999</v>
      </c>
      <c r="I6" s="151">
        <v>228.15880897</v>
      </c>
      <c r="J6" s="151">
        <v>530.60188132000007</v>
      </c>
    </row>
    <row r="7" spans="1:11" x14ac:dyDescent="0.2">
      <c r="A7" s="150" t="s">
        <v>172</v>
      </c>
      <c r="B7" s="150" t="s">
        <v>173</v>
      </c>
      <c r="C7" s="151">
        <v>37.9236</v>
      </c>
      <c r="D7" s="151">
        <v>37.316400000000002</v>
      </c>
      <c r="E7" s="151">
        <v>56.76</v>
      </c>
      <c r="F7" s="151">
        <v>132</v>
      </c>
      <c r="G7" s="151">
        <v>39.718682130000005</v>
      </c>
      <c r="H7" s="151">
        <v>39.082740830000006</v>
      </c>
      <c r="I7" s="151">
        <v>59.446687499999996</v>
      </c>
      <c r="J7" s="151">
        <v>138.24811046000002</v>
      </c>
    </row>
    <row r="8" spans="1:11" x14ac:dyDescent="0.2">
      <c r="A8" s="150" t="s">
        <v>117</v>
      </c>
      <c r="B8" s="150" t="s">
        <v>174</v>
      </c>
      <c r="C8" s="151">
        <v>83.366702900000007</v>
      </c>
      <c r="D8" s="151">
        <v>82.031907099999998</v>
      </c>
      <c r="E8" s="151">
        <v>124.77439</v>
      </c>
      <c r="F8" s="151">
        <v>290.173</v>
      </c>
      <c r="G8" s="151">
        <v>82.490383699999981</v>
      </c>
      <c r="H8" s="151">
        <v>81.16961877</v>
      </c>
      <c r="I8" s="151">
        <v>123.46280888</v>
      </c>
      <c r="J8" s="151">
        <v>287.12281134999995</v>
      </c>
    </row>
    <row r="9" spans="1:11" x14ac:dyDescent="0.2">
      <c r="A9" s="150" t="s">
        <v>63</v>
      </c>
      <c r="B9" s="150" t="s">
        <v>175</v>
      </c>
      <c r="C9" s="151">
        <v>4.3094999999999999</v>
      </c>
      <c r="D9" s="151">
        <v>4.2404999999999999</v>
      </c>
      <c r="E9" s="151">
        <v>6.45</v>
      </c>
      <c r="F9" s="151">
        <v>15</v>
      </c>
      <c r="G9" s="151">
        <v>5.3310208899999996</v>
      </c>
      <c r="H9" s="151">
        <v>5.2456651800000005</v>
      </c>
      <c r="I9" s="151">
        <v>7.9789035200000011</v>
      </c>
      <c r="J9" s="151">
        <v>18.555589590000004</v>
      </c>
    </row>
    <row r="10" spans="1:11" x14ac:dyDescent="0.2">
      <c r="A10" s="150" t="s">
        <v>64</v>
      </c>
      <c r="B10" s="150" t="s">
        <v>176</v>
      </c>
      <c r="C10" s="151">
        <v>4.3094999999999999</v>
      </c>
      <c r="D10" s="151">
        <v>4.2404999999999999</v>
      </c>
      <c r="E10" s="151">
        <v>6.45</v>
      </c>
      <c r="F10" s="151">
        <v>15</v>
      </c>
      <c r="G10" s="151">
        <v>5.6005944999999997</v>
      </c>
      <c r="H10" s="151">
        <v>5.5109226000000007</v>
      </c>
      <c r="I10" s="151">
        <v>8.3823725499999995</v>
      </c>
      <c r="J10" s="151">
        <v>19.493889650000003</v>
      </c>
    </row>
    <row r="11" spans="1:11" x14ac:dyDescent="0.2">
      <c r="A11" s="150" t="s">
        <v>86</v>
      </c>
      <c r="B11" s="150" t="s">
        <v>177</v>
      </c>
      <c r="C11" s="151">
        <v>6.6078999999999999</v>
      </c>
      <c r="D11" s="151">
        <v>6.5021000000000004</v>
      </c>
      <c r="E11" s="151">
        <v>9.89</v>
      </c>
      <c r="F11" s="151">
        <v>23</v>
      </c>
      <c r="G11" s="151">
        <v>7.5385457800000015</v>
      </c>
      <c r="H11" s="151">
        <v>7.4178450900000019</v>
      </c>
      <c r="I11" s="151">
        <v>11.282891350000002</v>
      </c>
      <c r="J11" s="151">
        <v>26.239282220000007</v>
      </c>
    </row>
    <row r="12" spans="1:11" x14ac:dyDescent="0.2">
      <c r="A12" s="150" t="s">
        <v>87</v>
      </c>
      <c r="B12" s="150" t="s">
        <v>178</v>
      </c>
      <c r="C12" s="151">
        <v>8.0443999999999996</v>
      </c>
      <c r="D12" s="151">
        <v>7.9156000000000004</v>
      </c>
      <c r="E12" s="151">
        <v>12.04</v>
      </c>
      <c r="F12" s="151">
        <v>28</v>
      </c>
      <c r="G12" s="151">
        <v>9.4175866499999987</v>
      </c>
      <c r="H12" s="151">
        <v>9.2668003699999986</v>
      </c>
      <c r="I12" s="151">
        <v>14.095239329999998</v>
      </c>
      <c r="J12" s="151">
        <v>32.779626349999994</v>
      </c>
    </row>
    <row r="13" spans="1:11" x14ac:dyDescent="0.2">
      <c r="A13" s="150" t="s">
        <v>88</v>
      </c>
      <c r="B13" s="150" t="s">
        <v>179</v>
      </c>
      <c r="C13" s="151">
        <v>6.3205999999999998</v>
      </c>
      <c r="D13" s="151">
        <v>6.2194000000000003</v>
      </c>
      <c r="E13" s="151">
        <v>9.4600000000000009</v>
      </c>
      <c r="F13" s="151">
        <v>22</v>
      </c>
      <c r="G13" s="151">
        <v>6.3754733599999991</v>
      </c>
      <c r="H13" s="151">
        <v>6.2733947699999995</v>
      </c>
      <c r="I13" s="151">
        <v>9.542128589999999</v>
      </c>
      <c r="J13" s="151">
        <v>22.190996719999998</v>
      </c>
    </row>
    <row r="14" spans="1:11" x14ac:dyDescent="0.2">
      <c r="A14" s="150" t="s">
        <v>65</v>
      </c>
      <c r="B14" s="150" t="s">
        <v>180</v>
      </c>
      <c r="C14" s="151">
        <v>11.492000000000001</v>
      </c>
      <c r="D14" s="151">
        <v>11.308</v>
      </c>
      <c r="E14" s="151">
        <v>17.2</v>
      </c>
      <c r="F14" s="151">
        <v>40</v>
      </c>
      <c r="G14" s="151">
        <v>12.13236953</v>
      </c>
      <c r="H14" s="151">
        <v>11.938116490000001</v>
      </c>
      <c r="I14" s="151">
        <v>18.158436819999999</v>
      </c>
      <c r="J14" s="151">
        <v>42.228922840000003</v>
      </c>
    </row>
    <row r="15" spans="1:11" x14ac:dyDescent="0.2">
      <c r="A15" s="150" t="s">
        <v>67</v>
      </c>
      <c r="B15" s="150" t="s">
        <v>181</v>
      </c>
      <c r="C15" s="151">
        <v>14.96833</v>
      </c>
      <c r="D15" s="151">
        <v>14.728669999999999</v>
      </c>
      <c r="E15" s="151">
        <v>22.402999999999999</v>
      </c>
      <c r="F15" s="151">
        <v>52.1</v>
      </c>
      <c r="G15" s="151">
        <v>14.461824550000001</v>
      </c>
      <c r="H15" s="151">
        <v>14.230274280000001</v>
      </c>
      <c r="I15" s="151">
        <v>21.64491666</v>
      </c>
      <c r="J15" s="151">
        <v>50.337015489999999</v>
      </c>
    </row>
    <row r="16" spans="1:11" x14ac:dyDescent="0.2">
      <c r="A16" s="150" t="s">
        <v>69</v>
      </c>
      <c r="B16" s="150" t="s">
        <v>182</v>
      </c>
      <c r="C16" s="151">
        <v>68.123436530000006</v>
      </c>
      <c r="D16" s="151">
        <v>67.03270277</v>
      </c>
      <c r="E16" s="151">
        <v>101.95989456000001</v>
      </c>
      <c r="F16" s="151">
        <v>237.11603386000002</v>
      </c>
      <c r="G16" s="151">
        <v>62.871654370000002</v>
      </c>
      <c r="H16" s="151">
        <v>61.865007629999994</v>
      </c>
      <c r="I16" s="151">
        <v>94.09958712000001</v>
      </c>
      <c r="J16" s="151">
        <v>218.83624911999999</v>
      </c>
    </row>
    <row r="17" spans="1:10" x14ac:dyDescent="0.2">
      <c r="A17" s="150" t="s">
        <v>51</v>
      </c>
      <c r="B17" s="150" t="s">
        <v>183</v>
      </c>
      <c r="C17" s="151">
        <v>65.34820775</v>
      </c>
      <c r="D17" s="151">
        <v>64.301908569999995</v>
      </c>
      <c r="E17" s="151">
        <v>97.806228099999998</v>
      </c>
      <c r="F17" s="151">
        <v>227.45634441999999</v>
      </c>
      <c r="G17" s="151">
        <v>69.773752090000002</v>
      </c>
      <c r="H17" s="151">
        <v>68.656594909999995</v>
      </c>
      <c r="I17" s="151">
        <v>104.42991090999999</v>
      </c>
      <c r="J17" s="151">
        <v>242.86025791</v>
      </c>
    </row>
    <row r="18" spans="1:10" x14ac:dyDescent="0.2">
      <c r="A18" s="150" t="s">
        <v>184</v>
      </c>
      <c r="B18" s="150" t="s">
        <v>185</v>
      </c>
      <c r="C18" s="151">
        <v>53.130194639999999</v>
      </c>
      <c r="D18" s="151">
        <v>52.279519749999999</v>
      </c>
      <c r="E18" s="151">
        <v>79.519609099999997</v>
      </c>
      <c r="F18" s="151">
        <v>184.92932349</v>
      </c>
      <c r="G18" s="151">
        <v>55.639035360000001</v>
      </c>
      <c r="H18" s="151">
        <v>54.748191079999998</v>
      </c>
      <c r="I18" s="151">
        <v>83.274574329999993</v>
      </c>
      <c r="J18" s="151">
        <v>193.66180076999999</v>
      </c>
    </row>
    <row r="19" spans="1:10" x14ac:dyDescent="0.2">
      <c r="A19" s="150" t="s">
        <v>71</v>
      </c>
      <c r="B19" s="150" t="s">
        <v>194</v>
      </c>
      <c r="C19" s="151">
        <v>45.199789680000002</v>
      </c>
      <c r="D19" s="151">
        <v>44.476089600000002</v>
      </c>
      <c r="E19" s="151">
        <v>67.650224719999997</v>
      </c>
      <c r="F19" s="151">
        <v>157.32610399999999</v>
      </c>
      <c r="G19" s="151">
        <v>42.819531590000004</v>
      </c>
      <c r="H19" s="151">
        <v>42.133942149999996</v>
      </c>
      <c r="I19" s="151">
        <v>64.087708259999999</v>
      </c>
      <c r="J19" s="151">
        <v>149.04118199999999</v>
      </c>
    </row>
    <row r="20" spans="1:10" x14ac:dyDescent="0.2">
      <c r="A20" s="150" t="s">
        <v>73</v>
      </c>
      <c r="B20" s="150" t="s">
        <v>186</v>
      </c>
      <c r="C20" s="151">
        <v>48.888294009999996</v>
      </c>
      <c r="D20" s="151">
        <v>48.105536780000001</v>
      </c>
      <c r="E20" s="151">
        <v>73.17078463</v>
      </c>
      <c r="F20" s="151">
        <v>170.16461541999999</v>
      </c>
      <c r="G20" s="151">
        <v>46.876691489999999</v>
      </c>
      <c r="H20" s="151">
        <v>46.126142300000005</v>
      </c>
      <c r="I20" s="151">
        <v>70.1600325</v>
      </c>
      <c r="J20" s="151">
        <v>163.16286629000001</v>
      </c>
    </row>
    <row r="21" spans="1:10" x14ac:dyDescent="0.2">
      <c r="A21" s="150" t="s">
        <v>94</v>
      </c>
      <c r="B21" s="150" t="s">
        <v>187</v>
      </c>
      <c r="C21" s="151">
        <v>16.950700000000001</v>
      </c>
      <c r="D21" s="151">
        <v>16.679300000000001</v>
      </c>
      <c r="E21" s="151">
        <v>25.37</v>
      </c>
      <c r="F21" s="151">
        <v>59</v>
      </c>
      <c r="G21" s="151">
        <v>16.64708504</v>
      </c>
      <c r="H21" s="151">
        <v>16.380546259999999</v>
      </c>
      <c r="I21" s="151">
        <v>24.915581510000003</v>
      </c>
      <c r="J21" s="151">
        <v>57.943212810000006</v>
      </c>
    </row>
    <row r="22" spans="1:10" x14ac:dyDescent="0.2">
      <c r="A22" s="150" t="s">
        <v>118</v>
      </c>
      <c r="B22" s="150" t="s">
        <v>188</v>
      </c>
      <c r="C22" s="151">
        <v>89.063000000000002</v>
      </c>
      <c r="D22" s="151">
        <v>87.637</v>
      </c>
      <c r="E22" s="151">
        <v>133.30000000000001</v>
      </c>
      <c r="F22" s="151">
        <v>310</v>
      </c>
      <c r="G22" s="151">
        <v>89.284552410000003</v>
      </c>
      <c r="H22" s="151">
        <v>87.855005100000014</v>
      </c>
      <c r="I22" s="151">
        <v>133.63159603</v>
      </c>
      <c r="J22" s="151">
        <v>310.77115353999994</v>
      </c>
    </row>
    <row r="23" spans="1:10" x14ac:dyDescent="0.2">
      <c r="A23" s="150" t="s">
        <v>54</v>
      </c>
      <c r="B23" s="150" t="s">
        <v>189</v>
      </c>
      <c r="C23" s="151">
        <v>5.3457826399999995</v>
      </c>
      <c r="D23" s="151">
        <v>5.2601905700000007</v>
      </c>
      <c r="E23" s="151">
        <v>8.0009973399999996</v>
      </c>
      <c r="F23" s="151">
        <v>18.60697055</v>
      </c>
      <c r="G23" s="151">
        <v>5.0463001700000003</v>
      </c>
      <c r="H23" s="151">
        <v>4.9655031599999999</v>
      </c>
      <c r="I23" s="151">
        <v>7.5527639200000003</v>
      </c>
      <c r="J23" s="151">
        <v>17.56456725</v>
      </c>
    </row>
    <row r="24" spans="1:10" x14ac:dyDescent="0.2">
      <c r="A24" s="150" t="s">
        <v>49</v>
      </c>
      <c r="B24" s="150" t="s">
        <v>190</v>
      </c>
      <c r="C24" s="151">
        <v>2.95919</v>
      </c>
      <c r="D24" s="151">
        <v>2.91181</v>
      </c>
      <c r="E24" s="151">
        <v>4.4290000000000003</v>
      </c>
      <c r="F24" s="151">
        <v>10.3</v>
      </c>
      <c r="G24" s="151">
        <v>3.2464900000000001</v>
      </c>
      <c r="H24" s="151">
        <v>3.1945100000000002</v>
      </c>
      <c r="I24" s="151">
        <v>4.859</v>
      </c>
      <c r="J24" s="151">
        <v>11.3</v>
      </c>
    </row>
    <row r="25" spans="1:10" x14ac:dyDescent="0.2">
      <c r="A25" s="150" t="s">
        <v>91</v>
      </c>
      <c r="B25" s="150" t="s">
        <v>191</v>
      </c>
      <c r="C25" s="151">
        <v>1.7238</v>
      </c>
      <c r="D25" s="151">
        <v>1.6961999999999999</v>
      </c>
      <c r="E25" s="151">
        <v>2.58</v>
      </c>
      <c r="F25" s="151">
        <v>6</v>
      </c>
      <c r="G25" s="151">
        <v>1.7251287900000001</v>
      </c>
      <c r="H25" s="151">
        <v>1.69750752</v>
      </c>
      <c r="I25" s="151">
        <v>2.58198879</v>
      </c>
      <c r="J25" s="151">
        <v>6.0046250999999993</v>
      </c>
    </row>
    <row r="26" spans="1:10" x14ac:dyDescent="0.2">
      <c r="A26" s="150" t="s">
        <v>112</v>
      </c>
      <c r="B26" s="150" t="s">
        <v>14</v>
      </c>
      <c r="C26" s="151">
        <v>0</v>
      </c>
      <c r="D26" s="151">
        <v>0</v>
      </c>
      <c r="E26" s="151">
        <v>0</v>
      </c>
      <c r="F26" s="151">
        <v>0</v>
      </c>
      <c r="G26" s="151">
        <v>0</v>
      </c>
      <c r="H26" s="151">
        <v>0</v>
      </c>
      <c r="I26" s="151">
        <v>0</v>
      </c>
      <c r="J26" s="151">
        <v>0</v>
      </c>
    </row>
    <row r="27" spans="1:10" x14ac:dyDescent="0.2">
      <c r="A27" s="150" t="s">
        <v>16</v>
      </c>
      <c r="B27" s="150" t="s">
        <v>195</v>
      </c>
      <c r="C27" s="151">
        <v>1.7652388000000001</v>
      </c>
      <c r="D27" s="151">
        <v>1.73697532</v>
      </c>
      <c r="E27" s="151">
        <v>2.64202117</v>
      </c>
      <c r="F27" s="151">
        <v>6.1442352900000001</v>
      </c>
      <c r="G27" s="151">
        <v>1.0469888000000001</v>
      </c>
      <c r="H27" s="151">
        <v>1.03022532</v>
      </c>
      <c r="I27" s="151">
        <v>1.5670211699999999</v>
      </c>
      <c r="J27" s="151">
        <v>3.6442352900000001</v>
      </c>
    </row>
    <row r="28" spans="1:10" x14ac:dyDescent="0.2">
      <c r="A28" s="150" t="s">
        <v>19</v>
      </c>
      <c r="B28" s="150" t="s">
        <v>196</v>
      </c>
      <c r="C28" s="151">
        <v>1.4365000000000001</v>
      </c>
      <c r="D28" s="151">
        <v>1.4135</v>
      </c>
      <c r="E28" s="151">
        <v>2.15</v>
      </c>
      <c r="F28" s="151">
        <v>5</v>
      </c>
      <c r="G28" s="151">
        <v>1.63761</v>
      </c>
      <c r="H28" s="151">
        <v>1.6113900000000001</v>
      </c>
      <c r="I28" s="151">
        <v>2.4510000000000001</v>
      </c>
      <c r="J28" s="151">
        <v>5.7</v>
      </c>
    </row>
    <row r="29" spans="1:10" x14ac:dyDescent="0.2">
      <c r="A29" s="150" t="s">
        <v>22</v>
      </c>
      <c r="B29" s="150" t="s">
        <v>197</v>
      </c>
      <c r="C29" s="151">
        <v>6.8951999999999999E-2</v>
      </c>
      <c r="D29" s="151">
        <v>6.7848000000000006E-2</v>
      </c>
      <c r="E29" s="151">
        <v>0.1032</v>
      </c>
      <c r="F29" s="151">
        <v>0.24</v>
      </c>
      <c r="G29" s="151">
        <v>0.21260200000000001</v>
      </c>
      <c r="H29" s="151">
        <v>0.209198</v>
      </c>
      <c r="I29" s="151">
        <v>0.31819999999999998</v>
      </c>
      <c r="J29" s="151">
        <v>0.74</v>
      </c>
    </row>
    <row r="30" spans="1:10" x14ac:dyDescent="0.2">
      <c r="A30" s="150" t="s">
        <v>24</v>
      </c>
      <c r="B30" s="150" t="s">
        <v>198</v>
      </c>
      <c r="C30" s="151">
        <v>0.70798928000000005</v>
      </c>
      <c r="D30" s="151">
        <v>0.69665356999999994</v>
      </c>
      <c r="E30" s="151">
        <v>1.0596428600000001</v>
      </c>
      <c r="F30" s="151">
        <v>2.46428571</v>
      </c>
      <c r="G30" s="151">
        <v>2.2898542599999998</v>
      </c>
      <c r="H30" s="151">
        <v>2.2531910900000001</v>
      </c>
      <c r="I30" s="151">
        <v>3.4272096500000004</v>
      </c>
      <c r="J30" s="151">
        <v>7.9702549999999999</v>
      </c>
    </row>
    <row r="31" spans="1:10" x14ac:dyDescent="0.2">
      <c r="A31" s="150" t="s">
        <v>26</v>
      </c>
      <c r="B31" s="150" t="s">
        <v>199</v>
      </c>
      <c r="C31" s="151">
        <v>1.0055499999999999</v>
      </c>
      <c r="D31" s="151">
        <v>0.98945000000000005</v>
      </c>
      <c r="E31" s="151">
        <v>1.5049999999999999</v>
      </c>
      <c r="F31" s="151">
        <v>3.5</v>
      </c>
      <c r="G31" s="151">
        <v>1.0055499999999999</v>
      </c>
      <c r="H31" s="151">
        <v>0.98945000000000005</v>
      </c>
      <c r="I31" s="151">
        <v>1.5049999999999999</v>
      </c>
      <c r="J31" s="151">
        <v>3.5</v>
      </c>
    </row>
    <row r="32" spans="1:10" x14ac:dyDescent="0.2">
      <c r="A32" s="150" t="s">
        <v>28</v>
      </c>
      <c r="B32" s="150" t="s">
        <v>200</v>
      </c>
      <c r="C32" s="151">
        <v>0.57747300000000001</v>
      </c>
      <c r="D32" s="151">
        <v>0.56822700000000004</v>
      </c>
      <c r="E32" s="151">
        <v>0.86429999999999996</v>
      </c>
      <c r="F32" s="151">
        <v>2.0099999999999998</v>
      </c>
      <c r="G32" s="151">
        <v>0.60476649999999998</v>
      </c>
      <c r="H32" s="151">
        <v>0.59508349999999999</v>
      </c>
      <c r="I32" s="151">
        <v>0.90515000000000001</v>
      </c>
      <c r="J32" s="151">
        <v>2.105</v>
      </c>
    </row>
    <row r="33" spans="1:10" x14ac:dyDescent="0.2">
      <c r="A33" s="150" t="s">
        <v>31</v>
      </c>
      <c r="B33" s="150" t="s">
        <v>201</v>
      </c>
      <c r="C33" s="151">
        <v>8.6190000000000003E-2</v>
      </c>
      <c r="D33" s="151">
        <v>8.4809999999999997E-2</v>
      </c>
      <c r="E33" s="151">
        <v>0.129</v>
      </c>
      <c r="F33" s="151">
        <v>0.3</v>
      </c>
      <c r="G33" s="151">
        <v>8.6190000000000003E-2</v>
      </c>
      <c r="H33" s="151">
        <v>8.4809999999999997E-2</v>
      </c>
      <c r="I33" s="151">
        <v>0.129</v>
      </c>
      <c r="J33" s="151">
        <v>0.3</v>
      </c>
    </row>
    <row r="34" spans="1:10" x14ac:dyDescent="0.2">
      <c r="A34" s="150" t="s">
        <v>34</v>
      </c>
      <c r="B34" s="150" t="s">
        <v>202</v>
      </c>
      <c r="C34" s="151">
        <v>6.7738444800000002</v>
      </c>
      <c r="D34" s="151">
        <v>6.6653875199999995</v>
      </c>
      <c r="E34" s="151">
        <v>10.138368</v>
      </c>
      <c r="F34" s="151">
        <v>23.5776</v>
      </c>
      <c r="G34" s="151">
        <v>4.3094999999999999</v>
      </c>
      <c r="H34" s="151">
        <v>4.2404999999999999</v>
      </c>
      <c r="I34" s="151">
        <v>6.45</v>
      </c>
      <c r="J34" s="151">
        <v>15</v>
      </c>
    </row>
    <row r="35" spans="1:10" x14ac:dyDescent="0.2">
      <c r="A35" s="150" t="s">
        <v>41</v>
      </c>
      <c r="B35" s="150" t="s">
        <v>203</v>
      </c>
      <c r="C35" s="151">
        <v>1.9802857</v>
      </c>
      <c r="D35" s="151">
        <v>1.9485790700000001</v>
      </c>
      <c r="E35" s="151">
        <v>2.9638804400000001</v>
      </c>
      <c r="F35" s="151">
        <v>6.8927452100000002</v>
      </c>
      <c r="G35" s="151">
        <v>2.98641157</v>
      </c>
      <c r="H35" s="151">
        <v>2.9385957200000004</v>
      </c>
      <c r="I35" s="151">
        <v>4.4697423399999998</v>
      </c>
      <c r="J35" s="151">
        <v>10.39474963</v>
      </c>
    </row>
    <row r="36" spans="1:10" x14ac:dyDescent="0.2">
      <c r="A36" s="150" t="s">
        <v>44</v>
      </c>
      <c r="B36" s="150" t="s">
        <v>204</v>
      </c>
      <c r="C36" s="151">
        <v>26.477942930000001</v>
      </c>
      <c r="D36" s="151">
        <v>26.054000920000004</v>
      </c>
      <c r="E36" s="151">
        <v>39.629361150000001</v>
      </c>
      <c r="F36" s="151">
        <v>92.161304999999999</v>
      </c>
      <c r="G36" s="151">
        <v>23.134451550000001</v>
      </c>
      <c r="H36" s="151">
        <v>22.76404264</v>
      </c>
      <c r="I36" s="151">
        <v>34.62517983</v>
      </c>
      <c r="J36" s="151">
        <v>80.523674020000001</v>
      </c>
    </row>
    <row r="37" spans="1:10" x14ac:dyDescent="0.2">
      <c r="A37" s="150" t="s">
        <v>47</v>
      </c>
      <c r="B37" s="150" t="s">
        <v>205</v>
      </c>
      <c r="C37" s="151">
        <v>74.582968249999993</v>
      </c>
      <c r="D37" s="151">
        <v>73.38881004000001</v>
      </c>
      <c r="E37" s="151">
        <v>111.62783275</v>
      </c>
      <c r="F37" s="151">
        <v>259.59961104000001</v>
      </c>
      <c r="G37" s="151">
        <v>48.193963519999997</v>
      </c>
      <c r="H37" s="151">
        <v>47.422323310000003</v>
      </c>
      <c r="I37" s="151">
        <v>72.131584810000007</v>
      </c>
      <c r="J37" s="151">
        <v>167.74787164</v>
      </c>
    </row>
    <row r="38" spans="1:10" x14ac:dyDescent="0.2">
      <c r="A38" s="150" t="s">
        <v>57</v>
      </c>
      <c r="B38" s="150" t="s">
        <v>206</v>
      </c>
      <c r="C38" s="151">
        <v>3.8210899999999999</v>
      </c>
      <c r="D38" s="151">
        <v>3.7599100000000001</v>
      </c>
      <c r="E38" s="151">
        <v>5.7190000000000003</v>
      </c>
      <c r="F38" s="151">
        <v>13.3</v>
      </c>
      <c r="G38" s="151">
        <v>3.9409380899999999</v>
      </c>
      <c r="H38" s="151">
        <v>3.8778391799999996</v>
      </c>
      <c r="I38" s="151">
        <v>5.89837583</v>
      </c>
      <c r="J38" s="151">
        <v>13.717153099999999</v>
      </c>
    </row>
    <row r="39" spans="1:10" x14ac:dyDescent="0.2">
      <c r="A39" s="150" t="s">
        <v>77</v>
      </c>
      <c r="B39" s="150" t="s">
        <v>192</v>
      </c>
      <c r="C39" s="151">
        <v>10.0555</v>
      </c>
      <c r="D39" s="151">
        <v>9.8945000000000007</v>
      </c>
      <c r="E39" s="151">
        <v>15.05</v>
      </c>
      <c r="F39" s="151">
        <v>35</v>
      </c>
      <c r="G39" s="151">
        <v>10.820840390000001</v>
      </c>
      <c r="H39" s="151">
        <v>10.64758642</v>
      </c>
      <c r="I39" s="151">
        <v>16.19547987</v>
      </c>
      <c r="J39" s="151">
        <v>37.663906679999997</v>
      </c>
    </row>
    <row r="40" spans="1:10" x14ac:dyDescent="0.2">
      <c r="A40" s="150" t="s">
        <v>75</v>
      </c>
      <c r="B40" s="150" t="s">
        <v>207</v>
      </c>
      <c r="C40" s="151">
        <v>6.9354449800000006</v>
      </c>
      <c r="D40" s="151">
        <v>6.8244006200000005</v>
      </c>
      <c r="E40" s="151">
        <v>10.380234400000001</v>
      </c>
      <c r="F40" s="151">
        <v>24.140080000000001</v>
      </c>
      <c r="G40" s="151">
        <v>7.3663949799999981</v>
      </c>
      <c r="H40" s="151">
        <v>7.248450619999999</v>
      </c>
      <c r="I40" s="151">
        <v>11.0252344</v>
      </c>
      <c r="J40" s="151">
        <v>25.640080000000001</v>
      </c>
    </row>
    <row r="41" spans="1:10" x14ac:dyDescent="0.2">
      <c r="A41" s="150" t="s">
        <v>79</v>
      </c>
      <c r="B41" s="150" t="s">
        <v>208</v>
      </c>
      <c r="C41" s="151">
        <v>3.2177600000000002</v>
      </c>
      <c r="D41" s="151">
        <v>3.1662400000000002</v>
      </c>
      <c r="E41" s="151">
        <v>4.8159999999999998</v>
      </c>
      <c r="F41" s="151">
        <v>11.2</v>
      </c>
      <c r="G41" s="151">
        <v>4.1057199899999999</v>
      </c>
      <c r="H41" s="151">
        <v>4.0399827299999993</v>
      </c>
      <c r="I41" s="151">
        <v>6.1450038000000005</v>
      </c>
      <c r="J41" s="151">
        <v>14.290706519999999</v>
      </c>
    </row>
    <row r="42" spans="1:10" x14ac:dyDescent="0.2">
      <c r="A42" s="150" t="s">
        <v>82</v>
      </c>
      <c r="B42" s="150" t="s">
        <v>209</v>
      </c>
      <c r="C42" s="151">
        <v>2.2952137000000001</v>
      </c>
      <c r="D42" s="151">
        <v>2.2584647200000001</v>
      </c>
      <c r="E42" s="151">
        <v>3.4352310899999998</v>
      </c>
      <c r="F42" s="151">
        <v>7.98890951</v>
      </c>
      <c r="G42" s="151">
        <v>2.3137174900000002</v>
      </c>
      <c r="H42" s="151">
        <v>2.2766722400000003</v>
      </c>
      <c r="I42" s="151">
        <v>3.4629255800000003</v>
      </c>
      <c r="J42" s="151">
        <v>8.0533153100000003</v>
      </c>
    </row>
    <row r="43" spans="1:10" x14ac:dyDescent="0.2">
      <c r="A43" s="150" t="s">
        <v>85</v>
      </c>
      <c r="B43" s="150" t="s">
        <v>210</v>
      </c>
      <c r="C43" s="151">
        <v>22.409400000000002</v>
      </c>
      <c r="D43" s="151">
        <v>22.050599999999999</v>
      </c>
      <c r="E43" s="151">
        <v>33.54</v>
      </c>
      <c r="F43" s="151">
        <v>78</v>
      </c>
      <c r="G43" s="151">
        <v>26.552062929999998</v>
      </c>
      <c r="H43" s="151">
        <v>26.126934179999999</v>
      </c>
      <c r="I43" s="151">
        <v>39.740296060000006</v>
      </c>
      <c r="J43" s="151">
        <v>92.419293170000003</v>
      </c>
    </row>
    <row r="44" spans="1:10" x14ac:dyDescent="0.2">
      <c r="A44" s="150" t="s">
        <v>121</v>
      </c>
      <c r="B44" s="150" t="s">
        <v>211</v>
      </c>
      <c r="C44" s="151">
        <v>4.2722683099999994</v>
      </c>
      <c r="D44" s="151">
        <v>4.2038644299999994</v>
      </c>
      <c r="E44" s="151">
        <v>6.3942755700000005</v>
      </c>
      <c r="F44" s="151">
        <v>14.870408309999998</v>
      </c>
      <c r="G44" s="151">
        <v>4.2722683099999994</v>
      </c>
      <c r="H44" s="151">
        <v>4.2038644299999994</v>
      </c>
      <c r="I44" s="151">
        <v>6.3942755700000005</v>
      </c>
      <c r="J44" s="151">
        <v>14.870408309999998</v>
      </c>
    </row>
    <row r="45" spans="1:10" x14ac:dyDescent="0.2">
      <c r="A45" s="150" t="s">
        <v>89</v>
      </c>
      <c r="B45" s="150" t="s">
        <v>212</v>
      </c>
      <c r="C45" s="151">
        <v>0.25857000000000002</v>
      </c>
      <c r="D45" s="151">
        <v>0.25442999999999999</v>
      </c>
      <c r="E45" s="151">
        <v>0.38700000000000001</v>
      </c>
      <c r="F45" s="151">
        <v>0.9</v>
      </c>
      <c r="G45" s="151">
        <v>0.25857000000000002</v>
      </c>
      <c r="H45" s="151">
        <v>0.25442999999999999</v>
      </c>
      <c r="I45" s="151">
        <v>0.38700000000000001</v>
      </c>
      <c r="J45" s="151">
        <v>0.9</v>
      </c>
    </row>
    <row r="46" spans="1:10" x14ac:dyDescent="0.2">
      <c r="A46" s="150" t="s">
        <v>158</v>
      </c>
      <c r="B46" s="150" t="s">
        <v>213</v>
      </c>
      <c r="C46" s="151">
        <v>0</v>
      </c>
      <c r="D46" s="151">
        <v>0</v>
      </c>
      <c r="E46" s="151">
        <v>0</v>
      </c>
      <c r="F46" s="151">
        <v>0</v>
      </c>
      <c r="G46" s="151">
        <v>145.64370959999999</v>
      </c>
      <c r="H46" s="151">
        <v>143.31178803999998</v>
      </c>
      <c r="I46" s="151">
        <v>217.98397191000001</v>
      </c>
      <c r="J46" s="151">
        <v>506.93946954999996</v>
      </c>
    </row>
    <row r="47" spans="1:10" x14ac:dyDescent="0.2">
      <c r="A47" s="150"/>
      <c r="B47" s="150" t="s">
        <v>193</v>
      </c>
      <c r="C47" s="151">
        <v>850.45441958000004</v>
      </c>
      <c r="D47" s="151">
        <v>836.83767634999992</v>
      </c>
      <c r="E47" s="151">
        <v>1272.8694758799998</v>
      </c>
      <c r="F47" s="151">
        <v>2960.1615718100011</v>
      </c>
      <c r="G47" s="151">
        <v>1023.0075428799997</v>
      </c>
      <c r="H47" s="151">
        <v>1006.6280277599999</v>
      </c>
      <c r="I47" s="151">
        <v>1531.1285883600003</v>
      </c>
      <c r="J47" s="151">
        <v>3560.7641590000003</v>
      </c>
    </row>
  </sheetData>
  <pageMargins left="0.7" right="0.7" top="0.75" bottom="0.75" header="0.3" footer="0.3"/>
  <pageSetup paperSize="9" scale="7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4F6C-79F1-4916-9EDA-FDC9EBA3C1B9}">
  <sheetPr filterMode="1">
    <pageSetUpPr fitToPage="1"/>
  </sheetPr>
  <dimension ref="A1:K33"/>
  <sheetViews>
    <sheetView view="pageBreakPreview" topLeftCell="A16" zoomScale="60" zoomScaleNormal="70" workbookViewId="0">
      <selection activeCell="H25" sqref="H25"/>
    </sheetView>
  </sheetViews>
  <sheetFormatPr defaultRowHeight="15" x14ac:dyDescent="0.25"/>
  <cols>
    <col min="1" max="1" width="9.140625" style="45"/>
    <col min="2" max="2" width="15" style="45" hidden="1" customWidth="1"/>
    <col min="3" max="3" width="34.42578125" style="46" customWidth="1"/>
    <col min="4" max="5" width="20.42578125" style="45" hidden="1" customWidth="1"/>
    <col min="6" max="6" width="16.42578125" style="47" bestFit="1" customWidth="1"/>
    <col min="7" max="7" width="10.28515625" style="45" bestFit="1" customWidth="1"/>
    <col min="8" max="8" width="13" style="45" bestFit="1" customWidth="1"/>
    <col min="9" max="9" width="13.5703125" style="45" bestFit="1" customWidth="1"/>
    <col min="10" max="10" width="14.85546875" style="45" bestFit="1" customWidth="1"/>
    <col min="11" max="11" width="77.28515625" style="45" customWidth="1"/>
    <col min="12" max="16384" width="9.140625" style="45"/>
  </cols>
  <sheetData>
    <row r="1" spans="1:11" s="154" customFormat="1" ht="23.25" x14ac:dyDescent="0.35">
      <c r="A1" s="156" t="s">
        <v>422</v>
      </c>
      <c r="B1" s="153"/>
      <c r="J1" s="155"/>
      <c r="K1" s="155"/>
    </row>
    <row r="2" spans="1:11" s="154" customFormat="1" ht="23.25" x14ac:dyDescent="0.35">
      <c r="A2" s="156" t="s">
        <v>425</v>
      </c>
      <c r="B2" s="153"/>
      <c r="J2" s="155"/>
      <c r="K2" s="155"/>
    </row>
    <row r="3" spans="1:11" s="149" customFormat="1" ht="12.75" x14ac:dyDescent="0.2"/>
    <row r="5" spans="1:11" x14ac:dyDescent="0.25">
      <c r="A5" s="159" t="s">
        <v>299</v>
      </c>
      <c r="B5" s="160" t="s">
        <v>303</v>
      </c>
      <c r="C5" s="161" t="s">
        <v>219</v>
      </c>
      <c r="D5" s="160" t="s">
        <v>381</v>
      </c>
      <c r="E5" s="160" t="s">
        <v>300</v>
      </c>
      <c r="F5" s="162" t="s">
        <v>383</v>
      </c>
      <c r="G5" s="160" t="s">
        <v>384</v>
      </c>
      <c r="H5" s="160" t="s">
        <v>301</v>
      </c>
      <c r="I5" s="160" t="s">
        <v>380</v>
      </c>
      <c r="J5" s="160" t="s">
        <v>302</v>
      </c>
      <c r="K5" s="160" t="s">
        <v>220</v>
      </c>
    </row>
    <row r="6" spans="1:11" ht="45" x14ac:dyDescent="0.25">
      <c r="A6" s="163">
        <v>1</v>
      </c>
      <c r="B6" s="163" t="s">
        <v>304</v>
      </c>
      <c r="C6" s="164" t="s">
        <v>424</v>
      </c>
      <c r="D6" s="163" t="s">
        <v>359</v>
      </c>
      <c r="E6" s="163" t="s">
        <v>305</v>
      </c>
      <c r="F6" s="165">
        <f>Risk0!F2/1000000</f>
        <v>10.6</v>
      </c>
      <c r="G6" s="165">
        <v>0.9</v>
      </c>
      <c r="H6" s="166">
        <f>G6*F6</f>
        <v>9.5399999999999991</v>
      </c>
      <c r="I6" s="163">
        <v>1</v>
      </c>
      <c r="J6" s="166">
        <f>I6*F6</f>
        <v>10.6</v>
      </c>
      <c r="K6" s="164" t="s">
        <v>334</v>
      </c>
    </row>
    <row r="7" spans="1:11" ht="56.25" customHeight="1" x14ac:dyDescent="0.25">
      <c r="A7" s="163">
        <f>A6+1</f>
        <v>2</v>
      </c>
      <c r="B7" s="163" t="s">
        <v>304</v>
      </c>
      <c r="C7" s="164" t="s">
        <v>378</v>
      </c>
      <c r="D7" s="163" t="s">
        <v>359</v>
      </c>
      <c r="E7" s="163" t="s">
        <v>305</v>
      </c>
      <c r="F7" s="165">
        <f>Risk0!F3/1000000</f>
        <v>0</v>
      </c>
      <c r="G7" s="165"/>
      <c r="H7" s="165"/>
      <c r="I7" s="163">
        <v>1</v>
      </c>
      <c r="J7" s="166">
        <f>I7*F7</f>
        <v>0</v>
      </c>
      <c r="K7" s="164" t="s">
        <v>335</v>
      </c>
    </row>
    <row r="8" spans="1:11" ht="90" x14ac:dyDescent="0.25">
      <c r="A8" s="163">
        <f t="shared" ref="A8:A32" si="0">A7+1</f>
        <v>3</v>
      </c>
      <c r="B8" s="163" t="s">
        <v>304</v>
      </c>
      <c r="C8" s="164" t="s">
        <v>379</v>
      </c>
      <c r="D8" s="163" t="s">
        <v>359</v>
      </c>
      <c r="E8" s="163" t="s">
        <v>305</v>
      </c>
      <c r="F8" s="165">
        <f>Risk0!F4/1000000</f>
        <v>28.379476370000003</v>
      </c>
      <c r="G8" s="165">
        <v>1</v>
      </c>
      <c r="H8" s="166">
        <f t="shared" ref="H8:H21" si="1">G8*F8</f>
        <v>28.379476370000003</v>
      </c>
      <c r="I8" s="163">
        <v>1</v>
      </c>
      <c r="J8" s="166">
        <f t="shared" ref="J8:J32" si="2">I8*F8</f>
        <v>28.379476370000003</v>
      </c>
      <c r="K8" s="164" t="s">
        <v>336</v>
      </c>
    </row>
    <row r="9" spans="1:11" ht="30" x14ac:dyDescent="0.25">
      <c r="A9" s="163">
        <f t="shared" si="0"/>
        <v>4</v>
      </c>
      <c r="B9" s="163" t="s">
        <v>304</v>
      </c>
      <c r="C9" s="164" t="s">
        <v>307</v>
      </c>
      <c r="D9" s="163" t="s">
        <v>359</v>
      </c>
      <c r="E9" s="163" t="s">
        <v>305</v>
      </c>
      <c r="F9" s="165">
        <f>Risk0!F5/1000000</f>
        <v>2.5</v>
      </c>
      <c r="G9" s="165">
        <v>1</v>
      </c>
      <c r="H9" s="166">
        <f t="shared" si="1"/>
        <v>2.5</v>
      </c>
      <c r="I9" s="163">
        <v>1</v>
      </c>
      <c r="J9" s="166">
        <f t="shared" si="2"/>
        <v>2.5</v>
      </c>
      <c r="K9" s="164" t="s">
        <v>337</v>
      </c>
    </row>
    <row r="10" spans="1:11" ht="75" x14ac:dyDescent="0.25">
      <c r="A10" s="163">
        <f t="shared" si="0"/>
        <v>5</v>
      </c>
      <c r="B10" s="163" t="s">
        <v>308</v>
      </c>
      <c r="C10" s="164" t="s">
        <v>309</v>
      </c>
      <c r="D10" s="163" t="s">
        <v>56</v>
      </c>
      <c r="E10" s="163" t="s">
        <v>305</v>
      </c>
      <c r="F10" s="165">
        <f>Risk0!F6/1000000</f>
        <v>10.5</v>
      </c>
      <c r="G10" s="165">
        <v>1</v>
      </c>
      <c r="H10" s="166">
        <f t="shared" si="1"/>
        <v>10.5</v>
      </c>
      <c r="I10" s="163">
        <v>1</v>
      </c>
      <c r="J10" s="166">
        <f t="shared" si="2"/>
        <v>10.5</v>
      </c>
      <c r="K10" s="164" t="s">
        <v>338</v>
      </c>
    </row>
    <row r="11" spans="1:11" ht="90" x14ac:dyDescent="0.25">
      <c r="A11" s="163">
        <f t="shared" si="0"/>
        <v>6</v>
      </c>
      <c r="B11" s="163" t="s">
        <v>310</v>
      </c>
      <c r="C11" s="164" t="s">
        <v>311</v>
      </c>
      <c r="D11" s="163" t="s">
        <v>73</v>
      </c>
      <c r="E11" s="163" t="s">
        <v>305</v>
      </c>
      <c r="F11" s="165">
        <f>Risk0!F7/1000000</f>
        <v>0.9</v>
      </c>
      <c r="G11" s="165">
        <v>0.75</v>
      </c>
      <c r="H11" s="166">
        <f t="shared" si="1"/>
        <v>0.67500000000000004</v>
      </c>
      <c r="I11" s="163">
        <v>1</v>
      </c>
      <c r="J11" s="166">
        <f t="shared" si="2"/>
        <v>0.9</v>
      </c>
      <c r="K11" s="164" t="s">
        <v>339</v>
      </c>
    </row>
    <row r="12" spans="1:11" ht="45" x14ac:dyDescent="0.25">
      <c r="A12" s="163">
        <f t="shared" si="0"/>
        <v>7</v>
      </c>
      <c r="B12" s="163" t="s">
        <v>310</v>
      </c>
      <c r="C12" s="164" t="s">
        <v>312</v>
      </c>
      <c r="D12" s="163" t="s">
        <v>75</v>
      </c>
      <c r="E12" s="163" t="s">
        <v>305</v>
      </c>
      <c r="F12" s="165">
        <f>Risk0!F8/1000000</f>
        <v>1.8</v>
      </c>
      <c r="G12" s="165">
        <v>0.75</v>
      </c>
      <c r="H12" s="166">
        <f t="shared" si="1"/>
        <v>1.35</v>
      </c>
      <c r="I12" s="163">
        <v>1</v>
      </c>
      <c r="J12" s="166">
        <f t="shared" si="2"/>
        <v>1.8</v>
      </c>
      <c r="K12" s="164" t="s">
        <v>340</v>
      </c>
    </row>
    <row r="13" spans="1:11" ht="90" x14ac:dyDescent="0.25">
      <c r="A13" s="163">
        <f t="shared" si="0"/>
        <v>8</v>
      </c>
      <c r="B13" s="163" t="s">
        <v>310</v>
      </c>
      <c r="C13" s="164" t="s">
        <v>313</v>
      </c>
      <c r="D13" s="163" t="s">
        <v>71</v>
      </c>
      <c r="E13" s="163" t="s">
        <v>305</v>
      </c>
      <c r="F13" s="165">
        <f>Risk0!F9/1000000</f>
        <v>1.9</v>
      </c>
      <c r="G13" s="165">
        <v>0.75</v>
      </c>
      <c r="H13" s="166">
        <f t="shared" si="1"/>
        <v>1.4249999999999998</v>
      </c>
      <c r="I13" s="163">
        <v>1</v>
      </c>
      <c r="J13" s="166">
        <f t="shared" si="2"/>
        <v>1.9</v>
      </c>
      <c r="K13" s="164" t="s">
        <v>341</v>
      </c>
    </row>
    <row r="14" spans="1:11" ht="30" x14ac:dyDescent="0.25">
      <c r="A14" s="163">
        <f t="shared" si="0"/>
        <v>9</v>
      </c>
      <c r="B14" s="163" t="s">
        <v>310</v>
      </c>
      <c r="C14" s="164" t="s">
        <v>314</v>
      </c>
      <c r="D14" s="163" t="s">
        <v>65</v>
      </c>
      <c r="E14" s="163" t="s">
        <v>305</v>
      </c>
      <c r="F14" s="165">
        <f>Risk0!F10/1000000</f>
        <v>0.2</v>
      </c>
      <c r="G14" s="165">
        <v>1</v>
      </c>
      <c r="H14" s="166">
        <f t="shared" si="1"/>
        <v>0.2</v>
      </c>
      <c r="I14" s="163">
        <v>1</v>
      </c>
      <c r="J14" s="166">
        <f t="shared" si="2"/>
        <v>0.2</v>
      </c>
      <c r="K14" s="164" t="s">
        <v>342</v>
      </c>
    </row>
    <row r="15" spans="1:11" ht="60" x14ac:dyDescent="0.25">
      <c r="A15" s="163">
        <f t="shared" si="0"/>
        <v>10</v>
      </c>
      <c r="B15" s="163" t="s">
        <v>310</v>
      </c>
      <c r="C15" s="164" t="s">
        <v>315</v>
      </c>
      <c r="D15" s="163" t="s">
        <v>117</v>
      </c>
      <c r="E15" s="163" t="s">
        <v>305</v>
      </c>
      <c r="F15" s="165">
        <f>Risk0!F11/1000000</f>
        <v>2.4E-2</v>
      </c>
      <c r="G15" s="165">
        <v>1</v>
      </c>
      <c r="H15" s="165">
        <f t="shared" si="1"/>
        <v>2.4E-2</v>
      </c>
      <c r="I15" s="163">
        <v>1</v>
      </c>
      <c r="J15" s="166">
        <f t="shared" si="2"/>
        <v>2.4E-2</v>
      </c>
      <c r="K15" s="164" t="s">
        <v>343</v>
      </c>
    </row>
    <row r="16" spans="1:11" ht="30" x14ac:dyDescent="0.25">
      <c r="A16" s="163">
        <f t="shared" si="0"/>
        <v>11</v>
      </c>
      <c r="B16" s="163" t="s">
        <v>310</v>
      </c>
      <c r="C16" s="164" t="s">
        <v>316</v>
      </c>
      <c r="D16" s="163" t="s">
        <v>117</v>
      </c>
      <c r="E16" s="163" t="s">
        <v>305</v>
      </c>
      <c r="F16" s="165">
        <f>Risk0!F12/1000000</f>
        <v>1.8793800000000001</v>
      </c>
      <c r="G16" s="165">
        <v>0.5</v>
      </c>
      <c r="H16" s="166">
        <f t="shared" si="1"/>
        <v>0.93969000000000003</v>
      </c>
      <c r="I16" s="163">
        <v>1</v>
      </c>
      <c r="J16" s="166">
        <f t="shared" si="2"/>
        <v>1.8793800000000001</v>
      </c>
      <c r="K16" s="164" t="s">
        <v>344</v>
      </c>
    </row>
    <row r="17" spans="1:11" ht="45" x14ac:dyDescent="0.25">
      <c r="A17" s="163">
        <f t="shared" si="0"/>
        <v>12</v>
      </c>
      <c r="B17" s="163" t="s">
        <v>310</v>
      </c>
      <c r="C17" s="164" t="s">
        <v>317</v>
      </c>
      <c r="D17" s="163" t="s">
        <v>73</v>
      </c>
      <c r="E17" s="163" t="s">
        <v>305</v>
      </c>
      <c r="F17" s="165">
        <f>Risk0!F13/1000000</f>
        <v>0.16</v>
      </c>
      <c r="G17" s="165">
        <v>0.75</v>
      </c>
      <c r="H17" s="166">
        <f t="shared" si="1"/>
        <v>0.12</v>
      </c>
      <c r="I17" s="163">
        <v>1</v>
      </c>
      <c r="J17" s="166">
        <f t="shared" si="2"/>
        <v>0.16</v>
      </c>
      <c r="K17" s="164" t="s">
        <v>345</v>
      </c>
    </row>
    <row r="18" spans="1:11" ht="120" x14ac:dyDescent="0.25">
      <c r="A18" s="163">
        <f t="shared" si="0"/>
        <v>13</v>
      </c>
      <c r="B18" s="163" t="s">
        <v>310</v>
      </c>
      <c r="C18" s="164" t="s">
        <v>318</v>
      </c>
      <c r="D18" s="163" t="s">
        <v>73</v>
      </c>
      <c r="E18" s="163" t="s">
        <v>305</v>
      </c>
      <c r="F18" s="165">
        <f>Risk0!F14/1000000</f>
        <v>7.7024407100000003</v>
      </c>
      <c r="G18" s="165">
        <v>0.34</v>
      </c>
      <c r="H18" s="166">
        <f t="shared" si="1"/>
        <v>2.6188298414000002</v>
      </c>
      <c r="I18" s="163">
        <v>1</v>
      </c>
      <c r="J18" s="166">
        <f t="shared" si="2"/>
        <v>7.7024407100000003</v>
      </c>
      <c r="K18" s="164" t="s">
        <v>346</v>
      </c>
    </row>
    <row r="19" spans="1:11" ht="45" x14ac:dyDescent="0.25">
      <c r="A19" s="163">
        <f t="shared" si="0"/>
        <v>14</v>
      </c>
      <c r="B19" s="163" t="s">
        <v>319</v>
      </c>
      <c r="C19" s="164" t="s">
        <v>320</v>
      </c>
      <c r="D19" s="163" t="s">
        <v>94</v>
      </c>
      <c r="E19" s="163" t="s">
        <v>305</v>
      </c>
      <c r="F19" s="165">
        <f>Risk0!F15/1000000</f>
        <v>0.5</v>
      </c>
      <c r="G19" s="165">
        <v>1</v>
      </c>
      <c r="H19" s="166">
        <f t="shared" si="1"/>
        <v>0.5</v>
      </c>
      <c r="I19" s="163">
        <v>1</v>
      </c>
      <c r="J19" s="166">
        <f t="shared" si="2"/>
        <v>0.5</v>
      </c>
      <c r="K19" s="164" t="s">
        <v>342</v>
      </c>
    </row>
    <row r="20" spans="1:11" ht="90" x14ac:dyDescent="0.25">
      <c r="A20" s="163">
        <f t="shared" si="0"/>
        <v>15</v>
      </c>
      <c r="B20" s="163" t="s">
        <v>321</v>
      </c>
      <c r="C20" s="164" t="s">
        <v>322</v>
      </c>
      <c r="D20" s="163" t="s">
        <v>359</v>
      </c>
      <c r="E20" s="163" t="s">
        <v>305</v>
      </c>
      <c r="F20" s="165">
        <f>Risk0!F16/1000000</f>
        <v>238.51587506000001</v>
      </c>
      <c r="G20" s="165">
        <v>0.74</v>
      </c>
      <c r="H20" s="166">
        <f t="shared" si="1"/>
        <v>176.50174754440002</v>
      </c>
      <c r="I20" s="163">
        <v>0</v>
      </c>
      <c r="J20" s="166">
        <f t="shared" si="2"/>
        <v>0</v>
      </c>
      <c r="K20" s="164" t="s">
        <v>347</v>
      </c>
    </row>
    <row r="21" spans="1:11" ht="90" x14ac:dyDescent="0.25">
      <c r="A21" s="163">
        <f t="shared" si="0"/>
        <v>16</v>
      </c>
      <c r="B21" s="163" t="s">
        <v>321</v>
      </c>
      <c r="C21" s="164" t="s">
        <v>323</v>
      </c>
      <c r="D21" s="163" t="s">
        <v>359</v>
      </c>
      <c r="E21" s="163" t="s">
        <v>305</v>
      </c>
      <c r="F21" s="165">
        <f>Risk0!F17/1000000</f>
        <v>201.53689718999999</v>
      </c>
      <c r="G21" s="165">
        <v>0.76</v>
      </c>
      <c r="H21" s="166">
        <f t="shared" si="1"/>
        <v>153.16804186439998</v>
      </c>
      <c r="I21" s="163">
        <v>0</v>
      </c>
      <c r="J21" s="166">
        <f t="shared" si="2"/>
        <v>0</v>
      </c>
      <c r="K21" s="164" t="s">
        <v>348</v>
      </c>
    </row>
    <row r="22" spans="1:11" ht="60" x14ac:dyDescent="0.25">
      <c r="A22" s="163">
        <f t="shared" si="0"/>
        <v>17</v>
      </c>
      <c r="B22" s="163" t="s">
        <v>321</v>
      </c>
      <c r="C22" s="164" t="s">
        <v>324</v>
      </c>
      <c r="D22" s="163" t="s">
        <v>359</v>
      </c>
      <c r="E22" s="163" t="s">
        <v>305</v>
      </c>
      <c r="F22" s="165">
        <f>Risk0!F18/1000000</f>
        <v>16.471577199999999</v>
      </c>
      <c r="G22" s="165">
        <v>0</v>
      </c>
      <c r="H22" s="165"/>
      <c r="I22" s="163">
        <v>1</v>
      </c>
      <c r="J22" s="166">
        <f t="shared" si="2"/>
        <v>16.471577199999999</v>
      </c>
      <c r="K22" s="164" t="s">
        <v>349</v>
      </c>
    </row>
    <row r="23" spans="1:11" ht="45" x14ac:dyDescent="0.25">
      <c r="A23" s="163">
        <f t="shared" si="0"/>
        <v>18</v>
      </c>
      <c r="B23" s="163" t="s">
        <v>321</v>
      </c>
      <c r="C23" s="164" t="s">
        <v>325</v>
      </c>
      <c r="D23" s="163" t="s">
        <v>359</v>
      </c>
      <c r="E23" s="163" t="s">
        <v>305</v>
      </c>
      <c r="F23" s="165">
        <f>Risk0!F19/1000000</f>
        <v>-63.5</v>
      </c>
      <c r="G23" s="165">
        <v>0</v>
      </c>
      <c r="H23" s="165"/>
      <c r="I23" s="163">
        <v>1</v>
      </c>
      <c r="J23" s="166">
        <f t="shared" si="2"/>
        <v>-63.5</v>
      </c>
      <c r="K23" s="164" t="s">
        <v>350</v>
      </c>
    </row>
    <row r="24" spans="1:11" ht="30" x14ac:dyDescent="0.25">
      <c r="A24" s="163">
        <f t="shared" si="0"/>
        <v>19</v>
      </c>
      <c r="B24" s="163" t="s">
        <v>321</v>
      </c>
      <c r="C24" s="164" t="s">
        <v>326</v>
      </c>
      <c r="D24" s="163" t="s">
        <v>359</v>
      </c>
      <c r="E24" s="163" t="s">
        <v>305</v>
      </c>
      <c r="F24" s="165">
        <f>Risk0!F20/1000000</f>
        <v>54</v>
      </c>
      <c r="G24" s="165">
        <v>0.5</v>
      </c>
      <c r="H24" s="166">
        <f>G24*F24</f>
        <v>27</v>
      </c>
      <c r="I24" s="163">
        <v>1</v>
      </c>
      <c r="J24" s="166">
        <f t="shared" si="2"/>
        <v>54</v>
      </c>
      <c r="K24" s="164" t="s">
        <v>351</v>
      </c>
    </row>
    <row r="25" spans="1:11" s="54" customFormat="1" ht="82.5" customHeight="1" x14ac:dyDescent="0.25">
      <c r="A25" s="163">
        <f t="shared" si="0"/>
        <v>20</v>
      </c>
      <c r="B25" s="163" t="s">
        <v>321</v>
      </c>
      <c r="C25" s="164" t="s">
        <v>385</v>
      </c>
      <c r="D25" s="163" t="s">
        <v>359</v>
      </c>
      <c r="E25" s="163" t="s">
        <v>305</v>
      </c>
      <c r="F25" s="165">
        <f>Risk0!F21/1000000</f>
        <v>0</v>
      </c>
      <c r="G25" s="165"/>
      <c r="H25" s="165"/>
      <c r="I25" s="163">
        <v>1</v>
      </c>
      <c r="J25" s="166">
        <f t="shared" si="2"/>
        <v>0</v>
      </c>
      <c r="K25" s="164" t="s">
        <v>352</v>
      </c>
    </row>
    <row r="26" spans="1:11" ht="30" x14ac:dyDescent="0.25">
      <c r="A26" s="163">
        <f t="shared" si="0"/>
        <v>21</v>
      </c>
      <c r="B26" s="163" t="s">
        <v>321</v>
      </c>
      <c r="C26" s="164" t="s">
        <v>327</v>
      </c>
      <c r="D26" s="163" t="s">
        <v>359</v>
      </c>
      <c r="E26" s="163" t="s">
        <v>305</v>
      </c>
      <c r="F26" s="165">
        <f>Risk0!F22/1000000</f>
        <v>50</v>
      </c>
      <c r="G26" s="165">
        <v>0.5</v>
      </c>
      <c r="H26" s="166">
        <f>G26*F26</f>
        <v>25</v>
      </c>
      <c r="I26" s="163">
        <v>1</v>
      </c>
      <c r="J26" s="166">
        <f t="shared" si="2"/>
        <v>50</v>
      </c>
      <c r="K26" s="164" t="s">
        <v>353</v>
      </c>
    </row>
    <row r="27" spans="1:11" ht="30" x14ac:dyDescent="0.25">
      <c r="A27" s="163">
        <f t="shared" si="0"/>
        <v>22</v>
      </c>
      <c r="B27" s="163" t="s">
        <v>321</v>
      </c>
      <c r="C27" s="164" t="s">
        <v>328</v>
      </c>
      <c r="D27" s="163" t="s">
        <v>359</v>
      </c>
      <c r="E27" s="163" t="s">
        <v>305</v>
      </c>
      <c r="F27" s="165">
        <f>Risk0!F23/1000000</f>
        <v>20</v>
      </c>
      <c r="G27" s="165">
        <v>0.5</v>
      </c>
      <c r="H27" s="166">
        <f>G27*F27</f>
        <v>10</v>
      </c>
      <c r="I27" s="163">
        <v>1</v>
      </c>
      <c r="J27" s="166">
        <f t="shared" si="2"/>
        <v>20</v>
      </c>
      <c r="K27" s="164" t="s">
        <v>353</v>
      </c>
    </row>
    <row r="28" spans="1:11" ht="30" x14ac:dyDescent="0.25">
      <c r="A28" s="163">
        <f t="shared" si="0"/>
        <v>23</v>
      </c>
      <c r="B28" s="163" t="s">
        <v>321</v>
      </c>
      <c r="C28" s="164" t="s">
        <v>329</v>
      </c>
      <c r="D28" s="163" t="s">
        <v>51</v>
      </c>
      <c r="E28" s="163" t="s">
        <v>305</v>
      </c>
      <c r="F28" s="165">
        <f>Risk0!F24/1000000</f>
        <v>100</v>
      </c>
      <c r="G28" s="165">
        <v>1</v>
      </c>
      <c r="H28" s="166">
        <f>G28*F28</f>
        <v>100</v>
      </c>
      <c r="I28" s="163">
        <v>1</v>
      </c>
      <c r="J28" s="166">
        <f t="shared" si="2"/>
        <v>100</v>
      </c>
      <c r="K28" s="164" t="s">
        <v>354</v>
      </c>
    </row>
    <row r="29" spans="1:11" ht="30" x14ac:dyDescent="0.25">
      <c r="A29" s="163">
        <f t="shared" si="0"/>
        <v>24</v>
      </c>
      <c r="B29" s="163" t="s">
        <v>321</v>
      </c>
      <c r="C29" s="164" t="s">
        <v>330</v>
      </c>
      <c r="D29" s="163" t="s">
        <v>360</v>
      </c>
      <c r="E29" s="163" t="s">
        <v>305</v>
      </c>
      <c r="F29" s="165">
        <f>Risk0!F25/1000000</f>
        <v>4</v>
      </c>
      <c r="G29" s="165">
        <v>0.75</v>
      </c>
      <c r="H29" s="166">
        <f>G29*F29</f>
        <v>3</v>
      </c>
      <c r="I29" s="163">
        <v>1</v>
      </c>
      <c r="J29" s="166">
        <f t="shared" si="2"/>
        <v>4</v>
      </c>
      <c r="K29" s="164" t="s">
        <v>355</v>
      </c>
    </row>
    <row r="30" spans="1:11" ht="45" x14ac:dyDescent="0.25">
      <c r="A30" s="163">
        <f t="shared" si="0"/>
        <v>25</v>
      </c>
      <c r="B30" s="163" t="s">
        <v>321</v>
      </c>
      <c r="C30" s="164" t="s">
        <v>331</v>
      </c>
      <c r="D30" s="163" t="s">
        <v>359</v>
      </c>
      <c r="E30" s="163" t="s">
        <v>305</v>
      </c>
      <c r="F30" s="165">
        <f>Risk0!F26/1000000</f>
        <v>0</v>
      </c>
      <c r="G30" s="165">
        <v>0.75</v>
      </c>
      <c r="H30" s="165"/>
      <c r="I30" s="163">
        <v>1</v>
      </c>
      <c r="J30" s="166">
        <f t="shared" si="2"/>
        <v>0</v>
      </c>
      <c r="K30" s="164" t="s">
        <v>356</v>
      </c>
    </row>
    <row r="31" spans="1:11" ht="45" x14ac:dyDescent="0.25">
      <c r="A31" s="163">
        <f t="shared" si="0"/>
        <v>26</v>
      </c>
      <c r="B31" s="163" t="s">
        <v>321</v>
      </c>
      <c r="C31" s="164" t="s">
        <v>332</v>
      </c>
      <c r="D31" s="163" t="s">
        <v>359</v>
      </c>
      <c r="E31" s="163" t="s">
        <v>305</v>
      </c>
      <c r="F31" s="165">
        <f>Risk0!F27/1000000</f>
        <v>10</v>
      </c>
      <c r="G31" s="165">
        <v>0.75</v>
      </c>
      <c r="H31" s="166">
        <f>G31*F31</f>
        <v>7.5</v>
      </c>
      <c r="I31" s="163">
        <v>1</v>
      </c>
      <c r="J31" s="166">
        <f t="shared" si="2"/>
        <v>10</v>
      </c>
      <c r="K31" s="164" t="s">
        <v>357</v>
      </c>
    </row>
    <row r="32" spans="1:11" ht="75" x14ac:dyDescent="0.25">
      <c r="A32" s="163">
        <f t="shared" si="0"/>
        <v>27</v>
      </c>
      <c r="B32" s="163" t="s">
        <v>321</v>
      </c>
      <c r="C32" s="164" t="s">
        <v>333</v>
      </c>
      <c r="D32" s="163" t="s">
        <v>359</v>
      </c>
      <c r="E32" s="163" t="s">
        <v>305</v>
      </c>
      <c r="F32" s="165">
        <f>Risk0!F28/1000000</f>
        <v>-40.393462759999998</v>
      </c>
      <c r="G32" s="165">
        <v>0.28999999999999998</v>
      </c>
      <c r="H32" s="166">
        <f>G32*F32</f>
        <v>-11.7141042004</v>
      </c>
      <c r="I32" s="163">
        <v>1</v>
      </c>
      <c r="J32" s="166">
        <f t="shared" si="2"/>
        <v>-40.393462759999998</v>
      </c>
      <c r="K32" s="164" t="s">
        <v>358</v>
      </c>
    </row>
    <row r="33" spans="1:11" x14ac:dyDescent="0.25">
      <c r="A33" s="167"/>
      <c r="B33" s="167"/>
      <c r="C33" s="168" t="s">
        <v>193</v>
      </c>
      <c r="D33" s="167"/>
      <c r="E33" s="167"/>
      <c r="F33" s="169">
        <f>SUM(F6:F32)</f>
        <v>657.67618376999997</v>
      </c>
      <c r="G33" s="167"/>
      <c r="H33" s="169">
        <f>SUM(H6:H32)</f>
        <v>549.22768141979998</v>
      </c>
      <c r="I33" s="167"/>
      <c r="J33" s="169">
        <f>SUM(J6:J32)</f>
        <v>217.62341152000002</v>
      </c>
      <c r="K33" s="167"/>
    </row>
  </sheetData>
  <autoFilter ref="A5:K32" xr:uid="{9E20A682-E217-4776-B856-049B2E1E7C95}">
    <filterColumn colId="4">
      <filters>
        <filter val="PENDING"/>
      </filters>
    </filterColumn>
  </autoFilter>
  <conditionalFormatting sqref="F6:G6 G8:G14 G22:H23 G16:G21 G25:H25 G24 G30:H30 G26:G29 G31:G32 G15:H15 G7:H7 F7:F32">
    <cfRule type="cellIs" dxfId="0" priority="1" operator="lessThan">
      <formula>0</formula>
    </cfRule>
  </conditionalFormatting>
  <pageMargins left="0.7" right="0.7" top="0.75" bottom="0.75" header="0.3" footer="0.3"/>
  <pageSetup paperSize="9" scale="44" fitToHeight="0"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7"/>
  <sheetViews>
    <sheetView topLeftCell="G2" workbookViewId="0">
      <pane ySplit="600" topLeftCell="A11" activePane="bottomLeft"/>
      <selection pane="bottomLeft" activeCell="P19" sqref="P19:P20"/>
    </sheetView>
  </sheetViews>
  <sheetFormatPr defaultRowHeight="15" x14ac:dyDescent="0.25"/>
  <cols>
    <col min="1" max="1" width="47.5703125" bestFit="1" customWidth="1"/>
    <col min="2" max="2" width="11.140625" bestFit="1" customWidth="1"/>
    <col min="3" max="3" width="48" style="2" customWidth="1"/>
    <col min="4" max="4" width="57.85546875" bestFit="1" customWidth="1"/>
    <col min="5" max="5" width="15.42578125" bestFit="1" customWidth="1"/>
    <col min="6" max="6" width="17.28515625" bestFit="1" customWidth="1"/>
    <col min="7" max="7" width="15.140625" bestFit="1" customWidth="1"/>
    <col min="8" max="8" width="16.42578125" style="6" bestFit="1" customWidth="1"/>
    <col min="9" max="9" width="23.5703125" style="6" bestFit="1" customWidth="1"/>
    <col min="10" max="10" width="25.28515625" bestFit="1" customWidth="1"/>
    <col min="11" max="11" width="20.140625" bestFit="1" customWidth="1"/>
    <col min="12" max="12" width="17.28515625" bestFit="1" customWidth="1"/>
    <col min="13" max="13" width="13.7109375" bestFit="1" customWidth="1"/>
    <col min="14" max="14" width="17.7109375" bestFit="1" customWidth="1"/>
    <col min="15" max="15" width="12.140625" bestFit="1" customWidth="1"/>
    <col min="16" max="16" width="19.85546875" bestFit="1" customWidth="1"/>
  </cols>
  <sheetData>
    <row r="1" spans="1:16" s="1" customFormat="1" x14ac:dyDescent="0.25">
      <c r="C1" s="8"/>
      <c r="E1" s="1" t="s">
        <v>0</v>
      </c>
      <c r="F1" s="1" t="s">
        <v>1</v>
      </c>
      <c r="G1" s="1" t="s">
        <v>2</v>
      </c>
      <c r="H1" s="9" t="s">
        <v>98</v>
      </c>
      <c r="I1" s="9" t="s">
        <v>3</v>
      </c>
      <c r="J1" s="1" t="s">
        <v>4</v>
      </c>
      <c r="K1" s="1" t="s">
        <v>99</v>
      </c>
      <c r="L1" s="1" t="s">
        <v>5</v>
      </c>
      <c r="M1" s="1" t="s">
        <v>6</v>
      </c>
      <c r="N1" s="1" t="s">
        <v>100</v>
      </c>
      <c r="O1" s="1" t="s">
        <v>101</v>
      </c>
      <c r="P1" s="1" t="s">
        <v>7</v>
      </c>
    </row>
    <row r="2" spans="1:16" x14ac:dyDescent="0.25">
      <c r="A2" s="12" t="s">
        <v>104</v>
      </c>
      <c r="B2" s="12" t="s">
        <v>105</v>
      </c>
      <c r="C2" s="13" t="s">
        <v>8</v>
      </c>
      <c r="D2" s="12" t="s">
        <v>9</v>
      </c>
      <c r="E2" s="12" t="s">
        <v>10</v>
      </c>
      <c r="F2" s="12" t="s">
        <v>106</v>
      </c>
      <c r="G2" s="12" t="s">
        <v>11</v>
      </c>
      <c r="H2" s="12" t="s">
        <v>107</v>
      </c>
      <c r="I2" s="12" t="s">
        <v>103</v>
      </c>
      <c r="J2" s="12" t="s">
        <v>102</v>
      </c>
      <c r="K2" s="12" t="s">
        <v>108</v>
      </c>
      <c r="L2" s="12" t="s">
        <v>109</v>
      </c>
      <c r="M2" s="12" t="s">
        <v>12</v>
      </c>
      <c r="N2" s="12" t="s">
        <v>110</v>
      </c>
      <c r="O2" s="12" t="s">
        <v>13</v>
      </c>
      <c r="P2" s="12" t="s">
        <v>111</v>
      </c>
    </row>
    <row r="3" spans="1:16" x14ac:dyDescent="0.25">
      <c r="A3" t="s">
        <v>113</v>
      </c>
      <c r="B3" t="s">
        <v>112</v>
      </c>
      <c r="C3" s="2" t="s">
        <v>14</v>
      </c>
      <c r="D3" t="s">
        <v>15</v>
      </c>
      <c r="E3" s="4">
        <v>0</v>
      </c>
      <c r="F3" s="4">
        <v>0</v>
      </c>
      <c r="G3" s="4">
        <v>0</v>
      </c>
      <c r="H3" s="10">
        <v>0</v>
      </c>
      <c r="I3" s="10">
        <v>0</v>
      </c>
      <c r="J3" s="4">
        <v>0</v>
      </c>
      <c r="K3" s="4">
        <v>0</v>
      </c>
      <c r="L3" s="4">
        <v>0</v>
      </c>
      <c r="M3" s="4">
        <v>0</v>
      </c>
      <c r="N3" s="4">
        <v>0</v>
      </c>
      <c r="O3" s="4">
        <v>0</v>
      </c>
      <c r="P3" s="4">
        <v>0</v>
      </c>
    </row>
    <row r="4" spans="1:16" x14ac:dyDescent="0.25">
      <c r="A4" t="s">
        <v>113</v>
      </c>
      <c r="B4" t="s">
        <v>16</v>
      </c>
      <c r="C4" s="2" t="s">
        <v>17</v>
      </c>
      <c r="D4" t="s">
        <v>18</v>
      </c>
      <c r="E4" s="5">
        <v>6144235.29</v>
      </c>
      <c r="F4" s="4">
        <v>0</v>
      </c>
      <c r="G4" s="5">
        <v>-2500000</v>
      </c>
      <c r="H4" s="11">
        <v>3644235.29</v>
      </c>
      <c r="I4" s="11">
        <v>6144235.29</v>
      </c>
      <c r="J4" s="5">
        <v>-2500000</v>
      </c>
      <c r="K4" s="5">
        <v>3644235.29</v>
      </c>
      <c r="L4" s="4">
        <v>0</v>
      </c>
      <c r="M4" s="4">
        <v>0</v>
      </c>
      <c r="N4" s="5">
        <v>3644235.29</v>
      </c>
      <c r="O4" s="4">
        <v>0</v>
      </c>
      <c r="P4" s="5">
        <v>3644235.29</v>
      </c>
    </row>
    <row r="5" spans="1:16" x14ac:dyDescent="0.25">
      <c r="A5" t="s">
        <v>113</v>
      </c>
      <c r="B5" t="s">
        <v>19</v>
      </c>
      <c r="C5" s="2" t="s">
        <v>20</v>
      </c>
      <c r="D5" t="s">
        <v>21</v>
      </c>
      <c r="E5" s="5">
        <v>5000000</v>
      </c>
      <c r="F5" s="4">
        <v>0</v>
      </c>
      <c r="G5" s="5">
        <v>700000</v>
      </c>
      <c r="H5" s="11">
        <v>5700000</v>
      </c>
      <c r="I5" s="11">
        <v>5000000</v>
      </c>
      <c r="J5" s="5">
        <v>700000</v>
      </c>
      <c r="K5" s="5">
        <v>5700000</v>
      </c>
      <c r="L5" s="4">
        <v>0</v>
      </c>
      <c r="M5" s="4">
        <v>0</v>
      </c>
      <c r="N5" s="5">
        <v>5700000</v>
      </c>
      <c r="O5" s="4">
        <v>0</v>
      </c>
      <c r="P5" s="5">
        <v>9310172.1199999992</v>
      </c>
    </row>
    <row r="6" spans="1:16" x14ac:dyDescent="0.25">
      <c r="A6" t="s">
        <v>113</v>
      </c>
      <c r="B6" t="s">
        <v>22</v>
      </c>
      <c r="C6" s="2" t="s">
        <v>123</v>
      </c>
      <c r="D6" t="s">
        <v>23</v>
      </c>
      <c r="E6" s="5">
        <v>240000</v>
      </c>
      <c r="F6" s="4">
        <v>0</v>
      </c>
      <c r="G6" s="5">
        <v>500000</v>
      </c>
      <c r="H6" s="11">
        <v>740000</v>
      </c>
      <c r="I6" s="11">
        <v>240000</v>
      </c>
      <c r="J6" s="5">
        <v>500000</v>
      </c>
      <c r="K6" s="5">
        <v>740000</v>
      </c>
      <c r="L6" s="4">
        <v>0</v>
      </c>
      <c r="M6" s="4">
        <v>0</v>
      </c>
      <c r="N6" s="5">
        <v>740000</v>
      </c>
      <c r="O6" s="4">
        <v>0</v>
      </c>
      <c r="P6" s="5">
        <v>240000</v>
      </c>
    </row>
    <row r="7" spans="1:16" x14ac:dyDescent="0.25">
      <c r="A7" t="s">
        <v>113</v>
      </c>
      <c r="B7" t="s">
        <v>24</v>
      </c>
      <c r="C7" s="2" t="s">
        <v>124</v>
      </c>
      <c r="D7" t="s">
        <v>25</v>
      </c>
      <c r="E7" s="5">
        <v>2464285.71</v>
      </c>
      <c r="F7" s="4">
        <v>0</v>
      </c>
      <c r="G7" s="5">
        <v>5505969.29</v>
      </c>
      <c r="H7" s="11">
        <v>7970255</v>
      </c>
      <c r="I7" s="11">
        <v>2464285.71</v>
      </c>
      <c r="J7" s="5">
        <v>5505969.29</v>
      </c>
      <c r="K7" s="5">
        <v>7970255</v>
      </c>
      <c r="L7" s="4">
        <v>0</v>
      </c>
      <c r="M7" s="4">
        <v>0</v>
      </c>
      <c r="N7" s="5">
        <v>7970255</v>
      </c>
      <c r="O7" s="4">
        <v>0</v>
      </c>
      <c r="P7" s="5">
        <v>8841071.4000000004</v>
      </c>
    </row>
    <row r="8" spans="1:16" x14ac:dyDescent="0.25">
      <c r="A8" t="s">
        <v>113</v>
      </c>
      <c r="B8" t="s">
        <v>26</v>
      </c>
      <c r="C8" s="2" t="s">
        <v>157</v>
      </c>
      <c r="D8" t="s">
        <v>27</v>
      </c>
      <c r="E8" s="5">
        <v>3500000</v>
      </c>
      <c r="F8" s="4">
        <v>0</v>
      </c>
      <c r="G8" s="4">
        <v>0</v>
      </c>
      <c r="H8" s="11">
        <v>3500000</v>
      </c>
      <c r="I8" s="11">
        <v>3500000</v>
      </c>
      <c r="J8" s="4">
        <v>0</v>
      </c>
      <c r="K8" s="5">
        <v>3500000</v>
      </c>
      <c r="L8" s="4">
        <v>0</v>
      </c>
      <c r="M8" s="4">
        <v>0</v>
      </c>
      <c r="N8" s="5">
        <v>3500000</v>
      </c>
      <c r="O8" s="4">
        <v>0</v>
      </c>
      <c r="P8" s="5">
        <v>3500000</v>
      </c>
    </row>
    <row r="9" spans="1:16" x14ac:dyDescent="0.25">
      <c r="A9" t="s">
        <v>113</v>
      </c>
      <c r="B9" t="s">
        <v>28</v>
      </c>
      <c r="C9" s="2" t="s">
        <v>29</v>
      </c>
      <c r="D9" t="s">
        <v>30</v>
      </c>
      <c r="E9" s="5">
        <v>2010000</v>
      </c>
      <c r="F9" s="4">
        <v>0</v>
      </c>
      <c r="G9" s="5">
        <v>95000</v>
      </c>
      <c r="H9" s="11">
        <v>2105000</v>
      </c>
      <c r="I9" s="11">
        <v>2010000</v>
      </c>
      <c r="J9" s="5">
        <v>95000</v>
      </c>
      <c r="K9" s="5">
        <v>2105000</v>
      </c>
      <c r="L9" s="4">
        <v>0</v>
      </c>
      <c r="M9" s="4">
        <v>0</v>
      </c>
      <c r="N9" s="5">
        <v>2105000</v>
      </c>
      <c r="O9" s="4">
        <v>0</v>
      </c>
      <c r="P9" s="5">
        <v>1490000</v>
      </c>
    </row>
    <row r="10" spans="1:16" x14ac:dyDescent="0.25">
      <c r="A10" t="s">
        <v>113</v>
      </c>
      <c r="B10" t="s">
        <v>31</v>
      </c>
      <c r="C10" s="2" t="s">
        <v>32</v>
      </c>
      <c r="D10" t="s">
        <v>33</v>
      </c>
      <c r="E10" s="5">
        <v>300000</v>
      </c>
      <c r="F10" s="4">
        <v>0</v>
      </c>
      <c r="G10" s="4">
        <v>0</v>
      </c>
      <c r="H10" s="11">
        <v>300000</v>
      </c>
      <c r="I10" s="11">
        <v>300000</v>
      </c>
      <c r="J10" s="4">
        <v>0</v>
      </c>
      <c r="K10" s="5">
        <v>300000</v>
      </c>
      <c r="L10" s="4">
        <v>0</v>
      </c>
      <c r="M10" s="4">
        <v>0</v>
      </c>
      <c r="N10" s="5">
        <v>300000</v>
      </c>
      <c r="O10" s="4">
        <v>0</v>
      </c>
      <c r="P10" s="4">
        <v>0</v>
      </c>
    </row>
    <row r="11" spans="1:16" x14ac:dyDescent="0.25">
      <c r="A11" t="s">
        <v>113</v>
      </c>
      <c r="B11" t="s">
        <v>34</v>
      </c>
      <c r="C11" s="2" t="s">
        <v>125</v>
      </c>
      <c r="D11" t="s">
        <v>35</v>
      </c>
      <c r="E11" s="5">
        <v>23577600</v>
      </c>
      <c r="F11" s="4">
        <v>0</v>
      </c>
      <c r="G11" s="5">
        <v>-8577600</v>
      </c>
      <c r="H11" s="11">
        <v>15000000</v>
      </c>
      <c r="I11" s="11">
        <v>23577600</v>
      </c>
      <c r="J11" s="5">
        <v>-8577600</v>
      </c>
      <c r="K11" s="5">
        <v>15000000</v>
      </c>
      <c r="L11" s="4">
        <v>0</v>
      </c>
      <c r="M11" s="4">
        <v>0</v>
      </c>
      <c r="N11" s="5">
        <v>15000000</v>
      </c>
      <c r="O11" s="4">
        <v>0</v>
      </c>
      <c r="P11" s="5">
        <v>19520000</v>
      </c>
    </row>
    <row r="12" spans="1:16" x14ac:dyDescent="0.25">
      <c r="A12" t="s">
        <v>113</v>
      </c>
      <c r="B12" t="s">
        <v>36</v>
      </c>
      <c r="C12" s="2" t="s">
        <v>126</v>
      </c>
      <c r="D12" t="s">
        <v>37</v>
      </c>
      <c r="E12" s="5">
        <v>10000000</v>
      </c>
      <c r="F12" s="4">
        <v>0</v>
      </c>
      <c r="G12" s="5">
        <v>-300000</v>
      </c>
      <c r="H12" s="11">
        <v>9700000</v>
      </c>
      <c r="I12" s="11">
        <v>9700000</v>
      </c>
      <c r="J12" s="4">
        <v>0</v>
      </c>
      <c r="K12" s="5">
        <v>9700000</v>
      </c>
      <c r="L12" s="4">
        <v>0</v>
      </c>
      <c r="M12" s="4">
        <v>0</v>
      </c>
      <c r="N12" s="5">
        <v>9700000</v>
      </c>
      <c r="O12" s="4">
        <v>0</v>
      </c>
      <c r="P12" s="5">
        <v>2475400</v>
      </c>
    </row>
    <row r="13" spans="1:16" x14ac:dyDescent="0.25">
      <c r="A13" t="s">
        <v>38</v>
      </c>
      <c r="B13" t="s">
        <v>39</v>
      </c>
      <c r="C13" s="2" t="s">
        <v>127</v>
      </c>
      <c r="D13" t="s">
        <v>40</v>
      </c>
      <c r="E13" s="5">
        <v>3000000</v>
      </c>
      <c r="F13" s="4">
        <v>0</v>
      </c>
      <c r="G13" s="5">
        <v>-3000000</v>
      </c>
      <c r="H13" s="10">
        <v>0</v>
      </c>
      <c r="I13" s="10">
        <v>0</v>
      </c>
      <c r="J13" s="4">
        <v>0</v>
      </c>
      <c r="K13" s="4">
        <v>0</v>
      </c>
      <c r="L13" s="4">
        <v>0</v>
      </c>
      <c r="M13" s="4">
        <v>0</v>
      </c>
      <c r="N13" s="4">
        <v>0</v>
      </c>
      <c r="O13" s="4">
        <v>0</v>
      </c>
      <c r="P13" s="4">
        <v>0</v>
      </c>
    </row>
    <row r="14" spans="1:16" x14ac:dyDescent="0.25">
      <c r="A14" t="s">
        <v>38</v>
      </c>
      <c r="B14" t="s">
        <v>41</v>
      </c>
      <c r="C14" s="2" t="s">
        <v>42</v>
      </c>
      <c r="D14" t="s">
        <v>43</v>
      </c>
      <c r="E14" s="5">
        <v>6892745.21</v>
      </c>
      <c r="F14" s="4">
        <v>0</v>
      </c>
      <c r="G14" s="5">
        <v>3502004.42</v>
      </c>
      <c r="H14" s="11">
        <v>10394749.630000001</v>
      </c>
      <c r="I14" s="11">
        <v>6892745.21</v>
      </c>
      <c r="J14" s="5">
        <v>3502004.42</v>
      </c>
      <c r="K14" s="5">
        <v>10394749.630000001</v>
      </c>
      <c r="L14" s="4">
        <v>0</v>
      </c>
      <c r="M14" s="4">
        <v>0</v>
      </c>
      <c r="N14" s="5">
        <v>10394749.630000001</v>
      </c>
      <c r="O14" s="4">
        <v>0</v>
      </c>
      <c r="P14" s="5">
        <v>10394749.630000001</v>
      </c>
    </row>
    <row r="15" spans="1:16" x14ac:dyDescent="0.25">
      <c r="A15" t="s">
        <v>114</v>
      </c>
      <c r="B15" t="s">
        <v>130</v>
      </c>
      <c r="C15" s="2" t="s">
        <v>129</v>
      </c>
      <c r="D15" t="s">
        <v>128</v>
      </c>
      <c r="E15" s="5">
        <v>427378789.81</v>
      </c>
      <c r="F15" s="4">
        <v>0</v>
      </c>
      <c r="G15" s="5">
        <v>103781456.45999999</v>
      </c>
      <c r="H15" s="11">
        <v>531160246.26999998</v>
      </c>
      <c r="I15" s="11">
        <v>365000000</v>
      </c>
      <c r="J15" s="5">
        <v>166160246.27000001</v>
      </c>
      <c r="K15" s="5">
        <v>531160246.26999998</v>
      </c>
      <c r="L15" s="4">
        <v>0</v>
      </c>
      <c r="M15" s="4">
        <v>0</v>
      </c>
      <c r="N15" s="5">
        <v>531160246.26999998</v>
      </c>
      <c r="O15" s="4">
        <v>0</v>
      </c>
      <c r="P15" s="5">
        <v>368461391.13999999</v>
      </c>
    </row>
    <row r="16" spans="1:16" x14ac:dyDescent="0.25">
      <c r="A16" t="s">
        <v>114</v>
      </c>
      <c r="B16" t="s">
        <v>44</v>
      </c>
      <c r="C16" s="2" t="s">
        <v>45</v>
      </c>
      <c r="D16" t="s">
        <v>46</v>
      </c>
      <c r="E16" s="5">
        <v>92161305</v>
      </c>
      <c r="F16" s="4">
        <v>0</v>
      </c>
      <c r="G16" s="5">
        <v>-11466516.48</v>
      </c>
      <c r="H16" s="11">
        <v>80694788.519999996</v>
      </c>
      <c r="I16" s="11">
        <v>92161305</v>
      </c>
      <c r="J16" s="5">
        <v>-11466516.48</v>
      </c>
      <c r="K16" s="5">
        <v>80694788.519999996</v>
      </c>
      <c r="L16" s="4">
        <v>0</v>
      </c>
      <c r="M16" s="4">
        <v>0</v>
      </c>
      <c r="N16" s="5">
        <v>80694788.519999996</v>
      </c>
      <c r="O16" s="4">
        <v>0</v>
      </c>
      <c r="P16" s="5">
        <v>33041300.84</v>
      </c>
    </row>
    <row r="17" spans="1:16" x14ac:dyDescent="0.25">
      <c r="A17" t="s">
        <v>114</v>
      </c>
      <c r="B17" t="s">
        <v>47</v>
      </c>
      <c r="C17" s="2" t="s">
        <v>48</v>
      </c>
      <c r="D17" t="s">
        <v>131</v>
      </c>
      <c r="E17" s="5">
        <v>259599611.03999999</v>
      </c>
      <c r="F17" s="4">
        <v>0</v>
      </c>
      <c r="G17" s="5">
        <v>-91180127.349999994</v>
      </c>
      <c r="H17" s="11">
        <v>168419483.69</v>
      </c>
      <c r="I17" s="11">
        <v>259599611.03999999</v>
      </c>
      <c r="J17" s="5">
        <v>-91180127.349999994</v>
      </c>
      <c r="K17" s="5">
        <v>168419483.69</v>
      </c>
      <c r="L17" s="4">
        <v>0</v>
      </c>
      <c r="M17" s="4">
        <v>0</v>
      </c>
      <c r="N17" s="5">
        <v>168419483.69</v>
      </c>
      <c r="O17" s="4">
        <v>0</v>
      </c>
      <c r="P17" s="5">
        <v>105752028.31999999</v>
      </c>
    </row>
    <row r="18" spans="1:16" x14ac:dyDescent="0.25">
      <c r="A18" t="s">
        <v>115</v>
      </c>
      <c r="B18" t="s">
        <v>49</v>
      </c>
      <c r="C18" s="2" t="s">
        <v>132</v>
      </c>
      <c r="D18" t="s">
        <v>50</v>
      </c>
      <c r="E18" s="5">
        <v>13000000</v>
      </c>
      <c r="F18" s="4">
        <v>0</v>
      </c>
      <c r="G18" s="5">
        <v>-1004000</v>
      </c>
      <c r="H18" s="11">
        <v>11996000</v>
      </c>
      <c r="I18" s="11">
        <v>10300000</v>
      </c>
      <c r="J18" s="5">
        <v>696000</v>
      </c>
      <c r="K18" s="5">
        <v>10996000</v>
      </c>
      <c r="L18" s="5">
        <v>1000000</v>
      </c>
      <c r="M18" s="4">
        <v>0</v>
      </c>
      <c r="N18" s="5">
        <v>11996000</v>
      </c>
      <c r="O18" s="4">
        <v>0</v>
      </c>
      <c r="P18" s="5">
        <v>2372629.9700000002</v>
      </c>
    </row>
    <row r="19" spans="1:16" x14ac:dyDescent="0.25">
      <c r="A19" t="s">
        <v>115</v>
      </c>
      <c r="B19" t="s">
        <v>51</v>
      </c>
      <c r="C19" s="2" t="s">
        <v>133</v>
      </c>
      <c r="D19" t="s">
        <v>137</v>
      </c>
      <c r="E19" s="5">
        <v>305793900.70999998</v>
      </c>
      <c r="F19" s="4">
        <v>0</v>
      </c>
      <c r="G19" s="5">
        <v>-61100830.490000002</v>
      </c>
      <c r="H19" s="11">
        <v>244693070.22</v>
      </c>
      <c r="I19" s="11">
        <v>227456344.43000001</v>
      </c>
      <c r="J19" s="5">
        <v>4689859.79</v>
      </c>
      <c r="K19" s="5">
        <v>232146204.22</v>
      </c>
      <c r="L19" s="5">
        <v>12546866</v>
      </c>
      <c r="M19" s="4">
        <v>0</v>
      </c>
      <c r="N19" s="5">
        <v>244693070.22</v>
      </c>
      <c r="O19" s="4">
        <v>0</v>
      </c>
      <c r="P19" s="5">
        <v>32768956.219999999</v>
      </c>
    </row>
    <row r="20" spans="1:16" x14ac:dyDescent="0.25">
      <c r="A20" t="s">
        <v>115</v>
      </c>
      <c r="B20" t="s">
        <v>52</v>
      </c>
      <c r="C20" s="2" t="s">
        <v>134</v>
      </c>
      <c r="D20" t="s">
        <v>53</v>
      </c>
      <c r="E20" s="5">
        <v>224321762.87</v>
      </c>
      <c r="F20" s="4">
        <v>0</v>
      </c>
      <c r="G20" s="5">
        <v>-28169047.170000002</v>
      </c>
      <c r="H20" s="11">
        <v>196152715.69999999</v>
      </c>
      <c r="I20" s="11">
        <v>184929323.47999999</v>
      </c>
      <c r="J20" s="5">
        <v>770258.22</v>
      </c>
      <c r="K20" s="5">
        <v>185699581.69999999</v>
      </c>
      <c r="L20" s="5">
        <v>10453134</v>
      </c>
      <c r="M20" s="4">
        <v>0</v>
      </c>
      <c r="N20" s="5">
        <v>196152715.69999999</v>
      </c>
      <c r="O20" s="4">
        <v>0</v>
      </c>
      <c r="P20" s="5">
        <v>78288687.219999999</v>
      </c>
    </row>
    <row r="21" spans="1:16" ht="45" x14ac:dyDescent="0.25">
      <c r="A21" t="s">
        <v>115</v>
      </c>
      <c r="B21" t="s">
        <v>54</v>
      </c>
      <c r="C21" s="2" t="s">
        <v>135</v>
      </c>
      <c r="D21" t="s">
        <v>136</v>
      </c>
      <c r="E21" s="5">
        <v>22296090.91</v>
      </c>
      <c r="F21" s="4">
        <v>0</v>
      </c>
      <c r="G21" s="5">
        <v>-4556456.1500000004</v>
      </c>
      <c r="H21" s="11">
        <v>17739634.760000002</v>
      </c>
      <c r="I21" s="11">
        <v>18606970.550000001</v>
      </c>
      <c r="J21" s="5">
        <v>-1367335.79</v>
      </c>
      <c r="K21" s="5">
        <v>17239634.760000002</v>
      </c>
      <c r="L21" s="5">
        <v>500000</v>
      </c>
      <c r="M21" s="4">
        <v>0</v>
      </c>
      <c r="N21" s="5">
        <v>17739634.760000002</v>
      </c>
      <c r="O21" s="4">
        <v>0</v>
      </c>
      <c r="P21" s="5">
        <v>10336205.359999999</v>
      </c>
    </row>
    <row r="22" spans="1:16" ht="45" x14ac:dyDescent="0.25">
      <c r="A22" t="s">
        <v>55</v>
      </c>
      <c r="B22" t="s">
        <v>56</v>
      </c>
      <c r="C22" s="2" t="s">
        <v>138</v>
      </c>
      <c r="D22" t="s">
        <v>128</v>
      </c>
      <c r="E22" s="5">
        <v>158796484.86000001</v>
      </c>
      <c r="F22" s="4">
        <v>0</v>
      </c>
      <c r="G22" s="5">
        <v>-18670950.039999999</v>
      </c>
      <c r="H22" s="11">
        <v>140125534.81999999</v>
      </c>
      <c r="I22" s="11">
        <v>132000000</v>
      </c>
      <c r="J22" s="5">
        <v>4125534.82</v>
      </c>
      <c r="K22" s="5">
        <v>136125534.81999999</v>
      </c>
      <c r="L22" s="5">
        <v>4000000</v>
      </c>
      <c r="M22" s="4">
        <v>0</v>
      </c>
      <c r="N22" s="5">
        <v>140125534.81999999</v>
      </c>
      <c r="O22" s="4">
        <v>0</v>
      </c>
      <c r="P22" s="5">
        <v>27556944.890000001</v>
      </c>
    </row>
    <row r="23" spans="1:16" x14ac:dyDescent="0.25">
      <c r="A23" t="s">
        <v>55</v>
      </c>
      <c r="B23" t="s">
        <v>57</v>
      </c>
      <c r="C23" s="2" t="s">
        <v>58</v>
      </c>
      <c r="D23" t="s">
        <v>59</v>
      </c>
      <c r="E23" s="5">
        <v>13042110.189999999</v>
      </c>
      <c r="F23" s="4">
        <v>0</v>
      </c>
      <c r="G23" s="5">
        <v>738542.91</v>
      </c>
      <c r="H23" s="11">
        <v>13780653.1</v>
      </c>
      <c r="I23" s="11">
        <v>13300000</v>
      </c>
      <c r="J23" s="5">
        <v>480653.1</v>
      </c>
      <c r="K23" s="5">
        <v>13780653.1</v>
      </c>
      <c r="L23" s="4">
        <v>0</v>
      </c>
      <c r="M23" s="4">
        <v>0</v>
      </c>
      <c r="N23" s="5">
        <v>13780653.1</v>
      </c>
      <c r="O23" s="4">
        <v>0</v>
      </c>
      <c r="P23" s="4">
        <v>0</v>
      </c>
    </row>
    <row r="24" spans="1:16" x14ac:dyDescent="0.25">
      <c r="A24" t="s">
        <v>116</v>
      </c>
      <c r="B24" t="s">
        <v>118</v>
      </c>
      <c r="C24" s="2" t="s">
        <v>60</v>
      </c>
      <c r="D24" t="s">
        <v>61</v>
      </c>
      <c r="E24" s="5">
        <v>328382908.5</v>
      </c>
      <c r="F24" s="4">
        <v>0</v>
      </c>
      <c r="G24" s="5">
        <v>-16810571.140000001</v>
      </c>
      <c r="H24" s="11">
        <v>311572337.36000001</v>
      </c>
      <c r="I24" s="11">
        <v>310000000</v>
      </c>
      <c r="J24" s="5">
        <v>-3427662.64</v>
      </c>
      <c r="K24" s="5">
        <v>306572337.36000001</v>
      </c>
      <c r="L24" s="5">
        <v>5000000</v>
      </c>
      <c r="M24" s="4">
        <v>0</v>
      </c>
      <c r="N24" s="5">
        <v>311572337.36000001</v>
      </c>
      <c r="O24" s="4">
        <v>0</v>
      </c>
      <c r="P24" s="5">
        <v>35613423.710000001</v>
      </c>
    </row>
    <row r="25" spans="1:16" x14ac:dyDescent="0.25">
      <c r="A25" t="s">
        <v>119</v>
      </c>
      <c r="B25" t="s">
        <v>117</v>
      </c>
      <c r="C25" s="2" t="s">
        <v>62</v>
      </c>
      <c r="D25" t="s">
        <v>139</v>
      </c>
      <c r="E25" s="5">
        <v>332452945.20999998</v>
      </c>
      <c r="F25" s="4">
        <v>0</v>
      </c>
      <c r="G25" s="5">
        <v>-46236955.159999996</v>
      </c>
      <c r="H25" s="11">
        <v>286215990.05000001</v>
      </c>
      <c r="I25" s="11">
        <v>290173000</v>
      </c>
      <c r="J25" s="5">
        <v>-3957009.95</v>
      </c>
      <c r="K25" s="5">
        <v>286215990.05000001</v>
      </c>
      <c r="L25" s="4">
        <v>0</v>
      </c>
      <c r="M25" s="4">
        <v>0</v>
      </c>
      <c r="N25" s="5">
        <v>286215990.05000001</v>
      </c>
      <c r="O25" s="4">
        <v>0</v>
      </c>
      <c r="P25" s="5">
        <v>83956731.540000007</v>
      </c>
    </row>
    <row r="26" spans="1:16" x14ac:dyDescent="0.25">
      <c r="A26" t="s">
        <v>119</v>
      </c>
      <c r="B26" t="s">
        <v>63</v>
      </c>
      <c r="C26" s="2" t="s">
        <v>140</v>
      </c>
      <c r="D26" t="s">
        <v>139</v>
      </c>
      <c r="E26" s="5">
        <v>45782001.479999997</v>
      </c>
      <c r="F26" s="4">
        <v>0</v>
      </c>
      <c r="G26" s="5">
        <v>-27226411.899999999</v>
      </c>
      <c r="H26" s="11">
        <v>18555589.579999998</v>
      </c>
      <c r="I26" s="11">
        <v>15000000</v>
      </c>
      <c r="J26" s="5">
        <v>55589.58</v>
      </c>
      <c r="K26" s="5">
        <v>15055589.58</v>
      </c>
      <c r="L26" s="5">
        <v>3500000</v>
      </c>
      <c r="M26" s="4">
        <v>0</v>
      </c>
      <c r="N26" s="5">
        <v>18555589.579999998</v>
      </c>
      <c r="O26" s="4">
        <v>0</v>
      </c>
      <c r="P26" s="5">
        <v>4061050.55</v>
      </c>
    </row>
    <row r="27" spans="1:16" x14ac:dyDescent="0.25">
      <c r="A27" t="s">
        <v>119</v>
      </c>
      <c r="B27" t="s">
        <v>64</v>
      </c>
      <c r="C27" s="2" t="s">
        <v>141</v>
      </c>
      <c r="D27" t="s">
        <v>139</v>
      </c>
      <c r="E27" s="5">
        <v>28066202.350000001</v>
      </c>
      <c r="F27" s="4">
        <v>0</v>
      </c>
      <c r="G27" s="5">
        <v>-8534926.8100000005</v>
      </c>
      <c r="H27" s="11">
        <v>19531275.539999999</v>
      </c>
      <c r="I27" s="11">
        <v>15000000</v>
      </c>
      <c r="J27" s="5">
        <v>1531275.54</v>
      </c>
      <c r="K27" s="5">
        <v>16531275.539999999</v>
      </c>
      <c r="L27" s="5">
        <v>3000000</v>
      </c>
      <c r="M27" s="4">
        <v>0</v>
      </c>
      <c r="N27" s="5">
        <v>19531275.539999999</v>
      </c>
      <c r="O27" s="4">
        <v>0</v>
      </c>
      <c r="P27" s="5">
        <v>5046234.8099999996</v>
      </c>
    </row>
    <row r="28" spans="1:16" x14ac:dyDescent="0.25">
      <c r="A28" t="s">
        <v>119</v>
      </c>
      <c r="B28" t="s">
        <v>65</v>
      </c>
      <c r="C28" s="2" t="s">
        <v>66</v>
      </c>
      <c r="D28" t="s">
        <v>139</v>
      </c>
      <c r="E28" s="5">
        <v>56392985.359999999</v>
      </c>
      <c r="F28" s="4">
        <v>0</v>
      </c>
      <c r="G28" s="5">
        <v>-14227266.32</v>
      </c>
      <c r="H28" s="11">
        <v>42165719.039999999</v>
      </c>
      <c r="I28" s="11">
        <v>40000000</v>
      </c>
      <c r="J28" s="5">
        <v>665719.04000000004</v>
      </c>
      <c r="K28" s="5">
        <v>40665719.039999999</v>
      </c>
      <c r="L28" s="5">
        <v>1500000</v>
      </c>
      <c r="M28" s="4">
        <v>0</v>
      </c>
      <c r="N28" s="5">
        <v>42165719.039999999</v>
      </c>
      <c r="O28" s="4">
        <v>0</v>
      </c>
      <c r="P28" s="5">
        <v>12752789.529999999</v>
      </c>
    </row>
    <row r="29" spans="1:16" x14ac:dyDescent="0.25">
      <c r="A29" t="s">
        <v>119</v>
      </c>
      <c r="B29" t="s">
        <v>67</v>
      </c>
      <c r="C29" s="2" t="s">
        <v>68</v>
      </c>
      <c r="D29" t="s">
        <v>139</v>
      </c>
      <c r="E29" s="5">
        <v>59240036.159999996</v>
      </c>
      <c r="F29" s="4">
        <v>0</v>
      </c>
      <c r="G29" s="5">
        <v>-8819689.0500000007</v>
      </c>
      <c r="H29" s="11">
        <v>50420347.109999999</v>
      </c>
      <c r="I29" s="11">
        <v>52100000</v>
      </c>
      <c r="J29" s="5">
        <v>-1679652.89</v>
      </c>
      <c r="K29" s="5">
        <v>50420347.109999999</v>
      </c>
      <c r="L29" s="4">
        <v>0</v>
      </c>
      <c r="M29" s="4">
        <v>0</v>
      </c>
      <c r="N29" s="5">
        <v>50420347.109999999</v>
      </c>
      <c r="O29" s="4">
        <v>0</v>
      </c>
      <c r="P29" s="5">
        <v>19967321</v>
      </c>
    </row>
    <row r="30" spans="1:16" x14ac:dyDescent="0.25">
      <c r="A30" t="s">
        <v>119</v>
      </c>
      <c r="B30" t="s">
        <v>69</v>
      </c>
      <c r="C30" s="2" t="s">
        <v>70</v>
      </c>
      <c r="D30" t="s">
        <v>139</v>
      </c>
      <c r="E30" s="5">
        <v>241840141.94</v>
      </c>
      <c r="F30" s="4">
        <v>0</v>
      </c>
      <c r="G30" s="5">
        <v>-23003892.82</v>
      </c>
      <c r="H30" s="11">
        <v>218836249.12</v>
      </c>
      <c r="I30" s="11">
        <v>237116033.84999999</v>
      </c>
      <c r="J30" s="5">
        <v>-18279784.73</v>
      </c>
      <c r="K30" s="5">
        <v>218836249.12</v>
      </c>
      <c r="L30" s="4">
        <v>0</v>
      </c>
      <c r="M30" s="4">
        <v>0</v>
      </c>
      <c r="N30" s="5">
        <v>218836249.12</v>
      </c>
      <c r="O30" s="4">
        <v>0</v>
      </c>
      <c r="P30" s="5">
        <v>44163375.859999999</v>
      </c>
    </row>
    <row r="31" spans="1:16" x14ac:dyDescent="0.25">
      <c r="A31" t="s">
        <v>119</v>
      </c>
      <c r="B31" t="s">
        <v>71</v>
      </c>
      <c r="C31" s="2" t="s">
        <v>72</v>
      </c>
      <c r="D31" t="s">
        <v>142</v>
      </c>
      <c r="E31" s="5">
        <v>182783692</v>
      </c>
      <c r="F31" s="4">
        <v>0</v>
      </c>
      <c r="G31" s="5">
        <v>-32409850</v>
      </c>
      <c r="H31" s="11">
        <v>150373842</v>
      </c>
      <c r="I31" s="11">
        <v>157326104</v>
      </c>
      <c r="J31" s="5">
        <v>-8952262</v>
      </c>
      <c r="K31" s="5">
        <v>148373842</v>
      </c>
      <c r="L31" s="5">
        <v>2000000</v>
      </c>
      <c r="M31" s="4">
        <v>0</v>
      </c>
      <c r="N31" s="5">
        <v>150373842</v>
      </c>
      <c r="O31" s="4">
        <v>0</v>
      </c>
      <c r="P31" s="5">
        <v>73781440.599999994</v>
      </c>
    </row>
    <row r="32" spans="1:16" x14ac:dyDescent="0.25">
      <c r="A32" t="s">
        <v>119</v>
      </c>
      <c r="B32" t="s">
        <v>73</v>
      </c>
      <c r="C32" s="2" t="s">
        <v>74</v>
      </c>
      <c r="D32" t="s">
        <v>143</v>
      </c>
      <c r="E32" s="5">
        <v>208786112.44999999</v>
      </c>
      <c r="F32" s="4">
        <v>0</v>
      </c>
      <c r="G32" s="5">
        <v>-45463246.170000002</v>
      </c>
      <c r="H32" s="11">
        <v>163322866.28</v>
      </c>
      <c r="I32" s="11">
        <v>170164615.43000001</v>
      </c>
      <c r="J32" s="5">
        <v>-6841749.1500000004</v>
      </c>
      <c r="K32" s="5">
        <v>163322866.28</v>
      </c>
      <c r="L32" s="4">
        <v>0</v>
      </c>
      <c r="M32" s="4">
        <v>0</v>
      </c>
      <c r="N32" s="5">
        <v>163322866.28</v>
      </c>
      <c r="O32" s="4">
        <v>0</v>
      </c>
      <c r="P32" s="5">
        <v>91102436.200000003</v>
      </c>
    </row>
    <row r="33" spans="1:16" x14ac:dyDescent="0.25">
      <c r="A33" t="s">
        <v>119</v>
      </c>
      <c r="B33" t="s">
        <v>75</v>
      </c>
      <c r="C33" s="2" t="s">
        <v>76</v>
      </c>
      <c r="D33" t="s">
        <v>144</v>
      </c>
      <c r="E33" s="5">
        <v>31424458.890000001</v>
      </c>
      <c r="F33" s="4">
        <v>0</v>
      </c>
      <c r="G33" s="5">
        <v>-5784378.8899999997</v>
      </c>
      <c r="H33" s="11">
        <v>25640080</v>
      </c>
      <c r="I33" s="11">
        <v>24140080</v>
      </c>
      <c r="J33" s="4">
        <v>0</v>
      </c>
      <c r="K33" s="5">
        <v>24140080</v>
      </c>
      <c r="L33" s="5">
        <v>1500000</v>
      </c>
      <c r="M33" s="4">
        <v>0</v>
      </c>
      <c r="N33" s="5">
        <v>25640080</v>
      </c>
      <c r="O33" s="4">
        <v>0</v>
      </c>
      <c r="P33" s="5">
        <v>17660999.699999999</v>
      </c>
    </row>
    <row r="34" spans="1:16" x14ac:dyDescent="0.25">
      <c r="A34" t="s">
        <v>119</v>
      </c>
      <c r="B34" t="s">
        <v>77</v>
      </c>
      <c r="C34" s="2" t="s">
        <v>78</v>
      </c>
      <c r="D34" t="s">
        <v>145</v>
      </c>
      <c r="E34" s="5">
        <v>38030551.960000001</v>
      </c>
      <c r="F34" s="4">
        <v>0</v>
      </c>
      <c r="G34" s="5">
        <v>-391450.09</v>
      </c>
      <c r="H34" s="11">
        <v>37639101.869999997</v>
      </c>
      <c r="I34" s="11">
        <v>35000000</v>
      </c>
      <c r="J34" s="5">
        <v>1639101.87</v>
      </c>
      <c r="K34" s="5">
        <v>36639101.869999997</v>
      </c>
      <c r="L34" s="5">
        <v>1000000</v>
      </c>
      <c r="M34" s="4">
        <v>0</v>
      </c>
      <c r="N34" s="5">
        <v>37639101.869999997</v>
      </c>
      <c r="O34" s="4">
        <v>0</v>
      </c>
      <c r="P34" s="5">
        <v>33216972.359999999</v>
      </c>
    </row>
    <row r="35" spans="1:16" x14ac:dyDescent="0.25">
      <c r="A35" t="s">
        <v>119</v>
      </c>
      <c r="B35" t="s">
        <v>79</v>
      </c>
      <c r="C35" s="2" t="s">
        <v>80</v>
      </c>
      <c r="D35" t="s">
        <v>81</v>
      </c>
      <c r="E35" s="5">
        <v>42792486</v>
      </c>
      <c r="F35" s="4">
        <v>0</v>
      </c>
      <c r="G35" s="5">
        <v>-28501779.48</v>
      </c>
      <c r="H35" s="11">
        <v>14290706.52</v>
      </c>
      <c r="I35" s="11">
        <v>11200000</v>
      </c>
      <c r="J35" s="5">
        <v>90706.52</v>
      </c>
      <c r="K35" s="5">
        <v>11290706.52</v>
      </c>
      <c r="L35" s="5">
        <v>3000000</v>
      </c>
      <c r="M35" s="4">
        <v>0</v>
      </c>
      <c r="N35" s="5">
        <v>14290706.52</v>
      </c>
      <c r="O35" s="4">
        <v>0</v>
      </c>
      <c r="P35" s="5">
        <v>10724890.73</v>
      </c>
    </row>
    <row r="36" spans="1:16" x14ac:dyDescent="0.25">
      <c r="A36" t="s">
        <v>119</v>
      </c>
      <c r="B36" t="s">
        <v>82</v>
      </c>
      <c r="C36" s="2" t="s">
        <v>83</v>
      </c>
      <c r="D36" t="s">
        <v>84</v>
      </c>
      <c r="E36" s="5">
        <v>7988909.5</v>
      </c>
      <c r="F36" s="4">
        <v>0</v>
      </c>
      <c r="G36" s="5">
        <v>64405.8</v>
      </c>
      <c r="H36" s="11">
        <v>8053315.2999999998</v>
      </c>
      <c r="I36" s="11">
        <v>7988909.5</v>
      </c>
      <c r="J36" s="5">
        <v>64405.8</v>
      </c>
      <c r="K36" s="5">
        <v>8053315.2999999998</v>
      </c>
      <c r="L36" s="4">
        <v>0</v>
      </c>
      <c r="M36" s="4">
        <v>0</v>
      </c>
      <c r="N36" s="5">
        <v>8053315.2999999998</v>
      </c>
      <c r="O36" s="4">
        <v>0</v>
      </c>
      <c r="P36" s="4">
        <v>0</v>
      </c>
    </row>
    <row r="37" spans="1:16" ht="30" x14ac:dyDescent="0.25">
      <c r="A37" t="s">
        <v>119</v>
      </c>
      <c r="B37" t="s">
        <v>85</v>
      </c>
      <c r="C37" s="2" t="s">
        <v>146</v>
      </c>
      <c r="D37" t="s">
        <v>147</v>
      </c>
      <c r="E37" s="5">
        <v>93951488</v>
      </c>
      <c r="F37" s="4">
        <v>0</v>
      </c>
      <c r="G37" s="5">
        <v>-1532194.83</v>
      </c>
      <c r="H37" s="11">
        <v>92419293.170000002</v>
      </c>
      <c r="I37" s="11">
        <v>78000000</v>
      </c>
      <c r="J37" s="5">
        <v>9419293.1699999999</v>
      </c>
      <c r="K37" s="5">
        <v>87419293.170000002</v>
      </c>
      <c r="L37" s="5">
        <v>5000000</v>
      </c>
      <c r="M37" s="4">
        <v>0</v>
      </c>
      <c r="N37" s="5">
        <v>92419293.170000002</v>
      </c>
      <c r="O37" s="4">
        <v>0</v>
      </c>
      <c r="P37" s="5">
        <v>45063807.57</v>
      </c>
    </row>
    <row r="38" spans="1:16" x14ac:dyDescent="0.25">
      <c r="A38" t="s">
        <v>120</v>
      </c>
      <c r="B38" t="s">
        <v>121</v>
      </c>
      <c r="C38" s="2" t="s">
        <v>148</v>
      </c>
      <c r="D38" t="s">
        <v>84</v>
      </c>
      <c r="E38" s="5">
        <v>14870408.310000001</v>
      </c>
      <c r="F38" s="4">
        <v>0</v>
      </c>
      <c r="G38" s="4">
        <v>0</v>
      </c>
      <c r="H38" s="11">
        <v>14870408.310000001</v>
      </c>
      <c r="I38" s="11">
        <v>14870408.310000001</v>
      </c>
      <c r="J38" s="4">
        <v>0</v>
      </c>
      <c r="K38" s="5">
        <v>14870408.310000001</v>
      </c>
      <c r="L38" s="4">
        <v>0</v>
      </c>
      <c r="M38" s="4">
        <v>0</v>
      </c>
      <c r="N38" s="5">
        <v>14870408.310000001</v>
      </c>
      <c r="O38" s="4">
        <v>0</v>
      </c>
      <c r="P38" s="4">
        <v>0</v>
      </c>
    </row>
    <row r="39" spans="1:16" ht="30" x14ac:dyDescent="0.25">
      <c r="A39" t="s">
        <v>120</v>
      </c>
      <c r="B39" t="s">
        <v>86</v>
      </c>
      <c r="C39" s="2" t="s">
        <v>149</v>
      </c>
      <c r="D39" t="s">
        <v>150</v>
      </c>
      <c r="E39" s="5">
        <v>68309768.890000001</v>
      </c>
      <c r="F39" s="4">
        <v>0</v>
      </c>
      <c r="G39" s="5">
        <v>-39047256.350000001</v>
      </c>
      <c r="H39" s="11">
        <v>29262512.539999999</v>
      </c>
      <c r="I39" s="11">
        <v>23000000</v>
      </c>
      <c r="J39" s="5">
        <v>3262512.54</v>
      </c>
      <c r="K39" s="5">
        <v>26262512.539999999</v>
      </c>
      <c r="L39" s="5">
        <v>3000000</v>
      </c>
      <c r="M39" s="4">
        <v>0</v>
      </c>
      <c r="N39" s="5">
        <v>29262512.539999999</v>
      </c>
      <c r="O39" s="4">
        <v>0</v>
      </c>
      <c r="P39" s="5">
        <v>4467215.6500000004</v>
      </c>
    </row>
    <row r="40" spans="1:16" x14ac:dyDescent="0.25">
      <c r="A40" t="s">
        <v>120</v>
      </c>
      <c r="B40" t="s">
        <v>87</v>
      </c>
      <c r="C40" s="2" t="s">
        <v>152</v>
      </c>
      <c r="D40" t="s">
        <v>151</v>
      </c>
      <c r="E40" s="5">
        <v>58476218.700000003</v>
      </c>
      <c r="F40" s="4">
        <v>0</v>
      </c>
      <c r="G40" s="5">
        <v>-25696592.350000001</v>
      </c>
      <c r="H40" s="11">
        <v>32779626.350000001</v>
      </c>
      <c r="I40" s="11">
        <v>28000000</v>
      </c>
      <c r="J40" s="5">
        <v>-220373.65</v>
      </c>
      <c r="K40" s="5">
        <v>27779626.350000001</v>
      </c>
      <c r="L40" s="5">
        <v>5000000</v>
      </c>
      <c r="M40" s="4">
        <v>0</v>
      </c>
      <c r="N40" s="5">
        <v>32779626.350000001</v>
      </c>
      <c r="O40" s="4">
        <v>0</v>
      </c>
      <c r="P40" s="5">
        <v>2800000</v>
      </c>
    </row>
    <row r="41" spans="1:16" x14ac:dyDescent="0.25">
      <c r="A41" t="s">
        <v>120</v>
      </c>
      <c r="B41" t="s">
        <v>88</v>
      </c>
      <c r="C41" s="2" t="s">
        <v>153</v>
      </c>
      <c r="D41" t="s">
        <v>154</v>
      </c>
      <c r="E41" s="5">
        <v>23705175.989999998</v>
      </c>
      <c r="F41" s="4">
        <v>0</v>
      </c>
      <c r="G41" s="5">
        <v>-1514179.27</v>
      </c>
      <c r="H41" s="11">
        <v>22190996.719999999</v>
      </c>
      <c r="I41" s="11">
        <v>22000000</v>
      </c>
      <c r="J41" s="5">
        <v>-309003.28000000003</v>
      </c>
      <c r="K41" s="5">
        <v>21690996.719999999</v>
      </c>
      <c r="L41" s="5">
        <v>500000</v>
      </c>
      <c r="M41" s="4">
        <v>0</v>
      </c>
      <c r="N41" s="5">
        <v>22190996.719999999</v>
      </c>
      <c r="O41" s="4">
        <v>0</v>
      </c>
      <c r="P41" s="5">
        <v>10598876.109999999</v>
      </c>
    </row>
    <row r="42" spans="1:16" x14ac:dyDescent="0.25">
      <c r="A42" t="s">
        <v>120</v>
      </c>
      <c r="B42" t="s">
        <v>89</v>
      </c>
      <c r="C42" s="2" t="s">
        <v>90</v>
      </c>
      <c r="D42" t="s">
        <v>84</v>
      </c>
      <c r="E42" s="5">
        <v>900000</v>
      </c>
      <c r="F42" s="4">
        <v>0</v>
      </c>
      <c r="G42" s="4">
        <v>0</v>
      </c>
      <c r="H42" s="11">
        <v>900000</v>
      </c>
      <c r="I42" s="11">
        <v>900000</v>
      </c>
      <c r="J42" s="4">
        <v>0</v>
      </c>
      <c r="K42" s="5">
        <v>900000</v>
      </c>
      <c r="L42" s="4">
        <v>0</v>
      </c>
      <c r="M42" s="4">
        <v>0</v>
      </c>
      <c r="N42" s="5">
        <v>900000</v>
      </c>
      <c r="O42" s="4">
        <v>0</v>
      </c>
      <c r="P42" s="4">
        <v>0</v>
      </c>
    </row>
    <row r="43" spans="1:16" x14ac:dyDescent="0.25">
      <c r="A43" t="s">
        <v>120</v>
      </c>
      <c r="B43" t="s">
        <v>91</v>
      </c>
      <c r="C43" s="2" t="s">
        <v>92</v>
      </c>
      <c r="D43" t="s">
        <v>84</v>
      </c>
      <c r="E43" s="5">
        <v>6000000</v>
      </c>
      <c r="F43" s="4">
        <v>0</v>
      </c>
      <c r="G43" s="5">
        <v>48027.06</v>
      </c>
      <c r="H43" s="11">
        <v>6048027.0599999996</v>
      </c>
      <c r="I43" s="11">
        <v>6000000</v>
      </c>
      <c r="J43" s="5">
        <v>48027.06</v>
      </c>
      <c r="K43" s="5">
        <v>6048027.0599999996</v>
      </c>
      <c r="L43" s="4">
        <v>0</v>
      </c>
      <c r="M43" s="4">
        <v>0</v>
      </c>
      <c r="N43" s="5">
        <v>6048027.0599999996</v>
      </c>
      <c r="O43" s="4">
        <v>0</v>
      </c>
      <c r="P43" s="4">
        <v>0</v>
      </c>
    </row>
    <row r="44" spans="1:16" x14ac:dyDescent="0.25">
      <c r="A44" t="s">
        <v>93</v>
      </c>
      <c r="B44" t="s">
        <v>94</v>
      </c>
      <c r="C44" s="2" t="s">
        <v>155</v>
      </c>
      <c r="D44" t="s">
        <v>156</v>
      </c>
      <c r="E44" s="5">
        <v>62288221.200000003</v>
      </c>
      <c r="F44" s="4">
        <v>0</v>
      </c>
      <c r="G44" s="5">
        <v>-4345008.3899999997</v>
      </c>
      <c r="H44" s="11">
        <v>57943212.810000002</v>
      </c>
      <c r="I44" s="11">
        <v>59000000</v>
      </c>
      <c r="J44" s="5">
        <v>-2056787.19</v>
      </c>
      <c r="K44" s="5">
        <v>56943212.810000002</v>
      </c>
      <c r="L44" s="5">
        <v>1000000</v>
      </c>
      <c r="M44" s="4">
        <v>0</v>
      </c>
      <c r="N44" s="5">
        <v>57943212.810000002</v>
      </c>
      <c r="O44" s="4">
        <v>0</v>
      </c>
      <c r="P44" s="5">
        <v>5900000</v>
      </c>
    </row>
    <row r="45" spans="1:16" x14ac:dyDescent="0.25">
      <c r="A45" t="s">
        <v>93</v>
      </c>
      <c r="B45" t="s">
        <v>95</v>
      </c>
      <c r="C45" s="2" t="s">
        <v>96</v>
      </c>
      <c r="D45" t="s">
        <v>156</v>
      </c>
      <c r="E45" s="4">
        <v>0</v>
      </c>
      <c r="F45" s="4">
        <v>0</v>
      </c>
      <c r="G45" s="4">
        <v>0</v>
      </c>
      <c r="H45" s="10">
        <v>0</v>
      </c>
      <c r="I45" s="10">
        <v>0</v>
      </c>
      <c r="J45" s="4">
        <v>0</v>
      </c>
      <c r="K45" s="4">
        <v>0</v>
      </c>
      <c r="L45" s="4">
        <v>0</v>
      </c>
      <c r="M45" s="4">
        <v>0</v>
      </c>
      <c r="N45" s="4">
        <v>0</v>
      </c>
      <c r="O45" s="4">
        <v>0</v>
      </c>
      <c r="P45" s="4">
        <v>0</v>
      </c>
    </row>
    <row r="46" spans="1:16" x14ac:dyDescent="0.25">
      <c r="A46" t="s">
        <v>122</v>
      </c>
      <c r="B46" t="s">
        <v>158</v>
      </c>
      <c r="C46" s="2" t="s">
        <v>97</v>
      </c>
      <c r="D46" t="s">
        <v>84</v>
      </c>
      <c r="E46" s="5">
        <v>48780524.539999999</v>
      </c>
      <c r="F46" s="4">
        <v>0</v>
      </c>
      <c r="G46" s="5">
        <v>445135770.75999999</v>
      </c>
      <c r="H46" s="11">
        <v>493916295.30000001</v>
      </c>
      <c r="I46" s="10">
        <v>0</v>
      </c>
      <c r="J46" s="4">
        <v>0</v>
      </c>
      <c r="K46" s="4">
        <v>0</v>
      </c>
      <c r="L46" s="5">
        <v>493916295.30000001</v>
      </c>
      <c r="M46" s="3"/>
      <c r="N46" s="5">
        <v>493916295.30000001</v>
      </c>
      <c r="O46" s="4">
        <v>0</v>
      </c>
      <c r="P46" s="4">
        <v>0</v>
      </c>
    </row>
    <row r="47" spans="1:16" x14ac:dyDescent="0.25">
      <c r="H47" s="7">
        <f>SUM(H3:H46)</f>
        <v>3560764159.0299993</v>
      </c>
      <c r="I47" s="7">
        <f>SUM(I3:I46)</f>
        <v>2960161571.7999997</v>
      </c>
    </row>
  </sheetData>
  <autoFilter ref="A1:P49" xr:uid="{69366F61-DC13-44C2-9AAB-B4F4E351E1D8}"/>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ECF18-A06F-46CD-8C1E-D6CD7DD4E81E}">
  <dimension ref="A1:AA46"/>
  <sheetViews>
    <sheetView topLeftCell="P1" zoomScale="70" zoomScaleNormal="70" workbookViewId="0">
      <pane ySplit="615" activePane="bottomLeft"/>
      <selection activeCell="P22" sqref="P22"/>
      <selection pane="bottomLeft" activeCell="AH3" sqref="AH3"/>
    </sheetView>
  </sheetViews>
  <sheetFormatPr defaultRowHeight="15" x14ac:dyDescent="0.25"/>
  <cols>
    <col min="1" max="1" width="47.5703125" bestFit="1" customWidth="1"/>
    <col min="2" max="2" width="7.5703125" bestFit="1" customWidth="1"/>
    <col min="3" max="3" width="32.42578125" bestFit="1" customWidth="1"/>
    <col min="4" max="4" width="57.85546875" bestFit="1" customWidth="1"/>
    <col min="5" max="5" width="16.85546875" bestFit="1" customWidth="1"/>
    <col min="6" max="6" width="17.28515625" bestFit="1" customWidth="1"/>
    <col min="7" max="7" width="16.7109375" bestFit="1" customWidth="1"/>
    <col min="8" max="8" width="22.140625" style="6" bestFit="1" customWidth="1"/>
    <col min="9" max="9" width="25.28515625" style="6" bestFit="1" customWidth="1"/>
    <col min="10" max="10" width="26.85546875" style="16" bestFit="1" customWidth="1"/>
    <col min="11" max="11" width="28.140625" customWidth="1"/>
    <col min="12" max="12" width="18.7109375" bestFit="1" customWidth="1"/>
    <col min="13" max="13" width="13.7109375" bestFit="1" customWidth="1"/>
    <col min="14" max="14" width="22.140625" customWidth="1"/>
    <col min="15" max="15" width="12.140625" bestFit="1" customWidth="1"/>
    <col min="16" max="16" width="19.85546875" bestFit="1" customWidth="1"/>
    <col min="19" max="19" width="11.7109375" bestFit="1" customWidth="1"/>
    <col min="20" max="20" width="19.28515625" bestFit="1" customWidth="1"/>
    <col min="21" max="21" width="19.5703125" bestFit="1" customWidth="1"/>
    <col min="22" max="23" width="20.28515625" bestFit="1" customWidth="1"/>
    <col min="24" max="24" width="21" bestFit="1" customWidth="1"/>
    <col min="25" max="25" width="19.28515625" bestFit="1" customWidth="1"/>
    <col min="26" max="26" width="13.42578125" bestFit="1" customWidth="1"/>
    <col min="27" max="27" width="16.85546875" bestFit="1" customWidth="1"/>
  </cols>
  <sheetData>
    <row r="1" spans="1:27" x14ac:dyDescent="0.25">
      <c r="A1" s="12" t="s">
        <v>104</v>
      </c>
      <c r="B1" s="12" t="s">
        <v>105</v>
      </c>
      <c r="C1" s="13" t="s">
        <v>225</v>
      </c>
      <c r="D1" s="12" t="s">
        <v>9</v>
      </c>
      <c r="E1" s="12" t="s">
        <v>10</v>
      </c>
      <c r="F1" s="12" t="s">
        <v>106</v>
      </c>
      <c r="G1" s="12" t="s">
        <v>11</v>
      </c>
      <c r="H1" s="12" t="s">
        <v>107</v>
      </c>
      <c r="I1" s="12" t="s">
        <v>103</v>
      </c>
      <c r="J1" s="12" t="s">
        <v>102</v>
      </c>
      <c r="K1" s="12" t="s">
        <v>108</v>
      </c>
      <c r="L1" s="12" t="s">
        <v>109</v>
      </c>
      <c r="M1" s="12" t="s">
        <v>12</v>
      </c>
      <c r="N1" s="12" t="s">
        <v>110</v>
      </c>
      <c r="O1" s="12" t="s">
        <v>13</v>
      </c>
      <c r="P1" s="12" t="s">
        <v>111</v>
      </c>
      <c r="T1" t="s">
        <v>160</v>
      </c>
      <c r="U1" t="s">
        <v>160</v>
      </c>
      <c r="V1" t="s">
        <v>159</v>
      </c>
      <c r="W1" t="s">
        <v>159</v>
      </c>
      <c r="X1" t="s">
        <v>214</v>
      </c>
      <c r="Y1" t="s">
        <v>215</v>
      </c>
      <c r="Z1" t="s">
        <v>216</v>
      </c>
      <c r="AA1" t="s">
        <v>217</v>
      </c>
    </row>
    <row r="2" spans="1:27" x14ac:dyDescent="0.25">
      <c r="A2" t="s">
        <v>113</v>
      </c>
      <c r="B2" t="s">
        <v>112</v>
      </c>
      <c r="C2" s="2" t="s">
        <v>14</v>
      </c>
      <c r="D2" t="s">
        <v>15</v>
      </c>
      <c r="E2" s="4">
        <v>0</v>
      </c>
      <c r="F2" s="4">
        <v>0</v>
      </c>
      <c r="G2" s="4">
        <v>0</v>
      </c>
      <c r="H2" s="10">
        <v>0</v>
      </c>
      <c r="I2" s="10">
        <v>0</v>
      </c>
      <c r="J2" s="14">
        <v>0</v>
      </c>
      <c r="K2" s="4">
        <v>0</v>
      </c>
      <c r="L2" s="4">
        <v>0</v>
      </c>
      <c r="M2" s="4">
        <v>0</v>
      </c>
      <c r="N2" s="4">
        <v>0</v>
      </c>
      <c r="O2" s="4">
        <v>0</v>
      </c>
      <c r="P2" s="4">
        <v>0</v>
      </c>
      <c r="S2" t="str">
        <f>B2</f>
        <v>C01</v>
      </c>
      <c r="T2" s="20">
        <f>INDEX('ContractPrice-CDE'!$F:$F,MATCH(B2,'ContractPrice-CDE'!$A:$A,0))</f>
        <v>0</v>
      </c>
      <c r="U2" s="20">
        <f t="shared" ref="U2:U45" si="0">I2</f>
        <v>0</v>
      </c>
      <c r="V2" s="20">
        <f>INDEX('ContractPrice-CDE'!$J:$J,MATCH(B2,'ContractPrice-CDE'!$A:$A,0))</f>
        <v>0</v>
      </c>
      <c r="W2" s="20">
        <f>H2</f>
        <v>0</v>
      </c>
      <c r="X2" t="b">
        <f>T2=U2</f>
        <v>1</v>
      </c>
      <c r="Y2" t="b">
        <f>W2=V2</f>
        <v>1</v>
      </c>
      <c r="Z2" s="22">
        <f>IFERROR(T2-U2,)</f>
        <v>0</v>
      </c>
      <c r="AA2" s="22">
        <f>IFERROR(V2-W2,)</f>
        <v>0</v>
      </c>
    </row>
    <row r="3" spans="1:27" x14ac:dyDescent="0.25">
      <c r="A3" t="s">
        <v>113</v>
      </c>
      <c r="B3" t="s">
        <v>16</v>
      </c>
      <c r="C3" s="2" t="s">
        <v>17</v>
      </c>
      <c r="D3" t="s">
        <v>18</v>
      </c>
      <c r="E3" s="5">
        <v>6144235.29</v>
      </c>
      <c r="F3" s="4">
        <v>0</v>
      </c>
      <c r="G3" s="5">
        <v>-2500000</v>
      </c>
      <c r="H3" s="11">
        <v>3644235.29</v>
      </c>
      <c r="I3" s="11">
        <v>6144235.29</v>
      </c>
      <c r="J3" s="15">
        <v>-2500000</v>
      </c>
      <c r="K3" s="5">
        <v>3644235.29</v>
      </c>
      <c r="L3" s="4">
        <v>0</v>
      </c>
      <c r="M3" s="4">
        <v>0</v>
      </c>
      <c r="N3" s="5">
        <v>3644235.29</v>
      </c>
      <c r="O3" s="4">
        <v>0</v>
      </c>
      <c r="P3" s="33">
        <v>3644235.29</v>
      </c>
      <c r="S3" t="str">
        <f t="shared" ref="S3:S45" si="1">B3</f>
        <v>C02</v>
      </c>
      <c r="T3" s="20">
        <f>INDEX('ContractPrice-CDE'!$F:$F,MATCH(B3,'ContractPrice-CDE'!$A:$A,0))</f>
        <v>6144235.29</v>
      </c>
      <c r="U3" s="20">
        <f t="shared" si="0"/>
        <v>6144235.29</v>
      </c>
      <c r="V3" s="20">
        <f>INDEX('ContractPrice-CDE'!$J:$J,MATCH(B3,'ContractPrice-CDE'!$A:$A,0))</f>
        <v>3644235.29</v>
      </c>
      <c r="W3" s="20">
        <f t="shared" ref="W3:W45" si="2">H3</f>
        <v>3644235.29</v>
      </c>
      <c r="X3" t="b">
        <f t="shared" ref="X3:X46" si="3">T3=U3</f>
        <v>1</v>
      </c>
      <c r="Y3" t="b">
        <f t="shared" ref="Y3:Y46" si="4">W3=V3</f>
        <v>1</v>
      </c>
      <c r="Z3" s="22">
        <f t="shared" ref="Z3:Z45" si="5">IFERROR(T3-U3,)</f>
        <v>0</v>
      </c>
      <c r="AA3" s="22">
        <f t="shared" ref="AA3:AA45" si="6">IFERROR(V3-W3,)</f>
        <v>0</v>
      </c>
    </row>
    <row r="4" spans="1:27" x14ac:dyDescent="0.25">
      <c r="A4" t="s">
        <v>113</v>
      </c>
      <c r="B4" t="s">
        <v>19</v>
      </c>
      <c r="C4" s="2" t="s">
        <v>20</v>
      </c>
      <c r="D4" t="s">
        <v>21</v>
      </c>
      <c r="E4" s="5">
        <v>5000000</v>
      </c>
      <c r="F4" s="4">
        <v>0</v>
      </c>
      <c r="G4" s="5">
        <v>700000</v>
      </c>
      <c r="H4" s="11">
        <v>5700000</v>
      </c>
      <c r="I4" s="11">
        <v>5000000</v>
      </c>
      <c r="J4" s="15">
        <v>700000</v>
      </c>
      <c r="K4" s="5">
        <v>5700000</v>
      </c>
      <c r="L4" s="4">
        <v>0</v>
      </c>
      <c r="M4" s="4">
        <v>0</v>
      </c>
      <c r="N4" s="5">
        <v>5700000</v>
      </c>
      <c r="O4" s="4">
        <v>0</v>
      </c>
      <c r="P4" s="33">
        <v>9310172.1199999992</v>
      </c>
      <c r="S4" t="str">
        <f t="shared" si="1"/>
        <v>C03</v>
      </c>
      <c r="T4" s="20">
        <f>INDEX('ContractPrice-CDE'!$F:$F,MATCH(B4,'ContractPrice-CDE'!$A:$A,0))</f>
        <v>5000000</v>
      </c>
      <c r="U4" s="20">
        <f t="shared" si="0"/>
        <v>5000000</v>
      </c>
      <c r="V4" s="20">
        <f>INDEX('ContractPrice-CDE'!$J:$J,MATCH(B4,'ContractPrice-CDE'!$A:$A,0))</f>
        <v>5700000</v>
      </c>
      <c r="W4" s="20">
        <f t="shared" si="2"/>
        <v>5700000</v>
      </c>
      <c r="X4" t="b">
        <f t="shared" si="3"/>
        <v>1</v>
      </c>
      <c r="Y4" t="b">
        <f t="shared" si="4"/>
        <v>1</v>
      </c>
      <c r="Z4" s="22">
        <f t="shared" si="5"/>
        <v>0</v>
      </c>
      <c r="AA4" s="22">
        <f t="shared" si="6"/>
        <v>0</v>
      </c>
    </row>
    <row r="5" spans="1:27" ht="30" x14ac:dyDescent="0.25">
      <c r="A5" t="s">
        <v>113</v>
      </c>
      <c r="B5" t="s">
        <v>22</v>
      </c>
      <c r="C5" s="2" t="s">
        <v>123</v>
      </c>
      <c r="D5" t="s">
        <v>23</v>
      </c>
      <c r="E5" s="5">
        <v>240000</v>
      </c>
      <c r="F5" s="4">
        <v>0</v>
      </c>
      <c r="G5" s="5">
        <v>500000</v>
      </c>
      <c r="H5" s="11">
        <v>740000</v>
      </c>
      <c r="I5" s="11">
        <v>240000</v>
      </c>
      <c r="J5" s="15">
        <v>500000</v>
      </c>
      <c r="K5" s="5">
        <v>740000</v>
      </c>
      <c r="L5" s="4">
        <v>0</v>
      </c>
      <c r="M5" s="4">
        <v>0</v>
      </c>
      <c r="N5" s="5">
        <v>740000</v>
      </c>
      <c r="O5" s="4">
        <v>0</v>
      </c>
      <c r="P5" s="33">
        <v>240000</v>
      </c>
      <c r="S5" t="str">
        <f t="shared" si="1"/>
        <v>C04</v>
      </c>
      <c r="T5" s="20">
        <f>INDEX('ContractPrice-CDE'!$F:$F,MATCH(B5,'ContractPrice-CDE'!$A:$A,0))</f>
        <v>240000</v>
      </c>
      <c r="U5" s="20">
        <f t="shared" si="0"/>
        <v>240000</v>
      </c>
      <c r="V5" s="20">
        <f>INDEX('ContractPrice-CDE'!$J:$J,MATCH(B5,'ContractPrice-CDE'!$A:$A,0))</f>
        <v>740000</v>
      </c>
      <c r="W5" s="20">
        <f t="shared" si="2"/>
        <v>740000</v>
      </c>
      <c r="X5" t="b">
        <f t="shared" si="3"/>
        <v>1</v>
      </c>
      <c r="Y5" t="b">
        <f t="shared" si="4"/>
        <v>1</v>
      </c>
      <c r="Z5" s="22">
        <f t="shared" si="5"/>
        <v>0</v>
      </c>
      <c r="AA5" s="22">
        <f t="shared" si="6"/>
        <v>0</v>
      </c>
    </row>
    <row r="6" spans="1:27" x14ac:dyDescent="0.25">
      <c r="A6" t="s">
        <v>113</v>
      </c>
      <c r="B6" t="s">
        <v>24</v>
      </c>
      <c r="C6" s="2" t="s">
        <v>124</v>
      </c>
      <c r="D6" t="s">
        <v>25</v>
      </c>
      <c r="E6" s="5">
        <v>2464285.71</v>
      </c>
      <c r="F6" s="4">
        <v>0</v>
      </c>
      <c r="G6" s="5">
        <v>5505969.29</v>
      </c>
      <c r="H6" s="11">
        <v>7970255</v>
      </c>
      <c r="I6" s="11">
        <v>2464285.71</v>
      </c>
      <c r="J6" s="15">
        <v>5505969.29</v>
      </c>
      <c r="K6" s="5">
        <v>7970255</v>
      </c>
      <c r="L6" s="4">
        <v>0</v>
      </c>
      <c r="M6" s="4">
        <v>0</v>
      </c>
      <c r="N6" s="5">
        <v>7970255</v>
      </c>
      <c r="O6" s="4">
        <v>0</v>
      </c>
      <c r="P6" s="33">
        <v>8841071.4000000004</v>
      </c>
      <c r="S6" t="str">
        <f t="shared" si="1"/>
        <v>C05</v>
      </c>
      <c r="T6" s="20">
        <f>INDEX('ContractPrice-CDE'!$F:$F,MATCH(B6,'ContractPrice-CDE'!$A:$A,0))</f>
        <v>2464285.71</v>
      </c>
      <c r="U6" s="20">
        <f t="shared" si="0"/>
        <v>2464285.71</v>
      </c>
      <c r="V6" s="20">
        <f>INDEX('ContractPrice-CDE'!$J:$J,MATCH(B6,'ContractPrice-CDE'!$A:$A,0))</f>
        <v>7970255</v>
      </c>
      <c r="W6" s="20">
        <f t="shared" si="2"/>
        <v>7970255</v>
      </c>
      <c r="X6" t="b">
        <f t="shared" si="3"/>
        <v>1</v>
      </c>
      <c r="Y6" t="b">
        <f t="shared" si="4"/>
        <v>1</v>
      </c>
      <c r="Z6" s="22">
        <f t="shared" si="5"/>
        <v>0</v>
      </c>
      <c r="AA6" s="22">
        <f t="shared" si="6"/>
        <v>0</v>
      </c>
    </row>
    <row r="7" spans="1:27" ht="30" x14ac:dyDescent="0.25">
      <c r="A7" t="s">
        <v>113</v>
      </c>
      <c r="B7" t="s">
        <v>26</v>
      </c>
      <c r="C7" s="2" t="s">
        <v>157</v>
      </c>
      <c r="D7" t="s">
        <v>27</v>
      </c>
      <c r="E7" s="5">
        <v>3500000</v>
      </c>
      <c r="F7" s="4">
        <v>0</v>
      </c>
      <c r="G7" s="4">
        <v>0</v>
      </c>
      <c r="H7" s="11">
        <v>3500000</v>
      </c>
      <c r="I7" s="11">
        <v>3500000</v>
      </c>
      <c r="J7" s="14">
        <v>0</v>
      </c>
      <c r="K7" s="5">
        <v>3500000</v>
      </c>
      <c r="L7" s="4">
        <v>0</v>
      </c>
      <c r="M7" s="4">
        <v>0</v>
      </c>
      <c r="N7" s="5">
        <v>3500000</v>
      </c>
      <c r="O7" s="4">
        <v>0</v>
      </c>
      <c r="P7" s="33">
        <v>3500000</v>
      </c>
      <c r="S7" t="str">
        <f t="shared" si="1"/>
        <v>C06</v>
      </c>
      <c r="T7" s="20">
        <f>INDEX('ContractPrice-CDE'!$F:$F,MATCH(B7,'ContractPrice-CDE'!$A:$A,0))</f>
        <v>3500000</v>
      </c>
      <c r="U7" s="20">
        <f t="shared" si="0"/>
        <v>3500000</v>
      </c>
      <c r="V7" s="20">
        <f>INDEX('ContractPrice-CDE'!$J:$J,MATCH(B7,'ContractPrice-CDE'!$A:$A,0))</f>
        <v>3500000</v>
      </c>
      <c r="W7" s="20">
        <f t="shared" si="2"/>
        <v>3500000</v>
      </c>
      <c r="X7" t="b">
        <f t="shared" si="3"/>
        <v>1</v>
      </c>
      <c r="Y7" t="b">
        <f t="shared" si="4"/>
        <v>1</v>
      </c>
      <c r="Z7" s="22">
        <f t="shared" si="5"/>
        <v>0</v>
      </c>
      <c r="AA7" s="22">
        <f t="shared" si="6"/>
        <v>0</v>
      </c>
    </row>
    <row r="8" spans="1:27" x14ac:dyDescent="0.25">
      <c r="A8" t="s">
        <v>113</v>
      </c>
      <c r="B8" t="s">
        <v>28</v>
      </c>
      <c r="C8" s="2" t="s">
        <v>29</v>
      </c>
      <c r="D8" t="s">
        <v>30</v>
      </c>
      <c r="E8" s="5">
        <v>2010000</v>
      </c>
      <c r="F8" s="4">
        <v>0</v>
      </c>
      <c r="G8" s="5">
        <v>95000</v>
      </c>
      <c r="H8" s="11">
        <v>2105000</v>
      </c>
      <c r="I8" s="11">
        <v>2010000</v>
      </c>
      <c r="J8" s="15">
        <v>95000</v>
      </c>
      <c r="K8" s="5">
        <v>2105000</v>
      </c>
      <c r="L8" s="4">
        <v>0</v>
      </c>
      <c r="M8" s="4">
        <v>0</v>
      </c>
      <c r="N8" s="5">
        <v>2105000</v>
      </c>
      <c r="O8" s="4">
        <v>0</v>
      </c>
      <c r="P8" s="33">
        <v>1490000</v>
      </c>
      <c r="S8" t="str">
        <f t="shared" si="1"/>
        <v>C07</v>
      </c>
      <c r="T8" s="20">
        <f>INDEX('ContractPrice-CDE'!$F:$F,MATCH(B8,'ContractPrice-CDE'!$A:$A,0))</f>
        <v>2010000</v>
      </c>
      <c r="U8" s="20">
        <f t="shared" si="0"/>
        <v>2010000</v>
      </c>
      <c r="V8" s="20">
        <f>INDEX('ContractPrice-CDE'!$J:$J,MATCH(B8,'ContractPrice-CDE'!$A:$A,0))</f>
        <v>2105000</v>
      </c>
      <c r="W8" s="20">
        <f t="shared" si="2"/>
        <v>2105000</v>
      </c>
      <c r="X8" t="b">
        <f t="shared" si="3"/>
        <v>1</v>
      </c>
      <c r="Y8" t="b">
        <f t="shared" si="4"/>
        <v>1</v>
      </c>
      <c r="Z8" s="22">
        <f t="shared" si="5"/>
        <v>0</v>
      </c>
      <c r="AA8" s="22">
        <f t="shared" si="6"/>
        <v>0</v>
      </c>
    </row>
    <row r="9" spans="1:27" x14ac:dyDescent="0.25">
      <c r="A9" t="s">
        <v>113</v>
      </c>
      <c r="B9" t="s">
        <v>31</v>
      </c>
      <c r="C9" s="2" t="s">
        <v>32</v>
      </c>
      <c r="D9" t="s">
        <v>33</v>
      </c>
      <c r="E9" s="5">
        <v>300000</v>
      </c>
      <c r="F9" s="4">
        <v>0</v>
      </c>
      <c r="G9" s="4">
        <v>0</v>
      </c>
      <c r="H9" s="11">
        <v>300000</v>
      </c>
      <c r="I9" s="11">
        <v>300000</v>
      </c>
      <c r="J9" s="14">
        <v>0</v>
      </c>
      <c r="K9" s="5">
        <v>300000</v>
      </c>
      <c r="L9" s="4">
        <v>0</v>
      </c>
      <c r="M9" s="4">
        <v>0</v>
      </c>
      <c r="N9" s="5">
        <v>300000</v>
      </c>
      <c r="O9" s="4">
        <v>0</v>
      </c>
      <c r="P9" s="35">
        <v>0</v>
      </c>
      <c r="S9" t="str">
        <f t="shared" si="1"/>
        <v>C08</v>
      </c>
      <c r="T9" s="20">
        <f>INDEX('ContractPrice-CDE'!$F:$F,MATCH(B9,'ContractPrice-CDE'!$A:$A,0))</f>
        <v>300000</v>
      </c>
      <c r="U9" s="20">
        <f t="shared" si="0"/>
        <v>300000</v>
      </c>
      <c r="V9" s="20">
        <f>INDEX('ContractPrice-CDE'!$J:$J,MATCH(B9,'ContractPrice-CDE'!$A:$A,0))</f>
        <v>300000</v>
      </c>
      <c r="W9" s="20">
        <f t="shared" si="2"/>
        <v>300000</v>
      </c>
      <c r="X9" t="b">
        <f t="shared" si="3"/>
        <v>1</v>
      </c>
      <c r="Y9" t="b">
        <f t="shared" si="4"/>
        <v>1</v>
      </c>
      <c r="Z9" s="22">
        <f t="shared" si="5"/>
        <v>0</v>
      </c>
      <c r="AA9" s="22">
        <f t="shared" si="6"/>
        <v>0</v>
      </c>
    </row>
    <row r="10" spans="1:27" ht="30" x14ac:dyDescent="0.25">
      <c r="A10" t="s">
        <v>113</v>
      </c>
      <c r="B10" t="s">
        <v>34</v>
      </c>
      <c r="C10" s="2" t="s">
        <v>125</v>
      </c>
      <c r="D10" t="s">
        <v>35</v>
      </c>
      <c r="E10" s="5">
        <v>23577600</v>
      </c>
      <c r="F10" s="4">
        <v>0</v>
      </c>
      <c r="G10" s="5">
        <v>-8577600</v>
      </c>
      <c r="H10" s="11">
        <v>15000000</v>
      </c>
      <c r="I10" s="11">
        <v>23577600</v>
      </c>
      <c r="J10" s="15">
        <v>-8577600</v>
      </c>
      <c r="K10" s="5">
        <v>15000000</v>
      </c>
      <c r="L10" s="4">
        <v>0</v>
      </c>
      <c r="M10" s="4">
        <v>0</v>
      </c>
      <c r="N10" s="5">
        <v>15000000</v>
      </c>
      <c r="O10" s="4">
        <v>0</v>
      </c>
      <c r="P10" s="33">
        <v>19520000</v>
      </c>
      <c r="S10" t="str">
        <f t="shared" si="1"/>
        <v>C09</v>
      </c>
      <c r="T10" s="20">
        <f>INDEX('ContractPrice-CDE'!$F:$F,MATCH(B10,'ContractPrice-CDE'!$A:$A,0))</f>
        <v>23577600</v>
      </c>
      <c r="U10" s="20">
        <f t="shared" si="0"/>
        <v>23577600</v>
      </c>
      <c r="V10" s="20">
        <f>INDEX('ContractPrice-CDE'!$J:$J,MATCH(B10,'ContractPrice-CDE'!$A:$A,0))</f>
        <v>15000000</v>
      </c>
      <c r="W10" s="20">
        <f t="shared" si="2"/>
        <v>15000000</v>
      </c>
      <c r="X10" t="b">
        <f t="shared" si="3"/>
        <v>1</v>
      </c>
      <c r="Y10" t="b">
        <f t="shared" si="4"/>
        <v>1</v>
      </c>
      <c r="Z10" s="22">
        <f t="shared" si="5"/>
        <v>0</v>
      </c>
      <c r="AA10" s="22">
        <f t="shared" si="6"/>
        <v>0</v>
      </c>
    </row>
    <row r="11" spans="1:27" ht="30" x14ac:dyDescent="0.25">
      <c r="A11" t="s">
        <v>113</v>
      </c>
      <c r="B11" t="s">
        <v>36</v>
      </c>
      <c r="C11" s="2" t="s">
        <v>126</v>
      </c>
      <c r="D11" t="s">
        <v>37</v>
      </c>
      <c r="E11" s="5">
        <v>10000000</v>
      </c>
      <c r="F11" s="4">
        <v>0</v>
      </c>
      <c r="G11" s="5">
        <v>-300000</v>
      </c>
      <c r="H11" s="11">
        <v>9700000</v>
      </c>
      <c r="I11" s="11">
        <v>9700000</v>
      </c>
      <c r="J11" s="14">
        <v>0</v>
      </c>
      <c r="K11" s="5">
        <v>9700000</v>
      </c>
      <c r="L11" s="4">
        <v>0</v>
      </c>
      <c r="M11" s="4">
        <v>0</v>
      </c>
      <c r="N11" s="5">
        <v>9700000</v>
      </c>
      <c r="O11" s="4">
        <v>0</v>
      </c>
      <c r="P11" s="33">
        <v>2475400</v>
      </c>
      <c r="S11" t="str">
        <f t="shared" si="1"/>
        <v>C10</v>
      </c>
      <c r="T11" s="20">
        <f>INDEX('ContractPrice-CDE'!$F:$F,MATCH(B11,'ContractPrice-CDE'!$A:$A,0))</f>
        <v>9700000</v>
      </c>
      <c r="U11" s="20">
        <f t="shared" si="0"/>
        <v>9700000</v>
      </c>
      <c r="V11" s="20">
        <f>INDEX('ContractPrice-CDE'!$J:$J,MATCH(B11,'ContractPrice-CDE'!$A:$A,0))</f>
        <v>9700000</v>
      </c>
      <c r="W11" s="20">
        <f t="shared" si="2"/>
        <v>9700000</v>
      </c>
      <c r="X11" t="b">
        <f t="shared" si="3"/>
        <v>1</v>
      </c>
      <c r="Y11" t="b">
        <f t="shared" si="4"/>
        <v>1</v>
      </c>
      <c r="Z11" s="22">
        <f t="shared" si="5"/>
        <v>0</v>
      </c>
      <c r="AA11" s="22">
        <f t="shared" si="6"/>
        <v>0</v>
      </c>
    </row>
    <row r="12" spans="1:27" ht="30" x14ac:dyDescent="0.25">
      <c r="A12" t="s">
        <v>38</v>
      </c>
      <c r="B12" t="s">
        <v>39</v>
      </c>
      <c r="C12" s="2" t="s">
        <v>127</v>
      </c>
      <c r="D12" t="s">
        <v>40</v>
      </c>
      <c r="E12" s="5">
        <v>3000000</v>
      </c>
      <c r="F12" s="4">
        <v>0</v>
      </c>
      <c r="G12" s="5">
        <v>-3000000</v>
      </c>
      <c r="H12" s="10">
        <v>0</v>
      </c>
      <c r="I12" s="10">
        <v>0</v>
      </c>
      <c r="J12" s="14">
        <v>0</v>
      </c>
      <c r="K12" s="4">
        <v>0</v>
      </c>
      <c r="L12" s="4">
        <v>0</v>
      </c>
      <c r="M12" s="4">
        <v>0</v>
      </c>
      <c r="N12" s="4">
        <v>0</v>
      </c>
      <c r="O12" s="4">
        <v>0</v>
      </c>
      <c r="P12" s="4">
        <v>0</v>
      </c>
      <c r="S12" t="str">
        <f t="shared" si="1"/>
        <v>1001</v>
      </c>
      <c r="T12" s="23"/>
      <c r="U12" s="20">
        <f t="shared" si="0"/>
        <v>0</v>
      </c>
      <c r="V12" s="23"/>
      <c r="W12" s="20">
        <f t="shared" si="2"/>
        <v>0</v>
      </c>
      <c r="X12" t="b">
        <f t="shared" si="3"/>
        <v>1</v>
      </c>
      <c r="Y12" t="b">
        <f t="shared" si="4"/>
        <v>1</v>
      </c>
      <c r="Z12" s="22">
        <f t="shared" si="5"/>
        <v>0</v>
      </c>
      <c r="AA12" s="22">
        <f t="shared" si="6"/>
        <v>0</v>
      </c>
    </row>
    <row r="13" spans="1:27" x14ac:dyDescent="0.25">
      <c r="A13" t="s">
        <v>38</v>
      </c>
      <c r="B13" t="s">
        <v>41</v>
      </c>
      <c r="C13" s="2" t="s">
        <v>42</v>
      </c>
      <c r="D13" t="s">
        <v>43</v>
      </c>
      <c r="E13" s="5">
        <v>6892745.21</v>
      </c>
      <c r="F13" s="4">
        <v>0</v>
      </c>
      <c r="G13" s="5">
        <v>3502004.42</v>
      </c>
      <c r="H13" s="11">
        <v>10394749.630000001</v>
      </c>
      <c r="I13" s="11">
        <v>6892745.21</v>
      </c>
      <c r="J13" s="15">
        <v>3502004.42</v>
      </c>
      <c r="K13" s="5">
        <v>10394749.630000001</v>
      </c>
      <c r="L13" s="4">
        <v>0</v>
      </c>
      <c r="M13" s="4">
        <v>0</v>
      </c>
      <c r="N13" s="5">
        <v>10394749.630000001</v>
      </c>
      <c r="O13" s="4">
        <v>0</v>
      </c>
      <c r="P13" s="33">
        <v>10394749.630000001</v>
      </c>
      <c r="S13" t="str">
        <f t="shared" si="1"/>
        <v>CARI</v>
      </c>
      <c r="T13" s="20">
        <f>INDEX('ContractPrice-CDE'!$F:$F,MATCH(B13,'ContractPrice-CDE'!$A:$A,0))</f>
        <v>6892745.21</v>
      </c>
      <c r="U13" s="20">
        <f t="shared" si="0"/>
        <v>6892745.21</v>
      </c>
      <c r="V13" s="20">
        <f>INDEX('ContractPrice-CDE'!$J:$J,MATCH(B13,'ContractPrice-CDE'!$A:$A,0))</f>
        <v>10394749.629999999</v>
      </c>
      <c r="W13" s="20">
        <f t="shared" si="2"/>
        <v>10394749.630000001</v>
      </c>
      <c r="X13" t="b">
        <f t="shared" si="3"/>
        <v>1</v>
      </c>
      <c r="Y13" t="b">
        <f t="shared" si="4"/>
        <v>1</v>
      </c>
      <c r="Z13" s="22">
        <f t="shared" si="5"/>
        <v>0</v>
      </c>
      <c r="AA13" s="22">
        <f t="shared" si="6"/>
        <v>-1.862645149230957E-9</v>
      </c>
    </row>
    <row r="14" spans="1:27" s="6" customFormat="1" ht="30" x14ac:dyDescent="0.25">
      <c r="A14" s="6" t="s">
        <v>114</v>
      </c>
      <c r="B14" s="6" t="s">
        <v>130</v>
      </c>
      <c r="C14" s="26" t="s">
        <v>129</v>
      </c>
      <c r="D14" s="6" t="s">
        <v>128</v>
      </c>
      <c r="E14" s="11">
        <v>427378789.81</v>
      </c>
      <c r="F14" s="10">
        <v>0</v>
      </c>
      <c r="G14" s="11">
        <v>103781456.45999999</v>
      </c>
      <c r="H14" s="11">
        <v>531160246.26999998</v>
      </c>
      <c r="I14" s="11">
        <v>365000000</v>
      </c>
      <c r="J14" s="11">
        <v>166160246.27000001</v>
      </c>
      <c r="K14" s="11">
        <v>531160246.26999998</v>
      </c>
      <c r="L14" s="10">
        <v>0</v>
      </c>
      <c r="M14" s="10">
        <v>0</v>
      </c>
      <c r="N14" s="11">
        <v>531160246.26999998</v>
      </c>
      <c r="O14" s="10">
        <v>0</v>
      </c>
      <c r="P14" s="34">
        <v>368461391.13999999</v>
      </c>
      <c r="S14" s="6" t="str">
        <f t="shared" si="1"/>
        <v>CP01</v>
      </c>
      <c r="T14" s="25">
        <f>INDEX('ContractPrice-CDE'!$F:$F,MATCH(B14,'ContractPrice-CDE'!$A:$A,0))</f>
        <v>365000000</v>
      </c>
      <c r="U14" s="25">
        <f t="shared" si="0"/>
        <v>365000000</v>
      </c>
      <c r="V14" s="25">
        <f>INDEX('ContractPrice-CDE'!$J:$J,MATCH(B14,'ContractPrice-CDE'!$A:$A,0))</f>
        <v>530601881.32000005</v>
      </c>
      <c r="W14" s="25">
        <f t="shared" si="2"/>
        <v>531160246.26999998</v>
      </c>
      <c r="X14" s="6" t="b">
        <f t="shared" si="3"/>
        <v>1</v>
      </c>
      <c r="Y14" s="6" t="b">
        <f t="shared" si="4"/>
        <v>0</v>
      </c>
      <c r="Z14" s="27">
        <f t="shared" si="5"/>
        <v>0</v>
      </c>
      <c r="AA14" s="27">
        <f t="shared" si="6"/>
        <v>-558364.94999992847</v>
      </c>
    </row>
    <row r="15" spans="1:27" s="6" customFormat="1" x14ac:dyDescent="0.25">
      <c r="A15" s="6" t="s">
        <v>114</v>
      </c>
      <c r="B15" s="6" t="s">
        <v>44</v>
      </c>
      <c r="C15" s="26" t="s">
        <v>45</v>
      </c>
      <c r="D15" s="6" t="s">
        <v>46</v>
      </c>
      <c r="E15" s="11">
        <v>92161305</v>
      </c>
      <c r="F15" s="10">
        <v>0</v>
      </c>
      <c r="G15" s="11">
        <v>-11466516.48</v>
      </c>
      <c r="H15" s="11">
        <v>80694788.519999996</v>
      </c>
      <c r="I15" s="11">
        <v>92161305</v>
      </c>
      <c r="J15" s="11">
        <v>-11466516.48</v>
      </c>
      <c r="K15" s="11">
        <v>80694788.519999996</v>
      </c>
      <c r="L15" s="10">
        <v>0</v>
      </c>
      <c r="M15" s="10">
        <v>0</v>
      </c>
      <c r="N15" s="11">
        <v>80694788.519999996</v>
      </c>
      <c r="O15" s="10">
        <v>0</v>
      </c>
      <c r="P15" s="34">
        <v>33041300.84</v>
      </c>
      <c r="S15" s="6" t="str">
        <f t="shared" si="1"/>
        <v>OP01</v>
      </c>
      <c r="T15" s="25">
        <f>INDEX('ContractPrice-CDE'!$F:$F,MATCH(B15,'ContractPrice-CDE'!$A:$A,0))</f>
        <v>92161305</v>
      </c>
      <c r="U15" s="25">
        <f t="shared" si="0"/>
        <v>92161305</v>
      </c>
      <c r="V15" s="25">
        <f>INDEX('ContractPrice-CDE'!$J:$J,MATCH(B15,'ContractPrice-CDE'!$A:$A,0))</f>
        <v>80523674.019999996</v>
      </c>
      <c r="W15" s="25">
        <f t="shared" si="2"/>
        <v>80694788.519999996</v>
      </c>
      <c r="X15" s="6" t="b">
        <f t="shared" si="3"/>
        <v>1</v>
      </c>
      <c r="Y15" s="6" t="b">
        <f t="shared" si="4"/>
        <v>0</v>
      </c>
      <c r="Z15" s="27">
        <f t="shared" si="5"/>
        <v>0</v>
      </c>
      <c r="AA15" s="27">
        <f t="shared" si="6"/>
        <v>-171114.5</v>
      </c>
    </row>
    <row r="16" spans="1:27" s="6" customFormat="1" x14ac:dyDescent="0.25">
      <c r="A16" s="6" t="s">
        <v>114</v>
      </c>
      <c r="B16" s="6" t="s">
        <v>47</v>
      </c>
      <c r="C16" s="26" t="s">
        <v>48</v>
      </c>
      <c r="D16" s="6" t="s">
        <v>131</v>
      </c>
      <c r="E16" s="11">
        <v>259599611.03999999</v>
      </c>
      <c r="F16" s="10">
        <v>0</v>
      </c>
      <c r="G16" s="11">
        <v>-91180127.349999994</v>
      </c>
      <c r="H16" s="11">
        <v>168419483.69</v>
      </c>
      <c r="I16" s="11">
        <v>259599611.03999999</v>
      </c>
      <c r="J16" s="11">
        <v>-91180127.349999994</v>
      </c>
      <c r="K16" s="11">
        <v>168419483.69</v>
      </c>
      <c r="L16" s="10">
        <v>0</v>
      </c>
      <c r="M16" s="10">
        <v>0</v>
      </c>
      <c r="N16" s="11">
        <v>168419483.69</v>
      </c>
      <c r="O16" s="10">
        <v>0</v>
      </c>
      <c r="P16" s="34">
        <v>105752028.31999999</v>
      </c>
      <c r="S16" s="6" t="str">
        <f t="shared" si="1"/>
        <v>OP02</v>
      </c>
      <c r="T16" s="25">
        <f>INDEX('ContractPrice-CDE'!$F:$F,MATCH(B16,'ContractPrice-CDE'!$A:$A,0))</f>
        <v>259599611.04000002</v>
      </c>
      <c r="U16" s="25">
        <f t="shared" si="0"/>
        <v>259599611.03999999</v>
      </c>
      <c r="V16" s="25">
        <f>INDEX('ContractPrice-CDE'!$J:$J,MATCH(B16,'ContractPrice-CDE'!$A:$A,0))</f>
        <v>167747871.63999999</v>
      </c>
      <c r="W16" s="25">
        <f t="shared" si="2"/>
        <v>168419483.69</v>
      </c>
      <c r="X16" s="6" t="b">
        <f t="shared" si="3"/>
        <v>1</v>
      </c>
      <c r="Y16" s="6" t="b">
        <f t="shared" si="4"/>
        <v>0</v>
      </c>
      <c r="Z16" s="27">
        <f t="shared" si="5"/>
        <v>2.9802322387695313E-8</v>
      </c>
      <c r="AA16" s="27">
        <f t="shared" si="6"/>
        <v>-671612.05000001192</v>
      </c>
    </row>
    <row r="17" spans="1:27" s="6" customFormat="1" ht="30" x14ac:dyDescent="0.25">
      <c r="A17" s="6" t="s">
        <v>115</v>
      </c>
      <c r="B17" s="6" t="s">
        <v>49</v>
      </c>
      <c r="C17" s="26" t="s">
        <v>132</v>
      </c>
      <c r="D17" s="6" t="s">
        <v>50</v>
      </c>
      <c r="E17" s="11">
        <v>13000000</v>
      </c>
      <c r="F17" s="10">
        <v>0</v>
      </c>
      <c r="G17" s="11">
        <v>-1004000</v>
      </c>
      <c r="H17" s="11">
        <v>11996000</v>
      </c>
      <c r="I17" s="11">
        <v>10300000</v>
      </c>
      <c r="J17" s="11">
        <v>696000</v>
      </c>
      <c r="K17" s="11">
        <v>10996000</v>
      </c>
      <c r="L17" s="11">
        <v>1000000</v>
      </c>
      <c r="M17" s="10">
        <v>0</v>
      </c>
      <c r="N17" s="11">
        <v>11996000</v>
      </c>
      <c r="O17" s="10">
        <v>0</v>
      </c>
      <c r="P17" s="34">
        <v>2372629.9700000002</v>
      </c>
      <c r="S17" s="6" t="str">
        <f t="shared" si="1"/>
        <v>CP30</v>
      </c>
      <c r="T17" s="25">
        <f>INDEX('ContractPrice-CDE'!$F:$F,MATCH(B17,'ContractPrice-CDE'!$A:$A,0))</f>
        <v>10300000</v>
      </c>
      <c r="U17" s="25">
        <f t="shared" si="0"/>
        <v>10300000</v>
      </c>
      <c r="V17" s="25">
        <f>INDEX('ContractPrice-CDE'!$J:$J,MATCH(B17,'ContractPrice-CDE'!$A:$A,0))</f>
        <v>11300000</v>
      </c>
      <c r="W17" s="25">
        <f t="shared" si="2"/>
        <v>11996000</v>
      </c>
      <c r="X17" s="6" t="b">
        <f t="shared" si="3"/>
        <v>1</v>
      </c>
      <c r="Y17" s="6" t="b">
        <f t="shared" si="4"/>
        <v>0</v>
      </c>
      <c r="Z17" s="27">
        <f t="shared" si="5"/>
        <v>0</v>
      </c>
      <c r="AA17" s="27">
        <f t="shared" si="6"/>
        <v>-696000</v>
      </c>
    </row>
    <row r="18" spans="1:27" s="6" customFormat="1" ht="30" x14ac:dyDescent="0.25">
      <c r="A18" s="6" t="s">
        <v>115</v>
      </c>
      <c r="B18" s="6" t="s">
        <v>51</v>
      </c>
      <c r="C18" s="26" t="s">
        <v>133</v>
      </c>
      <c r="D18" s="6" t="s">
        <v>137</v>
      </c>
      <c r="E18" s="11">
        <v>305793900.70999998</v>
      </c>
      <c r="F18" s="10">
        <v>0</v>
      </c>
      <c r="G18" s="11">
        <v>-61100830.490000002</v>
      </c>
      <c r="H18" s="11">
        <v>244693070.22</v>
      </c>
      <c r="I18" s="11">
        <v>227456344.43000001</v>
      </c>
      <c r="J18" s="11">
        <v>4689859.79</v>
      </c>
      <c r="K18" s="11">
        <v>232146204.22</v>
      </c>
      <c r="L18" s="11">
        <v>12546866</v>
      </c>
      <c r="M18" s="10">
        <v>0</v>
      </c>
      <c r="N18" s="11">
        <v>244693070.22</v>
      </c>
      <c r="O18" s="10">
        <v>0</v>
      </c>
      <c r="P18" s="34">
        <v>32768956.219999999</v>
      </c>
      <c r="S18" s="6" t="str">
        <f t="shared" si="1"/>
        <v>CP11</v>
      </c>
      <c r="T18" s="25">
        <f>INDEX('ContractPrice-CDE'!$F:$F,MATCH(B18,'ContractPrice-CDE'!$A:$A,0))</f>
        <v>227456344.41999999</v>
      </c>
      <c r="U18" s="25">
        <f t="shared" si="0"/>
        <v>227456344.43000001</v>
      </c>
      <c r="V18" s="25">
        <f>INDEX('ContractPrice-CDE'!$J:$J,MATCH(B18,'ContractPrice-CDE'!$A:$A,0))</f>
        <v>242860257.91</v>
      </c>
      <c r="W18" s="25">
        <f t="shared" si="2"/>
        <v>244693070.22</v>
      </c>
      <c r="X18" s="6" t="b">
        <f t="shared" si="3"/>
        <v>0</v>
      </c>
      <c r="Y18" s="6" t="b">
        <f t="shared" si="4"/>
        <v>0</v>
      </c>
      <c r="Z18" s="27">
        <f t="shared" si="5"/>
        <v>-1.0000020265579224E-2</v>
      </c>
      <c r="AA18" s="27">
        <f t="shared" si="6"/>
        <v>-1832812.3100000024</v>
      </c>
    </row>
    <row r="19" spans="1:27" s="6" customFormat="1" ht="30" x14ac:dyDescent="0.25">
      <c r="A19" s="6" t="s">
        <v>115</v>
      </c>
      <c r="B19" s="6" t="s">
        <v>52</v>
      </c>
      <c r="C19" s="26" t="s">
        <v>134</v>
      </c>
      <c r="D19" s="6" t="s">
        <v>53</v>
      </c>
      <c r="E19" s="11">
        <v>224321762.87</v>
      </c>
      <c r="F19" s="10">
        <v>0</v>
      </c>
      <c r="G19" s="11">
        <v>-28169047.170000002</v>
      </c>
      <c r="H19" s="11">
        <v>196152715.69999999</v>
      </c>
      <c r="I19" s="11">
        <v>184929323.47999999</v>
      </c>
      <c r="J19" s="11">
        <v>770258.22</v>
      </c>
      <c r="K19" s="11">
        <v>185699581.69999999</v>
      </c>
      <c r="L19" s="11">
        <v>10453134</v>
      </c>
      <c r="M19" s="10">
        <v>0</v>
      </c>
      <c r="N19" s="11">
        <v>196152715.69999999</v>
      </c>
      <c r="O19" s="10">
        <v>0</v>
      </c>
      <c r="P19" s="34">
        <v>80681651.620000005</v>
      </c>
      <c r="S19" s="6" t="str">
        <f t="shared" si="1"/>
        <v>CP11A</v>
      </c>
      <c r="T19" s="25">
        <f>INDEX('ContractPrice-CDE'!$F:$F,MATCH(B19,'ContractPrice-CDE'!$A:$A,0))</f>
        <v>184929323.49000001</v>
      </c>
      <c r="U19" s="25">
        <f t="shared" si="0"/>
        <v>184929323.47999999</v>
      </c>
      <c r="V19" s="25">
        <f>INDEX('ContractPrice-CDE'!$J:$J,MATCH(B19,'ContractPrice-CDE'!$A:$A,0))</f>
        <v>193661800.76999998</v>
      </c>
      <c r="W19" s="25">
        <f t="shared" si="2"/>
        <v>196152715.69999999</v>
      </c>
      <c r="X19" s="6" t="b">
        <f t="shared" si="3"/>
        <v>0</v>
      </c>
      <c r="Y19" s="6" t="b">
        <f t="shared" si="4"/>
        <v>0</v>
      </c>
      <c r="Z19" s="27">
        <f t="shared" si="5"/>
        <v>1.0000020265579224E-2</v>
      </c>
      <c r="AA19" s="27">
        <f t="shared" si="6"/>
        <v>-2490914.9300000072</v>
      </c>
    </row>
    <row r="20" spans="1:27" s="6" customFormat="1" ht="60" x14ac:dyDescent="0.25">
      <c r="A20" s="6" t="s">
        <v>115</v>
      </c>
      <c r="B20" s="6" t="s">
        <v>54</v>
      </c>
      <c r="C20" s="26" t="s">
        <v>135</v>
      </c>
      <c r="D20" s="6" t="s">
        <v>136</v>
      </c>
      <c r="E20" s="11">
        <v>22296090.91</v>
      </c>
      <c r="F20" s="10">
        <v>0</v>
      </c>
      <c r="G20" s="11">
        <v>-4556456.1500000004</v>
      </c>
      <c r="H20" s="11">
        <v>17739634.760000002</v>
      </c>
      <c r="I20" s="11">
        <v>18606970.550000001</v>
      </c>
      <c r="J20" s="11">
        <v>-1367335.79</v>
      </c>
      <c r="K20" s="11">
        <v>17239634.760000002</v>
      </c>
      <c r="L20" s="11">
        <v>500000</v>
      </c>
      <c r="M20" s="10">
        <v>0</v>
      </c>
      <c r="N20" s="11">
        <v>17739634.760000002</v>
      </c>
      <c r="O20" s="10">
        <v>0</v>
      </c>
      <c r="P20" s="34">
        <v>10482491.359999999</v>
      </c>
      <c r="S20" s="6" t="str">
        <f t="shared" si="1"/>
        <v>CP21</v>
      </c>
      <c r="T20" s="25">
        <f>INDEX('ContractPrice-CDE'!$F:$F,MATCH(B20,'ContractPrice-CDE'!$A:$A,0))</f>
        <v>18606970.550000001</v>
      </c>
      <c r="U20" s="25">
        <f t="shared" si="0"/>
        <v>18606970.550000001</v>
      </c>
      <c r="V20" s="25">
        <f>INDEX('ContractPrice-CDE'!$J:$J,MATCH(B20,'ContractPrice-CDE'!$A:$A,0))</f>
        <v>17564567.25</v>
      </c>
      <c r="W20" s="25">
        <f t="shared" si="2"/>
        <v>17739634.760000002</v>
      </c>
      <c r="X20" s="6" t="b">
        <f t="shared" si="3"/>
        <v>1</v>
      </c>
      <c r="Y20" s="6" t="b">
        <f t="shared" si="4"/>
        <v>0</v>
      </c>
      <c r="Z20" s="27">
        <f t="shared" si="5"/>
        <v>0</v>
      </c>
      <c r="AA20" s="27">
        <f t="shared" si="6"/>
        <v>-175067.51000000164</v>
      </c>
    </row>
    <row r="21" spans="1:27" s="6" customFormat="1" ht="75" x14ac:dyDescent="0.25">
      <c r="A21" s="6" t="s">
        <v>55</v>
      </c>
      <c r="B21" s="6" t="s">
        <v>56</v>
      </c>
      <c r="C21" s="26" t="s">
        <v>138</v>
      </c>
      <c r="D21" s="6" t="s">
        <v>128</v>
      </c>
      <c r="E21" s="11">
        <v>158796484.86000001</v>
      </c>
      <c r="F21" s="10">
        <v>0</v>
      </c>
      <c r="G21" s="11">
        <v>-18670950.039999999</v>
      </c>
      <c r="H21" s="11">
        <v>140125534.81999999</v>
      </c>
      <c r="I21" s="11">
        <v>132000000</v>
      </c>
      <c r="J21" s="11">
        <v>4125534.82</v>
      </c>
      <c r="K21" s="11">
        <v>136125534.81999999</v>
      </c>
      <c r="L21" s="11">
        <v>4000000</v>
      </c>
      <c r="M21" s="10">
        <v>0</v>
      </c>
      <c r="N21" s="11">
        <v>140125534.81999999</v>
      </c>
      <c r="O21" s="10">
        <v>0</v>
      </c>
      <c r="P21" s="34">
        <v>28657621.68</v>
      </c>
      <c r="S21" s="6" t="str">
        <f t="shared" si="1"/>
        <v>CP01A</v>
      </c>
      <c r="T21" s="25">
        <f>INDEX('ContractPrice-CDE'!$F:$F,MATCH(B21,'ContractPrice-CDE'!$A:$A,0))</f>
        <v>132000000</v>
      </c>
      <c r="U21" s="25">
        <f t="shared" si="0"/>
        <v>132000000</v>
      </c>
      <c r="V21" s="25">
        <f>INDEX('ContractPrice-CDE'!$J:$J,MATCH(B21,'ContractPrice-CDE'!$A:$A,0))</f>
        <v>138248110.46000001</v>
      </c>
      <c r="W21" s="25">
        <f t="shared" si="2"/>
        <v>140125534.81999999</v>
      </c>
      <c r="X21" s="6" t="b">
        <f t="shared" si="3"/>
        <v>1</v>
      </c>
      <c r="Y21" s="6" t="b">
        <f t="shared" si="4"/>
        <v>0</v>
      </c>
      <c r="Z21" s="27">
        <f t="shared" si="5"/>
        <v>0</v>
      </c>
      <c r="AA21" s="27">
        <f t="shared" si="6"/>
        <v>-1877424.3599999845</v>
      </c>
    </row>
    <row r="22" spans="1:27" s="6" customFormat="1" x14ac:dyDescent="0.25">
      <c r="A22" s="6" t="s">
        <v>55</v>
      </c>
      <c r="B22" s="6" t="s">
        <v>57</v>
      </c>
      <c r="C22" s="26" t="s">
        <v>58</v>
      </c>
      <c r="D22" s="6" t="s">
        <v>59</v>
      </c>
      <c r="E22" s="11">
        <v>13042110.189999999</v>
      </c>
      <c r="F22" s="10">
        <v>0</v>
      </c>
      <c r="G22" s="11">
        <v>738542.91</v>
      </c>
      <c r="H22" s="11">
        <v>13780653.1</v>
      </c>
      <c r="I22" s="11">
        <v>13300000</v>
      </c>
      <c r="J22" s="11">
        <v>480653.1</v>
      </c>
      <c r="K22" s="11">
        <v>13780653.1</v>
      </c>
      <c r="L22" s="10">
        <v>0</v>
      </c>
      <c r="M22" s="10">
        <v>0</v>
      </c>
      <c r="N22" s="11">
        <v>13780653.1</v>
      </c>
      <c r="O22" s="10">
        <v>0</v>
      </c>
      <c r="P22" s="10">
        <v>0</v>
      </c>
      <c r="S22" s="6" t="str">
        <f t="shared" si="1"/>
        <v>OP33</v>
      </c>
      <c r="T22" s="25">
        <f>INDEX('ContractPrice-CDE'!$F:$F,MATCH(B22,'ContractPrice-CDE'!$A:$A,0))</f>
        <v>13300000</v>
      </c>
      <c r="U22" s="25">
        <f t="shared" si="0"/>
        <v>13300000</v>
      </c>
      <c r="V22" s="25">
        <f>INDEX('ContractPrice-CDE'!$J:$J,MATCH(B22,'ContractPrice-CDE'!$A:$A,0))</f>
        <v>13717153.1</v>
      </c>
      <c r="W22" s="25">
        <f t="shared" si="2"/>
        <v>13780653.1</v>
      </c>
      <c r="X22" s="6" t="b">
        <f t="shared" si="3"/>
        <v>1</v>
      </c>
      <c r="Y22" s="6" t="b">
        <f t="shared" si="4"/>
        <v>0</v>
      </c>
      <c r="Z22" s="27">
        <f t="shared" si="5"/>
        <v>0</v>
      </c>
      <c r="AA22" s="27">
        <f t="shared" si="6"/>
        <v>-63500</v>
      </c>
    </row>
    <row r="23" spans="1:27" s="6" customFormat="1" x14ac:dyDescent="0.25">
      <c r="A23" s="6" t="s">
        <v>116</v>
      </c>
      <c r="B23" s="6" t="s">
        <v>118</v>
      </c>
      <c r="C23" s="26" t="s">
        <v>60</v>
      </c>
      <c r="D23" s="6" t="s">
        <v>61</v>
      </c>
      <c r="E23" s="11">
        <v>328382908.5</v>
      </c>
      <c r="F23" s="10">
        <v>0</v>
      </c>
      <c r="G23" s="11">
        <v>-16810571.140000001</v>
      </c>
      <c r="H23" s="11">
        <v>311572337.36000001</v>
      </c>
      <c r="I23" s="11">
        <v>310000000</v>
      </c>
      <c r="J23" s="11">
        <v>-3427662.64</v>
      </c>
      <c r="K23" s="11">
        <v>306572337.36000001</v>
      </c>
      <c r="L23" s="11">
        <v>5000000</v>
      </c>
      <c r="M23" s="10">
        <v>0</v>
      </c>
      <c r="N23" s="11">
        <v>311572337.36000001</v>
      </c>
      <c r="O23" s="10">
        <v>0</v>
      </c>
      <c r="P23" s="34">
        <v>35613423.710000001</v>
      </c>
      <c r="S23" s="6" t="str">
        <f t="shared" si="1"/>
        <v>CP20</v>
      </c>
      <c r="T23" s="25">
        <f>INDEX('ContractPrice-CDE'!$F:$F,MATCH(B23,'ContractPrice-CDE'!$A:$A,0))</f>
        <v>310000000</v>
      </c>
      <c r="U23" s="25">
        <f t="shared" si="0"/>
        <v>310000000</v>
      </c>
      <c r="V23" s="25">
        <f>INDEX('ContractPrice-CDE'!$J:$J,MATCH(B23,'ContractPrice-CDE'!$A:$A,0))</f>
        <v>310771153.53999996</v>
      </c>
      <c r="W23" s="25">
        <f t="shared" si="2"/>
        <v>311572337.36000001</v>
      </c>
      <c r="X23" s="6" t="b">
        <f t="shared" si="3"/>
        <v>1</v>
      </c>
      <c r="Y23" s="6" t="b">
        <f t="shared" si="4"/>
        <v>0</v>
      </c>
      <c r="Z23" s="27">
        <f t="shared" si="5"/>
        <v>0</v>
      </c>
      <c r="AA23" s="27">
        <f t="shared" si="6"/>
        <v>-801183.82000005245</v>
      </c>
    </row>
    <row r="24" spans="1:27" s="6" customFormat="1" x14ac:dyDescent="0.25">
      <c r="A24" s="6" t="s">
        <v>119</v>
      </c>
      <c r="B24" s="6" t="s">
        <v>117</v>
      </c>
      <c r="C24" s="26" t="s">
        <v>62</v>
      </c>
      <c r="D24" s="6" t="s">
        <v>139</v>
      </c>
      <c r="E24" s="11">
        <v>332452945.20999998</v>
      </c>
      <c r="F24" s="10">
        <v>0</v>
      </c>
      <c r="G24" s="11">
        <v>-46236955.159999996</v>
      </c>
      <c r="H24" s="11">
        <v>286215990.05000001</v>
      </c>
      <c r="I24" s="11">
        <v>290173000</v>
      </c>
      <c r="J24" s="11">
        <v>-3957009.95</v>
      </c>
      <c r="K24" s="11">
        <v>286215990.05000001</v>
      </c>
      <c r="L24" s="10">
        <v>0</v>
      </c>
      <c r="M24" s="10">
        <v>0</v>
      </c>
      <c r="N24" s="11">
        <v>286215990.05000001</v>
      </c>
      <c r="O24" s="10">
        <v>0</v>
      </c>
      <c r="P24" s="34">
        <v>83956731.540000007</v>
      </c>
      <c r="S24" s="6" t="str">
        <f t="shared" si="1"/>
        <v>CP04</v>
      </c>
      <c r="T24" s="25">
        <f>INDEX('ContractPrice-CDE'!$F:$F,MATCH(B24,'ContractPrice-CDE'!$A:$A,0))</f>
        <v>290173000</v>
      </c>
      <c r="U24" s="25">
        <f t="shared" si="0"/>
        <v>290173000</v>
      </c>
      <c r="V24" s="25">
        <f>INDEX('ContractPrice-CDE'!$J:$J,MATCH(B24,'ContractPrice-CDE'!$A:$A,0))</f>
        <v>287122811.34999996</v>
      </c>
      <c r="W24" s="25">
        <f t="shared" si="2"/>
        <v>286215990.05000001</v>
      </c>
      <c r="X24" s="6" t="b">
        <f t="shared" si="3"/>
        <v>1</v>
      </c>
      <c r="Y24" s="6" t="b">
        <f t="shared" si="4"/>
        <v>0</v>
      </c>
      <c r="Z24" s="27">
        <f t="shared" si="5"/>
        <v>0</v>
      </c>
      <c r="AA24" s="27">
        <f t="shared" si="6"/>
        <v>906821.29999995232</v>
      </c>
    </row>
    <row r="25" spans="1:27" s="6" customFormat="1" ht="30" x14ac:dyDescent="0.25">
      <c r="A25" s="6" t="s">
        <v>119</v>
      </c>
      <c r="B25" s="6" t="s">
        <v>63</v>
      </c>
      <c r="C25" s="26" t="s">
        <v>140</v>
      </c>
      <c r="D25" s="6" t="s">
        <v>139</v>
      </c>
      <c r="E25" s="11">
        <v>45782001.479999997</v>
      </c>
      <c r="F25" s="10">
        <v>0</v>
      </c>
      <c r="G25" s="11">
        <v>-27226411.899999999</v>
      </c>
      <c r="H25" s="11">
        <v>18555589.579999998</v>
      </c>
      <c r="I25" s="11">
        <v>15000000</v>
      </c>
      <c r="J25" s="11">
        <v>55589.58</v>
      </c>
      <c r="K25" s="11">
        <v>15055589.58</v>
      </c>
      <c r="L25" s="11">
        <v>3500000</v>
      </c>
      <c r="M25" s="10">
        <v>0</v>
      </c>
      <c r="N25" s="11">
        <v>18555589.579999998</v>
      </c>
      <c r="O25" s="10">
        <v>0</v>
      </c>
      <c r="P25" s="34">
        <v>4061050.55</v>
      </c>
      <c r="S25" s="6" t="str">
        <f t="shared" si="1"/>
        <v>CP05A</v>
      </c>
      <c r="T25" s="25">
        <f>INDEX('ContractPrice-CDE'!$F:$F,MATCH(B25,'ContractPrice-CDE'!$A:$A,0))</f>
        <v>15000000</v>
      </c>
      <c r="U25" s="25">
        <f t="shared" si="0"/>
        <v>15000000</v>
      </c>
      <c r="V25" s="25">
        <f>INDEX('ContractPrice-CDE'!$J:$J,MATCH(B25,'ContractPrice-CDE'!$A:$A,0))</f>
        <v>18555589.590000004</v>
      </c>
      <c r="W25" s="25">
        <f t="shared" si="2"/>
        <v>18555589.579999998</v>
      </c>
      <c r="X25" s="6" t="b">
        <f t="shared" si="3"/>
        <v>1</v>
      </c>
      <c r="Y25" s="6" t="b">
        <f t="shared" si="4"/>
        <v>0</v>
      </c>
      <c r="Z25" s="27">
        <f t="shared" si="5"/>
        <v>0</v>
      </c>
      <c r="AA25" s="27">
        <f t="shared" si="6"/>
        <v>1.000000536441803E-2</v>
      </c>
    </row>
    <row r="26" spans="1:27" s="6" customFormat="1" ht="30" x14ac:dyDescent="0.25">
      <c r="A26" s="6" t="s">
        <v>119</v>
      </c>
      <c r="B26" s="6" t="s">
        <v>64</v>
      </c>
      <c r="C26" s="26" t="s">
        <v>141</v>
      </c>
      <c r="D26" s="6" t="s">
        <v>139</v>
      </c>
      <c r="E26" s="11">
        <v>28066202.350000001</v>
      </c>
      <c r="F26" s="10">
        <v>0</v>
      </c>
      <c r="G26" s="11">
        <v>-8534926.8100000005</v>
      </c>
      <c r="H26" s="11">
        <v>19531275.539999999</v>
      </c>
      <c r="I26" s="11">
        <v>15000000</v>
      </c>
      <c r="J26" s="11">
        <v>1531275.54</v>
      </c>
      <c r="K26" s="11">
        <v>16531275.539999999</v>
      </c>
      <c r="L26" s="11">
        <v>3000000</v>
      </c>
      <c r="M26" s="10">
        <v>0</v>
      </c>
      <c r="N26" s="11">
        <v>19531275.539999999</v>
      </c>
      <c r="O26" s="10">
        <v>0</v>
      </c>
      <c r="P26" s="34">
        <v>5046234.8099999996</v>
      </c>
      <c r="S26" s="6" t="str">
        <f t="shared" si="1"/>
        <v>CP05B</v>
      </c>
      <c r="T26" s="25">
        <f>INDEX('ContractPrice-CDE'!$F:$F,MATCH(B26,'ContractPrice-CDE'!$A:$A,0))</f>
        <v>15000000</v>
      </c>
      <c r="U26" s="25">
        <f t="shared" si="0"/>
        <v>15000000</v>
      </c>
      <c r="V26" s="25">
        <f>INDEX('ContractPrice-CDE'!$J:$J,MATCH(B26,'ContractPrice-CDE'!$A:$A,0))</f>
        <v>19493889.650000002</v>
      </c>
      <c r="W26" s="25">
        <f t="shared" si="2"/>
        <v>19531275.539999999</v>
      </c>
      <c r="X26" s="6" t="b">
        <f t="shared" si="3"/>
        <v>1</v>
      </c>
      <c r="Y26" s="6" t="b">
        <f t="shared" si="4"/>
        <v>0</v>
      </c>
      <c r="Z26" s="27">
        <f t="shared" si="5"/>
        <v>0</v>
      </c>
      <c r="AA26" s="27">
        <f t="shared" si="6"/>
        <v>-37385.889999996871</v>
      </c>
    </row>
    <row r="27" spans="1:27" s="6" customFormat="1" x14ac:dyDescent="0.25">
      <c r="A27" s="6" t="s">
        <v>119</v>
      </c>
      <c r="B27" s="6" t="s">
        <v>65</v>
      </c>
      <c r="C27" s="26" t="s">
        <v>66</v>
      </c>
      <c r="D27" s="6" t="s">
        <v>139</v>
      </c>
      <c r="E27" s="11">
        <v>56392985.359999999</v>
      </c>
      <c r="F27" s="10">
        <v>0</v>
      </c>
      <c r="G27" s="11">
        <v>-14227266.32</v>
      </c>
      <c r="H27" s="11">
        <v>42165719.039999999</v>
      </c>
      <c r="I27" s="11">
        <v>40000000</v>
      </c>
      <c r="J27" s="11">
        <v>665719.04000000004</v>
      </c>
      <c r="K27" s="11">
        <v>40665719.039999999</v>
      </c>
      <c r="L27" s="11">
        <v>1500000</v>
      </c>
      <c r="M27" s="10">
        <v>0</v>
      </c>
      <c r="N27" s="11">
        <v>42165719.039999999</v>
      </c>
      <c r="O27" s="10">
        <v>0</v>
      </c>
      <c r="P27" s="34">
        <v>12752789.529999999</v>
      </c>
      <c r="S27" s="6" t="str">
        <f t="shared" si="1"/>
        <v>CP07</v>
      </c>
      <c r="T27" s="25">
        <f>INDEX('ContractPrice-CDE'!$F:$F,MATCH(B27,'ContractPrice-CDE'!$A:$A,0))</f>
        <v>40000000</v>
      </c>
      <c r="U27" s="25">
        <f t="shared" si="0"/>
        <v>40000000</v>
      </c>
      <c r="V27" s="25">
        <f>INDEX('ContractPrice-CDE'!$J:$J,MATCH(B27,'ContractPrice-CDE'!$A:$A,0))</f>
        <v>42228922.840000004</v>
      </c>
      <c r="W27" s="25">
        <f t="shared" si="2"/>
        <v>42165719.039999999</v>
      </c>
      <c r="X27" s="6" t="b">
        <f t="shared" si="3"/>
        <v>1</v>
      </c>
      <c r="Y27" s="6" t="b">
        <f t="shared" si="4"/>
        <v>0</v>
      </c>
      <c r="Z27" s="27">
        <f t="shared" si="5"/>
        <v>0</v>
      </c>
      <c r="AA27" s="27">
        <f t="shared" si="6"/>
        <v>63203.80000000447</v>
      </c>
    </row>
    <row r="28" spans="1:27" s="6" customFormat="1" x14ac:dyDescent="0.25">
      <c r="A28" s="6" t="s">
        <v>119</v>
      </c>
      <c r="B28" s="6" t="s">
        <v>67</v>
      </c>
      <c r="C28" s="26" t="s">
        <v>68</v>
      </c>
      <c r="D28" s="6" t="s">
        <v>139</v>
      </c>
      <c r="E28" s="11">
        <v>59240036.159999996</v>
      </c>
      <c r="F28" s="10">
        <v>0</v>
      </c>
      <c r="G28" s="11">
        <v>-8819689.0500000007</v>
      </c>
      <c r="H28" s="11">
        <v>50420347.109999999</v>
      </c>
      <c r="I28" s="11">
        <v>52100000</v>
      </c>
      <c r="J28" s="11">
        <v>-1679652.89</v>
      </c>
      <c r="K28" s="11">
        <v>50420347.109999999</v>
      </c>
      <c r="L28" s="10">
        <v>0</v>
      </c>
      <c r="M28" s="10">
        <v>0</v>
      </c>
      <c r="N28" s="11">
        <v>50420347.109999999</v>
      </c>
      <c r="O28" s="10">
        <v>0</v>
      </c>
      <c r="P28" s="34">
        <v>20425971.510000002</v>
      </c>
      <c r="S28" s="6" t="str">
        <f t="shared" si="1"/>
        <v>CP08</v>
      </c>
      <c r="T28" s="25">
        <f>INDEX('ContractPrice-CDE'!$F:$F,MATCH(B28,'ContractPrice-CDE'!$A:$A,0))</f>
        <v>52100000</v>
      </c>
      <c r="U28" s="25">
        <f t="shared" si="0"/>
        <v>52100000</v>
      </c>
      <c r="V28" s="25">
        <f>INDEX('ContractPrice-CDE'!$J:$J,MATCH(B28,'ContractPrice-CDE'!$A:$A,0))</f>
        <v>50337015.490000002</v>
      </c>
      <c r="W28" s="25">
        <f t="shared" si="2"/>
        <v>50420347.109999999</v>
      </c>
      <c r="X28" s="6" t="b">
        <f t="shared" si="3"/>
        <v>1</v>
      </c>
      <c r="Y28" s="6" t="b">
        <f t="shared" si="4"/>
        <v>0</v>
      </c>
      <c r="Z28" s="27">
        <f t="shared" si="5"/>
        <v>0</v>
      </c>
      <c r="AA28" s="27">
        <f t="shared" si="6"/>
        <v>-83331.619999997318</v>
      </c>
    </row>
    <row r="29" spans="1:27" s="6" customFormat="1" x14ac:dyDescent="0.25">
      <c r="A29" s="6" t="s">
        <v>119</v>
      </c>
      <c r="B29" s="6" t="s">
        <v>69</v>
      </c>
      <c r="C29" s="26" t="s">
        <v>70</v>
      </c>
      <c r="D29" s="6" t="s">
        <v>139</v>
      </c>
      <c r="E29" s="11">
        <v>241840141.94</v>
      </c>
      <c r="F29" s="10">
        <v>0</v>
      </c>
      <c r="G29" s="11">
        <v>-23003892.82</v>
      </c>
      <c r="H29" s="11">
        <v>218836249.12</v>
      </c>
      <c r="I29" s="11">
        <v>237116033.84999999</v>
      </c>
      <c r="J29" s="11">
        <v>-18279784.73</v>
      </c>
      <c r="K29" s="11">
        <v>218836249.12</v>
      </c>
      <c r="L29" s="10">
        <v>0</v>
      </c>
      <c r="M29" s="10">
        <v>0</v>
      </c>
      <c r="N29" s="11">
        <v>218836249.12</v>
      </c>
      <c r="O29" s="10">
        <v>0</v>
      </c>
      <c r="P29" s="34">
        <v>44824317.450000003</v>
      </c>
      <c r="S29" s="6" t="str">
        <f t="shared" si="1"/>
        <v>CP09</v>
      </c>
      <c r="T29" s="25">
        <f>INDEX('ContractPrice-CDE'!$F:$F,MATCH(B29,'ContractPrice-CDE'!$A:$A,0))</f>
        <v>237116033.86000001</v>
      </c>
      <c r="U29" s="25">
        <f t="shared" si="0"/>
        <v>237116033.84999999</v>
      </c>
      <c r="V29" s="25">
        <f>INDEX('ContractPrice-CDE'!$J:$J,MATCH(B29,'ContractPrice-CDE'!$A:$A,0))</f>
        <v>218836249.12</v>
      </c>
      <c r="W29" s="25">
        <f t="shared" si="2"/>
        <v>218836249.12</v>
      </c>
      <c r="X29" s="6" t="b">
        <f t="shared" si="3"/>
        <v>0</v>
      </c>
      <c r="Y29" s="6" t="b">
        <f t="shared" si="4"/>
        <v>1</v>
      </c>
      <c r="Z29" s="27">
        <f t="shared" si="5"/>
        <v>1.0000020265579224E-2</v>
      </c>
      <c r="AA29" s="27">
        <f t="shared" si="6"/>
        <v>0</v>
      </c>
    </row>
    <row r="30" spans="1:27" s="6" customFormat="1" x14ac:dyDescent="0.25">
      <c r="A30" s="6" t="s">
        <v>119</v>
      </c>
      <c r="B30" s="6" t="s">
        <v>71</v>
      </c>
      <c r="C30" s="26" t="s">
        <v>72</v>
      </c>
      <c r="D30" s="6" t="s">
        <v>142</v>
      </c>
      <c r="E30" s="11">
        <v>182783692</v>
      </c>
      <c r="F30" s="10">
        <v>0</v>
      </c>
      <c r="G30" s="11">
        <v>-32409850</v>
      </c>
      <c r="H30" s="11">
        <v>150373842</v>
      </c>
      <c r="I30" s="11">
        <v>157326104</v>
      </c>
      <c r="J30" s="11">
        <v>-8952262</v>
      </c>
      <c r="K30" s="11">
        <v>148373842</v>
      </c>
      <c r="L30" s="11">
        <v>2000000</v>
      </c>
      <c r="M30" s="10">
        <v>0</v>
      </c>
      <c r="N30" s="11">
        <v>150373842</v>
      </c>
      <c r="O30" s="10">
        <v>0</v>
      </c>
      <c r="P30" s="34">
        <v>73781440.599999994</v>
      </c>
      <c r="S30" s="6" t="str">
        <f t="shared" si="1"/>
        <v>CP13</v>
      </c>
      <c r="T30" s="25">
        <f>INDEX('ContractPrice-CDE'!$F:$F,MATCH(B30,'ContractPrice-CDE'!$A:$A,0))</f>
        <v>157326104</v>
      </c>
      <c r="U30" s="25">
        <f t="shared" si="0"/>
        <v>157326104</v>
      </c>
      <c r="V30" s="25">
        <f>INDEX('ContractPrice-CDE'!$J:$J,MATCH(B30,'ContractPrice-CDE'!$A:$A,0))</f>
        <v>149041182</v>
      </c>
      <c r="W30" s="25">
        <f t="shared" si="2"/>
        <v>150373842</v>
      </c>
      <c r="X30" s="6" t="b">
        <f t="shared" si="3"/>
        <v>1</v>
      </c>
      <c r="Y30" s="6" t="b">
        <f t="shared" si="4"/>
        <v>0</v>
      </c>
      <c r="Z30" s="27">
        <f t="shared" si="5"/>
        <v>0</v>
      </c>
      <c r="AA30" s="27">
        <f t="shared" si="6"/>
        <v>-1332660</v>
      </c>
    </row>
    <row r="31" spans="1:27" s="6" customFormat="1" x14ac:dyDescent="0.25">
      <c r="A31" s="6" t="s">
        <v>119</v>
      </c>
      <c r="B31" s="6" t="s">
        <v>73</v>
      </c>
      <c r="C31" s="26" t="s">
        <v>74</v>
      </c>
      <c r="D31" s="6" t="s">
        <v>143</v>
      </c>
      <c r="E31" s="11">
        <v>208786112.44999999</v>
      </c>
      <c r="F31" s="10">
        <v>0</v>
      </c>
      <c r="G31" s="11">
        <v>-45463246.170000002</v>
      </c>
      <c r="H31" s="11">
        <v>163322866.28</v>
      </c>
      <c r="I31" s="11">
        <v>170164615.43000001</v>
      </c>
      <c r="J31" s="11">
        <v>-6841749.1500000004</v>
      </c>
      <c r="K31" s="11">
        <v>163322866.28</v>
      </c>
      <c r="L31" s="10">
        <v>0</v>
      </c>
      <c r="M31" s="10">
        <v>0</v>
      </c>
      <c r="N31" s="11">
        <v>163322866.28</v>
      </c>
      <c r="O31" s="10">
        <v>0</v>
      </c>
      <c r="P31" s="34">
        <v>91102436.200000003</v>
      </c>
      <c r="S31" s="6" t="str">
        <f t="shared" si="1"/>
        <v>CP15</v>
      </c>
      <c r="T31" s="25">
        <f>INDEX('ContractPrice-CDE'!$F:$F,MATCH(B31,'ContractPrice-CDE'!$A:$A,0))</f>
        <v>170164615.41999999</v>
      </c>
      <c r="U31" s="25">
        <f t="shared" si="0"/>
        <v>170164615.43000001</v>
      </c>
      <c r="V31" s="25">
        <f>INDEX('ContractPrice-CDE'!$J:$J,MATCH(B31,'ContractPrice-CDE'!$A:$A,0))</f>
        <v>163162866.29000002</v>
      </c>
      <c r="W31" s="25">
        <f t="shared" si="2"/>
        <v>163322866.28</v>
      </c>
      <c r="X31" s="6" t="b">
        <f t="shared" si="3"/>
        <v>0</v>
      </c>
      <c r="Y31" s="6" t="b">
        <f t="shared" si="4"/>
        <v>0</v>
      </c>
      <c r="Z31" s="27">
        <f t="shared" si="5"/>
        <v>-1.0000020265579224E-2</v>
      </c>
      <c r="AA31" s="27">
        <f t="shared" si="6"/>
        <v>-159999.98999997973</v>
      </c>
    </row>
    <row r="32" spans="1:27" s="6" customFormat="1" x14ac:dyDescent="0.25">
      <c r="A32" s="6" t="s">
        <v>119</v>
      </c>
      <c r="B32" s="6" t="s">
        <v>75</v>
      </c>
      <c r="C32" s="26" t="s">
        <v>76</v>
      </c>
      <c r="D32" s="6" t="s">
        <v>144</v>
      </c>
      <c r="E32" s="11">
        <v>31424458.890000001</v>
      </c>
      <c r="F32" s="10">
        <v>0</v>
      </c>
      <c r="G32" s="11">
        <v>-5784378.8899999997</v>
      </c>
      <c r="H32" s="11">
        <v>25640080</v>
      </c>
      <c r="I32" s="11">
        <v>24140080</v>
      </c>
      <c r="J32" s="10">
        <v>0</v>
      </c>
      <c r="K32" s="11">
        <v>24140080</v>
      </c>
      <c r="L32" s="11">
        <v>1500000</v>
      </c>
      <c r="M32" s="10">
        <v>0</v>
      </c>
      <c r="N32" s="11">
        <v>25640080</v>
      </c>
      <c r="O32" s="10">
        <v>0</v>
      </c>
      <c r="P32" s="34">
        <v>19353192.300000001</v>
      </c>
      <c r="S32" s="6" t="str">
        <f t="shared" si="1"/>
        <v>OP12</v>
      </c>
      <c r="T32" s="25">
        <f>INDEX('ContractPrice-CDE'!$F:$F,MATCH(B32,'ContractPrice-CDE'!$A:$A,0))</f>
        <v>24140080</v>
      </c>
      <c r="U32" s="25">
        <f t="shared" si="0"/>
        <v>24140080</v>
      </c>
      <c r="V32" s="25">
        <f>INDEX('ContractPrice-CDE'!$J:$J,MATCH(B32,'ContractPrice-CDE'!$A:$A,0))</f>
        <v>25640080</v>
      </c>
      <c r="W32" s="25">
        <f t="shared" si="2"/>
        <v>25640080</v>
      </c>
      <c r="X32" s="6" t="b">
        <f t="shared" si="3"/>
        <v>1</v>
      </c>
      <c r="Y32" s="6" t="b">
        <f t="shared" si="4"/>
        <v>1</v>
      </c>
      <c r="Z32" s="27">
        <f t="shared" si="5"/>
        <v>0</v>
      </c>
      <c r="AA32" s="27">
        <f t="shared" si="6"/>
        <v>0</v>
      </c>
    </row>
    <row r="33" spans="1:27" s="6" customFormat="1" x14ac:dyDescent="0.25">
      <c r="A33" s="6" t="s">
        <v>119</v>
      </c>
      <c r="B33" s="6" t="s">
        <v>77</v>
      </c>
      <c r="C33" s="26" t="s">
        <v>78</v>
      </c>
      <c r="D33" s="6" t="s">
        <v>145</v>
      </c>
      <c r="E33" s="11">
        <v>38030551.960000001</v>
      </c>
      <c r="F33" s="10">
        <v>0</v>
      </c>
      <c r="G33" s="11">
        <v>-391450.09</v>
      </c>
      <c r="H33" s="11">
        <v>37639101.869999997</v>
      </c>
      <c r="I33" s="11">
        <v>35000000</v>
      </c>
      <c r="J33" s="11">
        <v>1639101.87</v>
      </c>
      <c r="K33" s="11">
        <v>36639101.869999997</v>
      </c>
      <c r="L33" s="11">
        <v>1000000</v>
      </c>
      <c r="M33" s="10">
        <v>0</v>
      </c>
      <c r="N33" s="11">
        <v>37639101.869999997</v>
      </c>
      <c r="O33" s="10">
        <v>0</v>
      </c>
      <c r="P33" s="34">
        <v>33216972.359999999</v>
      </c>
      <c r="S33" s="6" t="str">
        <f t="shared" si="1"/>
        <v>OP13</v>
      </c>
      <c r="T33" s="25">
        <f>INDEX('ContractPrice-CDE'!$F:$F,MATCH(B33,'ContractPrice-CDE'!$A:$A,0))</f>
        <v>35000000</v>
      </c>
      <c r="U33" s="25">
        <f t="shared" si="0"/>
        <v>35000000</v>
      </c>
      <c r="V33" s="25">
        <f>INDEX('ContractPrice-CDE'!$J:$J,MATCH(B33,'ContractPrice-CDE'!$A:$A,0))</f>
        <v>37663906.68</v>
      </c>
      <c r="W33" s="25">
        <f t="shared" si="2"/>
        <v>37639101.869999997</v>
      </c>
      <c r="X33" s="6" t="b">
        <f t="shared" si="3"/>
        <v>1</v>
      </c>
      <c r="Y33" s="6" t="b">
        <f t="shared" si="4"/>
        <v>0</v>
      </c>
      <c r="Z33" s="27">
        <f t="shared" si="5"/>
        <v>0</v>
      </c>
      <c r="AA33" s="27">
        <f t="shared" si="6"/>
        <v>24804.810000002384</v>
      </c>
    </row>
    <row r="34" spans="1:27" x14ac:dyDescent="0.25">
      <c r="A34" t="s">
        <v>119</v>
      </c>
      <c r="B34" t="s">
        <v>79</v>
      </c>
      <c r="C34" s="2" t="s">
        <v>80</v>
      </c>
      <c r="D34" t="s">
        <v>81</v>
      </c>
      <c r="E34" s="5">
        <v>42792486</v>
      </c>
      <c r="F34" s="4">
        <v>0</v>
      </c>
      <c r="G34" s="5">
        <v>-28501779.48</v>
      </c>
      <c r="H34" s="11">
        <v>14290706.52</v>
      </c>
      <c r="I34" s="11">
        <v>11200000</v>
      </c>
      <c r="J34" s="15">
        <v>90706.52</v>
      </c>
      <c r="K34" s="5">
        <v>11290706.52</v>
      </c>
      <c r="L34" s="5">
        <v>3000000</v>
      </c>
      <c r="M34" s="4">
        <v>0</v>
      </c>
      <c r="N34" s="5">
        <v>14290706.52</v>
      </c>
      <c r="O34" s="4">
        <v>0</v>
      </c>
      <c r="P34" s="33">
        <v>10724890.73</v>
      </c>
      <c r="S34" t="str">
        <f t="shared" si="1"/>
        <v>OP15</v>
      </c>
      <c r="T34" s="20">
        <f>INDEX('ContractPrice-CDE'!$F:$F,MATCH(B34,'ContractPrice-CDE'!$A:$A,0))</f>
        <v>11200000</v>
      </c>
      <c r="U34" s="20">
        <f t="shared" si="0"/>
        <v>11200000</v>
      </c>
      <c r="V34" s="20">
        <f>INDEX('ContractPrice-CDE'!$J:$J,MATCH(B34,'ContractPrice-CDE'!$A:$A,0))</f>
        <v>14290706.52</v>
      </c>
      <c r="W34" s="20">
        <f t="shared" si="2"/>
        <v>14290706.52</v>
      </c>
      <c r="X34" t="b">
        <f t="shared" si="3"/>
        <v>1</v>
      </c>
      <c r="Y34" t="b">
        <f t="shared" si="4"/>
        <v>1</v>
      </c>
      <c r="Z34" s="22">
        <f t="shared" si="5"/>
        <v>0</v>
      </c>
      <c r="AA34" s="22">
        <f t="shared" si="6"/>
        <v>0</v>
      </c>
    </row>
    <row r="35" spans="1:27" x14ac:dyDescent="0.25">
      <c r="A35" t="s">
        <v>119</v>
      </c>
      <c r="B35" t="s">
        <v>82</v>
      </c>
      <c r="C35" s="2" t="s">
        <v>83</v>
      </c>
      <c r="D35" t="s">
        <v>84</v>
      </c>
      <c r="E35" s="5">
        <v>7988909.5</v>
      </c>
      <c r="F35" s="4">
        <v>0</v>
      </c>
      <c r="G35" s="5">
        <v>64405.8</v>
      </c>
      <c r="H35" s="11">
        <v>8053315.2999999998</v>
      </c>
      <c r="I35" s="11">
        <v>7988909.5</v>
      </c>
      <c r="J35" s="15">
        <v>64405.8</v>
      </c>
      <c r="K35" s="5">
        <v>8053315.2999999998</v>
      </c>
      <c r="L35" s="4">
        <v>0</v>
      </c>
      <c r="M35" s="4">
        <v>0</v>
      </c>
      <c r="N35" s="5">
        <v>8053315.2999999998</v>
      </c>
      <c r="O35" s="4">
        <v>0</v>
      </c>
      <c r="P35" s="4">
        <v>0</v>
      </c>
      <c r="S35" t="str">
        <f t="shared" si="1"/>
        <v>OP18</v>
      </c>
      <c r="T35" s="20">
        <f>INDEX('ContractPrice-CDE'!$F:$F,MATCH(B35,'ContractPrice-CDE'!$A:$A,0))</f>
        <v>7988909.5099999998</v>
      </c>
      <c r="U35" s="20">
        <f t="shared" si="0"/>
        <v>7988909.5</v>
      </c>
      <c r="V35" s="20">
        <f>INDEX('ContractPrice-CDE'!$J:$J,MATCH(B35,'ContractPrice-CDE'!$A:$A,0))</f>
        <v>8053315.3100000005</v>
      </c>
      <c r="W35" s="20">
        <f t="shared" si="2"/>
        <v>8053315.2999999998</v>
      </c>
      <c r="X35" t="b">
        <f t="shared" si="3"/>
        <v>0</v>
      </c>
      <c r="Y35" t="b">
        <f t="shared" si="4"/>
        <v>0</v>
      </c>
      <c r="Z35" s="22">
        <f t="shared" si="5"/>
        <v>9.9999997764825821E-3</v>
      </c>
      <c r="AA35" s="22">
        <f t="shared" si="6"/>
        <v>1.0000000707805157E-2</v>
      </c>
    </row>
    <row r="36" spans="1:27" ht="30" x14ac:dyDescent="0.25">
      <c r="A36" t="s">
        <v>119</v>
      </c>
      <c r="B36" t="s">
        <v>85</v>
      </c>
      <c r="C36" s="2" t="s">
        <v>146</v>
      </c>
      <c r="D36" t="s">
        <v>147</v>
      </c>
      <c r="E36" s="5">
        <v>93951488</v>
      </c>
      <c r="F36" s="4">
        <v>0</v>
      </c>
      <c r="G36" s="5">
        <v>-1532194.83</v>
      </c>
      <c r="H36" s="11">
        <v>92419293.170000002</v>
      </c>
      <c r="I36" s="11">
        <v>78000000</v>
      </c>
      <c r="J36" s="15">
        <v>9419293.1699999999</v>
      </c>
      <c r="K36" s="5">
        <v>87419293.170000002</v>
      </c>
      <c r="L36" s="5">
        <v>5000000</v>
      </c>
      <c r="M36" s="4">
        <v>0</v>
      </c>
      <c r="N36" s="5">
        <v>92419293.170000002</v>
      </c>
      <c r="O36" s="4">
        <v>0</v>
      </c>
      <c r="P36" s="33">
        <v>45063807.57</v>
      </c>
      <c r="S36" t="str">
        <f t="shared" si="1"/>
        <v>OP27</v>
      </c>
      <c r="T36" s="20">
        <f>INDEX('ContractPrice-CDE'!$F:$F,MATCH(B36,'ContractPrice-CDE'!$A:$A,0))</f>
        <v>78000000</v>
      </c>
      <c r="U36" s="20">
        <f t="shared" si="0"/>
        <v>78000000</v>
      </c>
      <c r="V36" s="20">
        <f>INDEX('ContractPrice-CDE'!$J:$J,MATCH(B36,'ContractPrice-CDE'!$A:$A,0))</f>
        <v>92419293.170000002</v>
      </c>
      <c r="W36" s="20">
        <f t="shared" si="2"/>
        <v>92419293.170000002</v>
      </c>
      <c r="X36" t="b">
        <f t="shared" si="3"/>
        <v>1</v>
      </c>
      <c r="Y36" t="b">
        <f t="shared" si="4"/>
        <v>1</v>
      </c>
      <c r="Z36" s="22">
        <f t="shared" si="5"/>
        <v>0</v>
      </c>
      <c r="AA36" s="22">
        <f t="shared" si="6"/>
        <v>0</v>
      </c>
    </row>
    <row r="37" spans="1:27" ht="30" x14ac:dyDescent="0.25">
      <c r="A37" t="s">
        <v>120</v>
      </c>
      <c r="B37" t="s">
        <v>121</v>
      </c>
      <c r="C37" s="2" t="s">
        <v>148</v>
      </c>
      <c r="D37" t="s">
        <v>84</v>
      </c>
      <c r="E37" s="5">
        <v>14870408.310000001</v>
      </c>
      <c r="F37" s="4">
        <v>0</v>
      </c>
      <c r="G37" s="4">
        <v>0</v>
      </c>
      <c r="H37" s="11">
        <v>14870408.310000001</v>
      </c>
      <c r="I37" s="11">
        <v>14870408.310000001</v>
      </c>
      <c r="J37" s="14">
        <v>0</v>
      </c>
      <c r="K37" s="5">
        <v>14870408.310000001</v>
      </c>
      <c r="L37" s="4">
        <v>0</v>
      </c>
      <c r="M37" s="4">
        <v>0</v>
      </c>
      <c r="N37" s="5">
        <v>14870408.310000001</v>
      </c>
      <c r="O37" s="4">
        <v>0</v>
      </c>
      <c r="P37" s="4">
        <v>0</v>
      </c>
      <c r="S37" t="str">
        <f t="shared" si="1"/>
        <v>CP05C</v>
      </c>
      <c r="T37" s="20">
        <f>INDEX('ContractPrice-CDE'!$F:$F,MATCH(B37,'ContractPrice-CDE'!$A:$A,0))</f>
        <v>14870408.309999999</v>
      </c>
      <c r="U37" s="20">
        <f t="shared" si="0"/>
        <v>14870408.310000001</v>
      </c>
      <c r="V37" s="20">
        <f>INDEX('ContractPrice-CDE'!$J:$J,MATCH(B37,'ContractPrice-CDE'!$A:$A,0))</f>
        <v>14870408.309999999</v>
      </c>
      <c r="W37" s="20">
        <f t="shared" si="2"/>
        <v>14870408.310000001</v>
      </c>
      <c r="X37" t="b">
        <f t="shared" si="3"/>
        <v>1</v>
      </c>
      <c r="Y37" t="b">
        <f t="shared" si="4"/>
        <v>1</v>
      </c>
      <c r="Z37" s="22">
        <f t="shared" si="5"/>
        <v>-1.862645149230957E-9</v>
      </c>
      <c r="AA37" s="22">
        <f t="shared" si="6"/>
        <v>-1.862645149230957E-9</v>
      </c>
    </row>
    <row r="38" spans="1:27" s="6" customFormat="1" ht="30" x14ac:dyDescent="0.25">
      <c r="A38" s="6" t="s">
        <v>120</v>
      </c>
      <c r="B38" s="6" t="s">
        <v>86</v>
      </c>
      <c r="C38" s="26" t="s">
        <v>149</v>
      </c>
      <c r="D38" s="6" t="s">
        <v>150</v>
      </c>
      <c r="E38" s="11">
        <v>68309768.890000001</v>
      </c>
      <c r="F38" s="10">
        <v>0</v>
      </c>
      <c r="G38" s="11">
        <v>-39047256.350000001</v>
      </c>
      <c r="H38" s="11">
        <v>29262512.539999999</v>
      </c>
      <c r="I38" s="11">
        <v>23000000</v>
      </c>
      <c r="J38" s="11">
        <v>3262512.54</v>
      </c>
      <c r="K38" s="11">
        <v>26262512.539999999</v>
      </c>
      <c r="L38" s="11">
        <v>3000000</v>
      </c>
      <c r="M38" s="10">
        <v>0</v>
      </c>
      <c r="N38" s="11">
        <v>29262512.539999999</v>
      </c>
      <c r="O38" s="10">
        <v>0</v>
      </c>
      <c r="P38" s="34">
        <v>4467215.6500000004</v>
      </c>
      <c r="S38" s="6" t="str">
        <f t="shared" si="1"/>
        <v>CP05D</v>
      </c>
      <c r="T38" s="25">
        <f>INDEX('ContractPrice-CDE'!$F:$F,MATCH(B38,'ContractPrice-CDE'!$A:$A,0))</f>
        <v>23000000</v>
      </c>
      <c r="U38" s="25">
        <f t="shared" si="0"/>
        <v>23000000</v>
      </c>
      <c r="V38" s="25">
        <f>INDEX('ContractPrice-CDE'!$J:$J,MATCH(B38,'ContractPrice-CDE'!$A:$A,0))</f>
        <v>26239282.220000006</v>
      </c>
      <c r="W38" s="25">
        <f t="shared" si="2"/>
        <v>29262512.539999999</v>
      </c>
      <c r="X38" s="6" t="b">
        <f t="shared" si="3"/>
        <v>1</v>
      </c>
      <c r="Y38" s="6" t="b">
        <f t="shared" si="4"/>
        <v>0</v>
      </c>
      <c r="Z38" s="27">
        <f t="shared" si="5"/>
        <v>0</v>
      </c>
      <c r="AA38" s="27">
        <f t="shared" si="6"/>
        <v>-3023230.3199999928</v>
      </c>
    </row>
    <row r="39" spans="1:27" ht="30" x14ac:dyDescent="0.25">
      <c r="A39" t="s">
        <v>120</v>
      </c>
      <c r="B39" t="s">
        <v>87</v>
      </c>
      <c r="C39" s="2" t="s">
        <v>152</v>
      </c>
      <c r="D39" t="s">
        <v>151</v>
      </c>
      <c r="E39" s="5">
        <v>58476218.700000003</v>
      </c>
      <c r="F39" s="4">
        <v>0</v>
      </c>
      <c r="G39" s="5">
        <v>-25696592.350000001</v>
      </c>
      <c r="H39" s="11">
        <v>32779626.350000001</v>
      </c>
      <c r="I39" s="11">
        <v>28000000</v>
      </c>
      <c r="J39" s="15">
        <v>-220373.65</v>
      </c>
      <c r="K39" s="5">
        <v>27779626.350000001</v>
      </c>
      <c r="L39" s="5">
        <v>5000000</v>
      </c>
      <c r="M39" s="4">
        <v>0</v>
      </c>
      <c r="N39" s="5">
        <v>32779626.350000001</v>
      </c>
      <c r="O39" s="4">
        <v>0</v>
      </c>
      <c r="P39" s="33">
        <v>2800000</v>
      </c>
      <c r="S39" t="str">
        <f t="shared" si="1"/>
        <v>CP06E</v>
      </c>
      <c r="T39" s="20">
        <f>INDEX('ContractPrice-CDE'!$F:$F,MATCH(B39,'ContractPrice-CDE'!$A:$A,0))</f>
        <v>28000000</v>
      </c>
      <c r="U39" s="20">
        <f t="shared" si="0"/>
        <v>28000000</v>
      </c>
      <c r="V39" s="20">
        <f>INDEX('ContractPrice-CDE'!$J:$J,MATCH(B39,'ContractPrice-CDE'!$A:$A,0))</f>
        <v>32779626.349999994</v>
      </c>
      <c r="W39" s="20">
        <f t="shared" si="2"/>
        <v>32779626.350000001</v>
      </c>
      <c r="X39" t="b">
        <f t="shared" si="3"/>
        <v>1</v>
      </c>
      <c r="Y39" t="b">
        <f t="shared" si="4"/>
        <v>1</v>
      </c>
      <c r="Z39" s="22">
        <f t="shared" si="5"/>
        <v>0</v>
      </c>
      <c r="AA39" s="22">
        <f t="shared" si="6"/>
        <v>-7.4505805969238281E-9</v>
      </c>
    </row>
    <row r="40" spans="1:27" ht="30" x14ac:dyDescent="0.25">
      <c r="A40" t="s">
        <v>120</v>
      </c>
      <c r="B40" t="s">
        <v>88</v>
      </c>
      <c r="C40" s="2" t="s">
        <v>153</v>
      </c>
      <c r="D40" t="s">
        <v>154</v>
      </c>
      <c r="E40" s="5">
        <v>23705175.989999998</v>
      </c>
      <c r="F40" s="4">
        <v>0</v>
      </c>
      <c r="G40" s="5">
        <v>-1514179.27</v>
      </c>
      <c r="H40" s="11">
        <v>22190996.719999999</v>
      </c>
      <c r="I40" s="11">
        <v>22000000</v>
      </c>
      <c r="J40" s="15">
        <v>-309003.28000000003</v>
      </c>
      <c r="K40" s="5">
        <v>21690996.719999999</v>
      </c>
      <c r="L40" s="5">
        <v>500000</v>
      </c>
      <c r="M40" s="4">
        <v>0</v>
      </c>
      <c r="N40" s="5">
        <v>22190996.719999999</v>
      </c>
      <c r="O40" s="4">
        <v>0</v>
      </c>
      <c r="P40" s="33">
        <v>10598876.109999999</v>
      </c>
      <c r="S40" t="str">
        <f t="shared" si="1"/>
        <v>CP06F</v>
      </c>
      <c r="T40" s="20">
        <f>INDEX('ContractPrice-CDE'!$F:$F,MATCH(B40,'ContractPrice-CDE'!$A:$A,0))</f>
        <v>22000000</v>
      </c>
      <c r="U40" s="20">
        <f t="shared" si="0"/>
        <v>22000000</v>
      </c>
      <c r="V40" s="20">
        <f>INDEX('ContractPrice-CDE'!$J:$J,MATCH(B40,'ContractPrice-CDE'!$A:$A,0))</f>
        <v>22190996.719999999</v>
      </c>
      <c r="W40" s="20">
        <f t="shared" si="2"/>
        <v>22190996.719999999</v>
      </c>
      <c r="X40" t="b">
        <f t="shared" si="3"/>
        <v>1</v>
      </c>
      <c r="Y40" t="b">
        <f t="shared" si="4"/>
        <v>1</v>
      </c>
      <c r="Z40" s="22">
        <f t="shared" si="5"/>
        <v>0</v>
      </c>
      <c r="AA40" s="22">
        <f t="shared" si="6"/>
        <v>0</v>
      </c>
    </row>
    <row r="41" spans="1:27" x14ac:dyDescent="0.25">
      <c r="A41" t="s">
        <v>120</v>
      </c>
      <c r="B41" t="s">
        <v>89</v>
      </c>
      <c r="C41" s="2" t="s">
        <v>90</v>
      </c>
      <c r="D41" t="s">
        <v>84</v>
      </c>
      <c r="E41" s="5">
        <v>900000</v>
      </c>
      <c r="F41" s="4">
        <v>0</v>
      </c>
      <c r="G41" s="4">
        <v>0</v>
      </c>
      <c r="H41" s="11">
        <v>900000</v>
      </c>
      <c r="I41" s="11">
        <v>900000</v>
      </c>
      <c r="J41" s="14">
        <v>0</v>
      </c>
      <c r="K41" s="5">
        <v>900000</v>
      </c>
      <c r="L41" s="4">
        <v>0</v>
      </c>
      <c r="M41" s="4">
        <v>0</v>
      </c>
      <c r="N41" s="5">
        <v>900000</v>
      </c>
      <c r="O41" s="4">
        <v>0</v>
      </c>
      <c r="P41" s="4">
        <v>0</v>
      </c>
      <c r="S41" t="str">
        <f t="shared" si="1"/>
        <v>CP26</v>
      </c>
      <c r="T41" s="20">
        <f>INDEX('ContractPrice-CDE'!$F:$F,MATCH(B41,'ContractPrice-CDE'!$A:$A,0))</f>
        <v>900000</v>
      </c>
      <c r="U41" s="20">
        <f t="shared" si="0"/>
        <v>900000</v>
      </c>
      <c r="V41" s="20">
        <f>INDEX('ContractPrice-CDE'!$J:$J,MATCH(B41,'ContractPrice-CDE'!$A:$A,0))</f>
        <v>900000</v>
      </c>
      <c r="W41" s="20">
        <f t="shared" si="2"/>
        <v>900000</v>
      </c>
      <c r="X41" t="b">
        <f t="shared" si="3"/>
        <v>1</v>
      </c>
      <c r="Y41" t="b">
        <f t="shared" si="4"/>
        <v>1</v>
      </c>
      <c r="Z41" s="22">
        <f t="shared" si="5"/>
        <v>0</v>
      </c>
      <c r="AA41" s="22">
        <f t="shared" si="6"/>
        <v>0</v>
      </c>
    </row>
    <row r="42" spans="1:27" s="6" customFormat="1" x14ac:dyDescent="0.25">
      <c r="A42" s="6" t="s">
        <v>120</v>
      </c>
      <c r="B42" s="6" t="s">
        <v>91</v>
      </c>
      <c r="C42" s="26" t="s">
        <v>92</v>
      </c>
      <c r="D42" s="6" t="s">
        <v>84</v>
      </c>
      <c r="E42" s="11">
        <v>6000000</v>
      </c>
      <c r="F42" s="10">
        <v>0</v>
      </c>
      <c r="G42" s="11">
        <v>48027.06</v>
      </c>
      <c r="H42" s="11">
        <v>6048027.0599999996</v>
      </c>
      <c r="I42" s="11">
        <v>6000000</v>
      </c>
      <c r="J42" s="11">
        <v>48027.06</v>
      </c>
      <c r="K42" s="11">
        <v>6048027.0599999996</v>
      </c>
      <c r="L42" s="10">
        <v>0</v>
      </c>
      <c r="M42" s="10">
        <v>0</v>
      </c>
      <c r="N42" s="11">
        <v>6048027.0599999996</v>
      </c>
      <c r="O42" s="10">
        <v>0</v>
      </c>
      <c r="P42" s="10">
        <v>0</v>
      </c>
      <c r="S42" s="6" t="str">
        <f t="shared" si="1"/>
        <v>CP31</v>
      </c>
      <c r="T42" s="25">
        <f>INDEX('ContractPrice-CDE'!$F:$F,MATCH(B42,'ContractPrice-CDE'!$A:$A,0))</f>
        <v>6000000</v>
      </c>
      <c r="U42" s="25">
        <f t="shared" si="0"/>
        <v>6000000</v>
      </c>
      <c r="V42" s="25">
        <f>INDEX('ContractPrice-CDE'!$J:$J,MATCH(B42,'ContractPrice-CDE'!$A:$A,0))</f>
        <v>6004625.0999999996</v>
      </c>
      <c r="W42" s="25">
        <f t="shared" si="2"/>
        <v>6048027.0599999996</v>
      </c>
      <c r="X42" s="6" t="b">
        <f t="shared" si="3"/>
        <v>1</v>
      </c>
      <c r="Y42" s="6" t="b">
        <f t="shared" si="4"/>
        <v>0</v>
      </c>
      <c r="Z42" s="27">
        <f t="shared" si="5"/>
        <v>0</v>
      </c>
      <c r="AA42" s="27">
        <f t="shared" si="6"/>
        <v>-43401.959999999963</v>
      </c>
    </row>
    <row r="43" spans="1:27" ht="30" x14ac:dyDescent="0.25">
      <c r="A43" t="s">
        <v>93</v>
      </c>
      <c r="B43" t="s">
        <v>94</v>
      </c>
      <c r="C43" s="2" t="s">
        <v>155</v>
      </c>
      <c r="D43" t="s">
        <v>156</v>
      </c>
      <c r="E43" s="5">
        <v>62288221.200000003</v>
      </c>
      <c r="F43" s="4">
        <v>0</v>
      </c>
      <c r="G43" s="5">
        <v>-4345008.3899999997</v>
      </c>
      <c r="H43" s="11">
        <v>57943212.810000002</v>
      </c>
      <c r="I43" s="11">
        <v>59000000</v>
      </c>
      <c r="J43" s="15">
        <v>-2056787.19</v>
      </c>
      <c r="K43" s="5">
        <v>56943212.810000002</v>
      </c>
      <c r="L43" s="5">
        <v>1000000</v>
      </c>
      <c r="M43" s="4">
        <v>0</v>
      </c>
      <c r="N43" s="5">
        <v>57943212.810000002</v>
      </c>
      <c r="O43" s="4">
        <v>0</v>
      </c>
      <c r="P43" s="33">
        <v>5900000</v>
      </c>
      <c r="S43" t="str">
        <f t="shared" si="1"/>
        <v>CP17</v>
      </c>
      <c r="T43" s="20">
        <f>INDEX('ContractPrice-CDE'!$F:$F,MATCH(B43,'ContractPrice-CDE'!$A:$A,0))</f>
        <v>59000000</v>
      </c>
      <c r="U43" s="20">
        <f t="shared" si="0"/>
        <v>59000000</v>
      </c>
      <c r="V43" s="20">
        <f>INDEX('ContractPrice-CDE'!$J:$J,MATCH(B43,'ContractPrice-CDE'!$A:$A,0))</f>
        <v>57943212.810000002</v>
      </c>
      <c r="W43" s="20">
        <f t="shared" si="2"/>
        <v>57943212.810000002</v>
      </c>
      <c r="X43" t="b">
        <f t="shared" si="3"/>
        <v>1</v>
      </c>
      <c r="Y43" t="b">
        <f t="shared" si="4"/>
        <v>1</v>
      </c>
      <c r="Z43" s="22">
        <f t="shared" si="5"/>
        <v>0</v>
      </c>
      <c r="AA43" s="22">
        <f t="shared" si="6"/>
        <v>0</v>
      </c>
    </row>
    <row r="44" spans="1:27" x14ac:dyDescent="0.25">
      <c r="A44" t="s">
        <v>93</v>
      </c>
      <c r="B44" t="s">
        <v>95</v>
      </c>
      <c r="C44" s="2" t="s">
        <v>96</v>
      </c>
      <c r="D44" t="s">
        <v>156</v>
      </c>
      <c r="E44" s="4">
        <v>0</v>
      </c>
      <c r="F44" s="4">
        <v>0</v>
      </c>
      <c r="G44" s="4">
        <v>0</v>
      </c>
      <c r="H44" s="10">
        <v>0</v>
      </c>
      <c r="I44" s="10">
        <v>0</v>
      </c>
      <c r="J44" s="14">
        <v>0</v>
      </c>
      <c r="K44" s="4">
        <v>0</v>
      </c>
      <c r="L44" s="4">
        <v>0</v>
      </c>
      <c r="M44" s="4">
        <v>0</v>
      </c>
      <c r="N44" s="4">
        <v>0</v>
      </c>
      <c r="O44" s="4">
        <v>0</v>
      </c>
      <c r="P44" s="4">
        <v>0</v>
      </c>
      <c r="S44" t="str">
        <f t="shared" si="1"/>
        <v>OP30</v>
      </c>
      <c r="T44" s="23"/>
      <c r="U44" s="20">
        <f t="shared" si="0"/>
        <v>0</v>
      </c>
      <c r="V44" s="23"/>
      <c r="W44" s="20">
        <f t="shared" si="2"/>
        <v>0</v>
      </c>
      <c r="X44" t="b">
        <f t="shared" si="3"/>
        <v>1</v>
      </c>
      <c r="Y44" t="b">
        <f t="shared" si="4"/>
        <v>1</v>
      </c>
      <c r="Z44" s="22">
        <f t="shared" si="5"/>
        <v>0</v>
      </c>
      <c r="AA44" s="22">
        <f t="shared" si="6"/>
        <v>0</v>
      </c>
    </row>
    <row r="45" spans="1:27" x14ac:dyDescent="0.25">
      <c r="A45" t="s">
        <v>122</v>
      </c>
      <c r="B45" t="s">
        <v>158</v>
      </c>
      <c r="C45" s="2" t="s">
        <v>97</v>
      </c>
      <c r="D45" t="s">
        <v>84</v>
      </c>
      <c r="E45" s="5">
        <v>48780524.539999999</v>
      </c>
      <c r="F45" s="4">
        <v>0</v>
      </c>
      <c r="G45" s="5">
        <v>445135770.75999999</v>
      </c>
      <c r="H45" s="11">
        <v>493916295.30000001</v>
      </c>
      <c r="I45" s="10">
        <v>0</v>
      </c>
      <c r="J45" s="14">
        <v>0</v>
      </c>
      <c r="K45" s="4">
        <v>0</v>
      </c>
      <c r="L45" s="5">
        <v>493916295.30000001</v>
      </c>
      <c r="N45" s="5">
        <v>493916295.30000001</v>
      </c>
      <c r="O45" s="4">
        <v>0</v>
      </c>
      <c r="P45" s="4">
        <v>0</v>
      </c>
      <c r="S45" t="str">
        <f t="shared" si="1"/>
        <v>Con</v>
      </c>
      <c r="T45" s="20">
        <f>INDEX('ContractPrice-CDE'!$F:$F,MATCH(B45,'ContractPrice-CDE'!$A:$A,0))</f>
        <v>0</v>
      </c>
      <c r="U45" s="20">
        <f t="shared" si="0"/>
        <v>0</v>
      </c>
      <c r="V45" s="20">
        <f>INDEX('ContractPrice-CDE'!$J:$J,MATCH(B45,'ContractPrice-CDE'!$A:$A,0))</f>
        <v>506939469.54999995</v>
      </c>
      <c r="W45" s="20">
        <f t="shared" si="2"/>
        <v>493916295.30000001</v>
      </c>
      <c r="X45" t="b">
        <f t="shared" si="3"/>
        <v>1</v>
      </c>
      <c r="Y45" t="b">
        <f t="shared" si="4"/>
        <v>0</v>
      </c>
      <c r="Z45" s="22">
        <f t="shared" si="5"/>
        <v>0</v>
      </c>
      <c r="AA45" s="22">
        <f t="shared" si="6"/>
        <v>13023174.24999994</v>
      </c>
    </row>
    <row r="46" spans="1:27" x14ac:dyDescent="0.25">
      <c r="H46" s="25"/>
      <c r="I46" s="25"/>
      <c r="S46" t="s">
        <v>218</v>
      </c>
      <c r="T46" s="20">
        <f>SUM(T1:T45)</f>
        <v>2960161571.8099999</v>
      </c>
      <c r="U46" s="20">
        <f>SUM(U1:U45)</f>
        <v>2960161571.7999997</v>
      </c>
      <c r="V46" s="20">
        <f>SUM(V1:V45)</f>
        <v>3560764158.9999981</v>
      </c>
      <c r="W46" s="20">
        <f>SUM(W1:W45)</f>
        <v>3560764159.0299993</v>
      </c>
      <c r="X46" t="b">
        <f t="shared" si="3"/>
        <v>0</v>
      </c>
      <c r="Y46" t="b">
        <f t="shared" si="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72661-E4C8-4F1B-BFB9-4CBCEE9DE18E}">
  <dimension ref="A1:P47"/>
  <sheetViews>
    <sheetView zoomScale="70" zoomScaleNormal="70" workbookViewId="0">
      <pane ySplit="1" topLeftCell="A2" activePane="bottomLeft" state="frozen"/>
      <selection pane="bottomLeft" activeCell="A3" sqref="A3"/>
    </sheetView>
  </sheetViews>
  <sheetFormatPr defaultRowHeight="15" x14ac:dyDescent="0.25"/>
  <cols>
    <col min="1" max="1" width="47.5703125" style="16" bestFit="1" customWidth="1"/>
    <col min="2" max="2" width="11.140625" style="16" bestFit="1" customWidth="1"/>
    <col min="3" max="3" width="48" style="28" customWidth="1"/>
    <col min="4" max="4" width="57.85546875" style="16" bestFit="1" customWidth="1"/>
    <col min="5" max="5" width="15.42578125" style="16" bestFit="1" customWidth="1"/>
    <col min="6" max="6" width="17.28515625" style="16" bestFit="1" customWidth="1"/>
    <col min="7" max="7" width="15.140625" style="16" bestFit="1" customWidth="1"/>
    <col min="8" max="8" width="16.42578125" style="16" bestFit="1" customWidth="1"/>
    <col min="9" max="9" width="23.5703125" style="16" bestFit="1" customWidth="1"/>
    <col min="10" max="10" width="25.28515625" style="16" bestFit="1" customWidth="1"/>
    <col min="11" max="11" width="20.140625" style="16" bestFit="1" customWidth="1"/>
    <col min="12" max="12" width="17.28515625" style="16" bestFit="1" customWidth="1"/>
    <col min="13" max="13" width="13.7109375" style="16" bestFit="1" customWidth="1"/>
    <col min="14" max="14" width="17.7109375" style="16" bestFit="1" customWidth="1"/>
    <col min="15" max="15" width="12.140625" style="16" bestFit="1" customWidth="1"/>
    <col min="16" max="16" width="19.85546875" style="16" bestFit="1" customWidth="1"/>
    <col min="17" max="16384" width="9.140625" style="16"/>
  </cols>
  <sheetData>
    <row r="1" spans="1:16" s="1" customFormat="1" x14ac:dyDescent="0.25">
      <c r="C1" s="8"/>
      <c r="E1" s="1" t="s">
        <v>0</v>
      </c>
      <c r="F1" s="1" t="s">
        <v>1</v>
      </c>
      <c r="G1" s="1" t="s">
        <v>2</v>
      </c>
      <c r="H1" s="9" t="s">
        <v>98</v>
      </c>
      <c r="I1" s="9" t="s">
        <v>3</v>
      </c>
      <c r="J1" s="1" t="s">
        <v>4</v>
      </c>
      <c r="K1" s="1" t="s">
        <v>99</v>
      </c>
      <c r="L1" s="1" t="s">
        <v>5</v>
      </c>
      <c r="M1" s="1" t="s">
        <v>6</v>
      </c>
      <c r="N1" s="1" t="s">
        <v>100</v>
      </c>
      <c r="O1" s="1" t="s">
        <v>101</v>
      </c>
      <c r="P1" s="1" t="s">
        <v>7</v>
      </c>
    </row>
    <row r="2" spans="1:16" customFormat="1" x14ac:dyDescent="0.25">
      <c r="A2" s="12" t="s">
        <v>104</v>
      </c>
      <c r="B2" s="12" t="s">
        <v>105</v>
      </c>
      <c r="C2" s="13" t="s">
        <v>8</v>
      </c>
      <c r="D2" s="12" t="s">
        <v>9</v>
      </c>
      <c r="E2" s="12" t="s">
        <v>10</v>
      </c>
      <c r="F2" s="12" t="s">
        <v>106</v>
      </c>
      <c r="G2" s="12" t="s">
        <v>11</v>
      </c>
      <c r="H2" s="12" t="s">
        <v>107</v>
      </c>
      <c r="I2" s="12" t="s">
        <v>103</v>
      </c>
      <c r="J2" s="12" t="s">
        <v>102</v>
      </c>
      <c r="K2" s="12" t="s">
        <v>108</v>
      </c>
      <c r="L2" s="12" t="s">
        <v>109</v>
      </c>
      <c r="M2" s="12" t="s">
        <v>12</v>
      </c>
      <c r="N2" s="12" t="s">
        <v>110</v>
      </c>
      <c r="O2" s="12" t="s">
        <v>13</v>
      </c>
      <c r="P2" s="12" t="s">
        <v>111</v>
      </c>
    </row>
    <row r="3" spans="1:16" customFormat="1" x14ac:dyDescent="0.25">
      <c r="A3" t="s">
        <v>113</v>
      </c>
      <c r="B3" t="s">
        <v>112</v>
      </c>
      <c r="C3" s="2" t="s">
        <v>14</v>
      </c>
      <c r="D3" t="s">
        <v>15</v>
      </c>
      <c r="E3" s="4" t="b">
        <f>May!E3=June!E2</f>
        <v>1</v>
      </c>
      <c r="F3" s="4" t="b">
        <f>May!F3=June!F2</f>
        <v>1</v>
      </c>
      <c r="G3" s="4" t="b">
        <f>May!G3=June!G2</f>
        <v>1</v>
      </c>
      <c r="H3" s="4" t="b">
        <f>May!H3=June!H2</f>
        <v>1</v>
      </c>
      <c r="I3" s="4" t="b">
        <f>May!I3=June!I2</f>
        <v>1</v>
      </c>
      <c r="J3" s="4" t="b">
        <f>May!J3=June!J2</f>
        <v>1</v>
      </c>
      <c r="K3" s="4" t="b">
        <f>May!K3=June!K2</f>
        <v>1</v>
      </c>
      <c r="L3" s="4" t="b">
        <f>May!L3=June!L2</f>
        <v>1</v>
      </c>
      <c r="M3" s="4" t="b">
        <f>May!M3=June!M2</f>
        <v>1</v>
      </c>
      <c r="N3" s="4" t="b">
        <f>May!N3=June!N2</f>
        <v>1</v>
      </c>
      <c r="O3" s="4" t="b">
        <f>May!O3=June!O2</f>
        <v>1</v>
      </c>
      <c r="P3" s="4" t="b">
        <f>May!P3=June!P2</f>
        <v>1</v>
      </c>
    </row>
    <row r="4" spans="1:16" customFormat="1" x14ac:dyDescent="0.25">
      <c r="A4" t="s">
        <v>113</v>
      </c>
      <c r="B4" t="s">
        <v>16</v>
      </c>
      <c r="C4" s="2" t="s">
        <v>17</v>
      </c>
      <c r="D4" t="s">
        <v>18</v>
      </c>
      <c r="E4" s="4" t="b">
        <f>May!E4=June!E3</f>
        <v>1</v>
      </c>
      <c r="F4" s="4" t="b">
        <f>May!F4=June!F3</f>
        <v>1</v>
      </c>
      <c r="G4" s="4" t="b">
        <f>May!G4=June!G3</f>
        <v>1</v>
      </c>
      <c r="H4" s="4" t="b">
        <f>May!H4=June!H3</f>
        <v>1</v>
      </c>
      <c r="I4" s="4" t="b">
        <f>May!I4=June!I3</f>
        <v>1</v>
      </c>
      <c r="J4" s="4" t="b">
        <f>May!J4=June!J3</f>
        <v>1</v>
      </c>
      <c r="K4" s="4" t="b">
        <f>May!K4=June!K3</f>
        <v>1</v>
      </c>
      <c r="L4" s="4" t="b">
        <f>May!L4=June!L3</f>
        <v>1</v>
      </c>
      <c r="M4" s="4" t="b">
        <f>May!M4=June!M3</f>
        <v>1</v>
      </c>
      <c r="N4" s="4" t="b">
        <f>May!N4=June!N3</f>
        <v>1</v>
      </c>
      <c r="O4" s="4" t="b">
        <f>May!O4=June!O3</f>
        <v>1</v>
      </c>
      <c r="P4" s="4" t="b">
        <f>May!P4=June!P3</f>
        <v>1</v>
      </c>
    </row>
    <row r="5" spans="1:16" customFormat="1" x14ac:dyDescent="0.25">
      <c r="A5" t="s">
        <v>113</v>
      </c>
      <c r="B5" t="s">
        <v>19</v>
      </c>
      <c r="C5" s="2" t="s">
        <v>20</v>
      </c>
      <c r="D5" t="s">
        <v>21</v>
      </c>
      <c r="E5" s="4" t="b">
        <f>May!E5=June!E4</f>
        <v>1</v>
      </c>
      <c r="F5" s="4" t="b">
        <f>May!F5=June!F4</f>
        <v>1</v>
      </c>
      <c r="G5" s="4" t="b">
        <f>May!G5=June!G4</f>
        <v>1</v>
      </c>
      <c r="H5" s="4" t="b">
        <f>May!H5=June!H4</f>
        <v>1</v>
      </c>
      <c r="I5" s="4" t="b">
        <f>May!I5=June!I4</f>
        <v>1</v>
      </c>
      <c r="J5" s="4" t="b">
        <f>May!J5=June!J4</f>
        <v>1</v>
      </c>
      <c r="K5" s="4" t="b">
        <f>May!K5=June!K4</f>
        <v>1</v>
      </c>
      <c r="L5" s="4" t="b">
        <f>May!L5=June!L4</f>
        <v>1</v>
      </c>
      <c r="M5" s="4" t="b">
        <f>May!M5=June!M4</f>
        <v>1</v>
      </c>
      <c r="N5" s="4" t="b">
        <f>May!N5=June!N4</f>
        <v>1</v>
      </c>
      <c r="O5" s="4" t="b">
        <f>May!O5=June!O4</f>
        <v>1</v>
      </c>
      <c r="P5" s="4" t="b">
        <f>May!P5=June!P4</f>
        <v>1</v>
      </c>
    </row>
    <row r="6" spans="1:16" customFormat="1" x14ac:dyDescent="0.25">
      <c r="A6" t="s">
        <v>113</v>
      </c>
      <c r="B6" t="s">
        <v>22</v>
      </c>
      <c r="C6" s="2" t="s">
        <v>123</v>
      </c>
      <c r="D6" t="s">
        <v>23</v>
      </c>
      <c r="E6" s="4" t="b">
        <f>May!E6=June!E5</f>
        <v>1</v>
      </c>
      <c r="F6" s="4" t="b">
        <f>May!F6=June!F5</f>
        <v>1</v>
      </c>
      <c r="G6" s="4" t="b">
        <f>May!G6=June!G5</f>
        <v>1</v>
      </c>
      <c r="H6" s="4" t="b">
        <f>May!H6=June!H5</f>
        <v>1</v>
      </c>
      <c r="I6" s="4" t="b">
        <f>May!I6=June!I5</f>
        <v>1</v>
      </c>
      <c r="J6" s="4" t="b">
        <f>May!J6=June!J5</f>
        <v>1</v>
      </c>
      <c r="K6" s="4" t="b">
        <f>May!K6=June!K5</f>
        <v>1</v>
      </c>
      <c r="L6" s="4" t="b">
        <f>May!L6=June!L5</f>
        <v>1</v>
      </c>
      <c r="M6" s="4" t="b">
        <f>May!M6=June!M5</f>
        <v>1</v>
      </c>
      <c r="N6" s="4" t="b">
        <f>May!N6=June!N5</f>
        <v>1</v>
      </c>
      <c r="O6" s="4" t="b">
        <f>May!O6=June!O5</f>
        <v>1</v>
      </c>
      <c r="P6" s="4" t="b">
        <f>May!P6=June!P5</f>
        <v>1</v>
      </c>
    </row>
    <row r="7" spans="1:16" customFormat="1" x14ac:dyDescent="0.25">
      <c r="A7" t="s">
        <v>113</v>
      </c>
      <c r="B7" t="s">
        <v>24</v>
      </c>
      <c r="C7" s="2" t="s">
        <v>124</v>
      </c>
      <c r="D7" t="s">
        <v>25</v>
      </c>
      <c r="E7" s="4" t="b">
        <f>May!E7=June!E6</f>
        <v>1</v>
      </c>
      <c r="F7" s="4" t="b">
        <f>May!F7=June!F6</f>
        <v>1</v>
      </c>
      <c r="G7" s="4" t="b">
        <f>May!G7=June!G6</f>
        <v>1</v>
      </c>
      <c r="H7" s="4" t="b">
        <f>May!H7=June!H6</f>
        <v>1</v>
      </c>
      <c r="I7" s="4" t="b">
        <f>May!I7=June!I6</f>
        <v>1</v>
      </c>
      <c r="J7" s="4" t="b">
        <f>May!J7=June!J6</f>
        <v>1</v>
      </c>
      <c r="K7" s="4" t="b">
        <f>May!K7=June!K6</f>
        <v>1</v>
      </c>
      <c r="L7" s="4" t="b">
        <f>May!L7=June!L6</f>
        <v>1</v>
      </c>
      <c r="M7" s="4" t="b">
        <f>May!M7=June!M6</f>
        <v>1</v>
      </c>
      <c r="N7" s="4" t="b">
        <f>May!N7=June!N6</f>
        <v>1</v>
      </c>
      <c r="O7" s="4" t="b">
        <f>May!O7=June!O6</f>
        <v>1</v>
      </c>
      <c r="P7" s="4" t="b">
        <f>May!P7=June!P6</f>
        <v>1</v>
      </c>
    </row>
    <row r="8" spans="1:16" customFormat="1" x14ac:dyDescent="0.25">
      <c r="A8" t="s">
        <v>113</v>
      </c>
      <c r="B8" t="s">
        <v>26</v>
      </c>
      <c r="C8" s="2" t="s">
        <v>157</v>
      </c>
      <c r="D8" t="s">
        <v>27</v>
      </c>
      <c r="E8" s="4" t="b">
        <f>May!E8=June!E7</f>
        <v>1</v>
      </c>
      <c r="F8" s="4" t="b">
        <f>May!F8=June!F7</f>
        <v>1</v>
      </c>
      <c r="G8" s="4" t="b">
        <f>May!G8=June!G7</f>
        <v>1</v>
      </c>
      <c r="H8" s="4" t="b">
        <f>May!H8=June!H7</f>
        <v>1</v>
      </c>
      <c r="I8" s="4" t="b">
        <f>May!I8=June!I7</f>
        <v>1</v>
      </c>
      <c r="J8" s="4" t="b">
        <f>May!J8=June!J7</f>
        <v>1</v>
      </c>
      <c r="K8" s="4" t="b">
        <f>May!K8=June!K7</f>
        <v>1</v>
      </c>
      <c r="L8" s="4" t="b">
        <f>May!L8=June!L7</f>
        <v>1</v>
      </c>
      <c r="M8" s="4" t="b">
        <f>May!M8=June!M7</f>
        <v>1</v>
      </c>
      <c r="N8" s="4" t="b">
        <f>May!N8=June!N7</f>
        <v>1</v>
      </c>
      <c r="O8" s="4" t="b">
        <f>May!O8=June!O7</f>
        <v>1</v>
      </c>
      <c r="P8" s="4" t="b">
        <f>May!P8=June!P7</f>
        <v>1</v>
      </c>
    </row>
    <row r="9" spans="1:16" customFormat="1" x14ac:dyDescent="0.25">
      <c r="A9" t="s">
        <v>113</v>
      </c>
      <c r="B9" t="s">
        <v>28</v>
      </c>
      <c r="C9" s="2" t="s">
        <v>29</v>
      </c>
      <c r="D9" t="s">
        <v>30</v>
      </c>
      <c r="E9" s="4" t="b">
        <f>May!E9=June!E8</f>
        <v>1</v>
      </c>
      <c r="F9" s="4" t="b">
        <f>May!F9=June!F8</f>
        <v>1</v>
      </c>
      <c r="G9" s="4" t="b">
        <f>May!G9=June!G8</f>
        <v>1</v>
      </c>
      <c r="H9" s="4" t="b">
        <f>May!H9=June!H8</f>
        <v>1</v>
      </c>
      <c r="I9" s="4" t="b">
        <f>May!I9=June!I8</f>
        <v>1</v>
      </c>
      <c r="J9" s="4" t="b">
        <f>May!J9=June!J8</f>
        <v>1</v>
      </c>
      <c r="K9" s="4" t="b">
        <f>May!K9=June!K8</f>
        <v>1</v>
      </c>
      <c r="L9" s="4" t="b">
        <f>May!L9=June!L8</f>
        <v>1</v>
      </c>
      <c r="M9" s="4" t="b">
        <f>May!M9=June!M8</f>
        <v>1</v>
      </c>
      <c r="N9" s="4" t="b">
        <f>May!N9=June!N8</f>
        <v>1</v>
      </c>
      <c r="O9" s="4" t="b">
        <f>May!O9=June!O8</f>
        <v>1</v>
      </c>
      <c r="P9" s="4" t="b">
        <f>May!P9=June!P8</f>
        <v>1</v>
      </c>
    </row>
    <row r="10" spans="1:16" customFormat="1" x14ac:dyDescent="0.25">
      <c r="A10" t="s">
        <v>113</v>
      </c>
      <c r="B10" t="s">
        <v>31</v>
      </c>
      <c r="C10" s="2" t="s">
        <v>32</v>
      </c>
      <c r="D10" t="s">
        <v>33</v>
      </c>
      <c r="E10" s="4" t="b">
        <f>May!E10=June!E9</f>
        <v>1</v>
      </c>
      <c r="F10" s="4" t="b">
        <f>May!F10=June!F9</f>
        <v>1</v>
      </c>
      <c r="G10" s="4" t="b">
        <f>May!G10=June!G9</f>
        <v>1</v>
      </c>
      <c r="H10" s="4" t="b">
        <f>May!H10=June!H9</f>
        <v>1</v>
      </c>
      <c r="I10" s="4" t="b">
        <f>May!I10=June!I9</f>
        <v>1</v>
      </c>
      <c r="J10" s="4" t="b">
        <f>May!J10=June!J9</f>
        <v>1</v>
      </c>
      <c r="K10" s="4" t="b">
        <f>May!K10=June!K9</f>
        <v>1</v>
      </c>
      <c r="L10" s="4" t="b">
        <f>May!L10=June!L9</f>
        <v>1</v>
      </c>
      <c r="M10" s="4" t="b">
        <f>May!M10=June!M9</f>
        <v>1</v>
      </c>
      <c r="N10" s="4" t="b">
        <f>May!N10=June!N9</f>
        <v>1</v>
      </c>
      <c r="O10" s="4" t="b">
        <f>May!O10=June!O9</f>
        <v>1</v>
      </c>
      <c r="P10" s="4" t="b">
        <f>May!P10=June!P9</f>
        <v>1</v>
      </c>
    </row>
    <row r="11" spans="1:16" customFormat="1" x14ac:dyDescent="0.25">
      <c r="A11" t="s">
        <v>113</v>
      </c>
      <c r="B11" t="s">
        <v>34</v>
      </c>
      <c r="C11" s="2" t="s">
        <v>125</v>
      </c>
      <c r="D11" t="s">
        <v>35</v>
      </c>
      <c r="E11" s="4" t="b">
        <f>May!E11=June!E10</f>
        <v>1</v>
      </c>
      <c r="F11" s="4" t="b">
        <f>May!F11=June!F10</f>
        <v>1</v>
      </c>
      <c r="G11" s="4" t="b">
        <f>May!G11=June!G10</f>
        <v>1</v>
      </c>
      <c r="H11" s="4" t="b">
        <f>May!H11=June!H10</f>
        <v>1</v>
      </c>
      <c r="I11" s="4" t="b">
        <f>May!I11=June!I10</f>
        <v>1</v>
      </c>
      <c r="J11" s="4" t="b">
        <f>May!J11=June!J10</f>
        <v>1</v>
      </c>
      <c r="K11" s="4" t="b">
        <f>May!K11=June!K10</f>
        <v>1</v>
      </c>
      <c r="L11" s="4" t="b">
        <f>May!L11=June!L10</f>
        <v>1</v>
      </c>
      <c r="M11" s="4" t="b">
        <f>May!M11=June!M10</f>
        <v>1</v>
      </c>
      <c r="N11" s="4" t="b">
        <f>May!N11=June!N10</f>
        <v>1</v>
      </c>
      <c r="O11" s="4" t="b">
        <f>May!O11=June!O10</f>
        <v>1</v>
      </c>
      <c r="P11" s="4" t="b">
        <f>May!P11=June!P10</f>
        <v>1</v>
      </c>
    </row>
    <row r="12" spans="1:16" customFormat="1" x14ac:dyDescent="0.25">
      <c r="A12" t="s">
        <v>113</v>
      </c>
      <c r="B12" t="s">
        <v>36</v>
      </c>
      <c r="C12" s="2" t="s">
        <v>126</v>
      </c>
      <c r="D12" t="s">
        <v>37</v>
      </c>
      <c r="E12" s="4" t="b">
        <f>May!E12=June!E11</f>
        <v>1</v>
      </c>
      <c r="F12" s="4" t="b">
        <f>May!F12=June!F11</f>
        <v>1</v>
      </c>
      <c r="G12" s="4" t="b">
        <f>May!G12=June!G11</f>
        <v>1</v>
      </c>
      <c r="H12" s="4" t="b">
        <f>May!H12=June!H11</f>
        <v>1</v>
      </c>
      <c r="I12" s="4" t="b">
        <f>May!I12=June!I11</f>
        <v>1</v>
      </c>
      <c r="J12" s="4" t="b">
        <f>May!J12=June!J11</f>
        <v>1</v>
      </c>
      <c r="K12" s="4" t="b">
        <f>May!K12=June!K11</f>
        <v>1</v>
      </c>
      <c r="L12" s="4" t="b">
        <f>May!L12=June!L11</f>
        <v>1</v>
      </c>
      <c r="M12" s="4" t="b">
        <f>May!M12=June!M11</f>
        <v>1</v>
      </c>
      <c r="N12" s="4" t="b">
        <f>May!N12=June!N11</f>
        <v>1</v>
      </c>
      <c r="O12" s="4" t="b">
        <f>May!O12=June!O11</f>
        <v>1</v>
      </c>
      <c r="P12" s="4" t="b">
        <f>May!P12=June!P11</f>
        <v>1</v>
      </c>
    </row>
    <row r="13" spans="1:16" customFormat="1" x14ac:dyDescent="0.25">
      <c r="A13" t="s">
        <v>38</v>
      </c>
      <c r="B13" t="s">
        <v>39</v>
      </c>
      <c r="C13" s="2" t="s">
        <v>127</v>
      </c>
      <c r="D13" t="s">
        <v>40</v>
      </c>
      <c r="E13" s="4" t="b">
        <f>May!E13=June!E12</f>
        <v>1</v>
      </c>
      <c r="F13" s="4" t="b">
        <f>May!F13=June!F12</f>
        <v>1</v>
      </c>
      <c r="G13" s="4" t="b">
        <f>May!G13=June!G12</f>
        <v>1</v>
      </c>
      <c r="H13" s="4" t="b">
        <f>May!H13=June!H12</f>
        <v>1</v>
      </c>
      <c r="I13" s="4" t="b">
        <f>May!I13=June!I12</f>
        <v>1</v>
      </c>
      <c r="J13" s="4" t="b">
        <f>May!J13=June!J12</f>
        <v>1</v>
      </c>
      <c r="K13" s="4" t="b">
        <f>May!K13=June!K12</f>
        <v>1</v>
      </c>
      <c r="L13" s="4" t="b">
        <f>May!L13=June!L12</f>
        <v>1</v>
      </c>
      <c r="M13" s="4" t="b">
        <f>May!M13=June!M12</f>
        <v>1</v>
      </c>
      <c r="N13" s="4" t="b">
        <f>May!N13=June!N12</f>
        <v>1</v>
      </c>
      <c r="O13" s="4" t="b">
        <f>May!O13=June!O12</f>
        <v>1</v>
      </c>
      <c r="P13" s="4" t="b">
        <f>May!P13=June!P12</f>
        <v>1</v>
      </c>
    </row>
    <row r="14" spans="1:16" customFormat="1" x14ac:dyDescent="0.25">
      <c r="A14" t="s">
        <v>38</v>
      </c>
      <c r="B14" t="s">
        <v>41</v>
      </c>
      <c r="C14" s="2" t="s">
        <v>42</v>
      </c>
      <c r="D14" t="s">
        <v>43</v>
      </c>
      <c r="E14" s="4" t="b">
        <f>May!E14=June!E13</f>
        <v>1</v>
      </c>
      <c r="F14" s="4" t="b">
        <f>May!F14=June!F13</f>
        <v>1</v>
      </c>
      <c r="G14" s="4" t="b">
        <f>May!G14=June!G13</f>
        <v>1</v>
      </c>
      <c r="H14" s="4" t="b">
        <f>May!H14=June!H13</f>
        <v>1</v>
      </c>
      <c r="I14" s="4" t="b">
        <f>May!I14=June!I13</f>
        <v>1</v>
      </c>
      <c r="J14" s="4" t="b">
        <f>May!J14=June!J13</f>
        <v>1</v>
      </c>
      <c r="K14" s="4" t="b">
        <f>May!K14=June!K13</f>
        <v>1</v>
      </c>
      <c r="L14" s="4" t="b">
        <f>May!L14=June!L13</f>
        <v>1</v>
      </c>
      <c r="M14" s="4" t="b">
        <f>May!M14=June!M13</f>
        <v>1</v>
      </c>
      <c r="N14" s="4" t="b">
        <f>May!N14=June!N13</f>
        <v>1</v>
      </c>
      <c r="O14" s="4" t="b">
        <f>May!O14=June!O13</f>
        <v>1</v>
      </c>
      <c r="P14" s="4" t="b">
        <f>May!P14=June!P13</f>
        <v>1</v>
      </c>
    </row>
    <row r="15" spans="1:16" customFormat="1" x14ac:dyDescent="0.25">
      <c r="A15" t="s">
        <v>114</v>
      </c>
      <c r="B15" t="s">
        <v>130</v>
      </c>
      <c r="C15" s="2" t="s">
        <v>129</v>
      </c>
      <c r="D15" t="s">
        <v>128</v>
      </c>
      <c r="E15" s="4" t="b">
        <f>May!E15=June!E14</f>
        <v>1</v>
      </c>
      <c r="F15" s="4" t="b">
        <f>May!F15=June!F14</f>
        <v>1</v>
      </c>
      <c r="G15" s="4" t="b">
        <f>May!G15=June!G14</f>
        <v>1</v>
      </c>
      <c r="H15" s="4" t="b">
        <f>May!H15=June!H14</f>
        <v>1</v>
      </c>
      <c r="I15" s="4" t="b">
        <f>May!I15=June!I14</f>
        <v>1</v>
      </c>
      <c r="J15" s="4" t="b">
        <f>May!J15=June!J14</f>
        <v>1</v>
      </c>
      <c r="K15" s="4" t="b">
        <f>May!K15=June!K14</f>
        <v>1</v>
      </c>
      <c r="L15" s="4" t="b">
        <f>May!L15=June!L14</f>
        <v>1</v>
      </c>
      <c r="M15" s="4" t="b">
        <f>May!M15=June!M14</f>
        <v>1</v>
      </c>
      <c r="N15" s="4" t="b">
        <f>May!N15=June!N14</f>
        <v>1</v>
      </c>
      <c r="O15" s="4" t="b">
        <f>May!O15=June!O14</f>
        <v>1</v>
      </c>
      <c r="P15" s="4" t="b">
        <f>May!P15=June!P14</f>
        <v>1</v>
      </c>
    </row>
    <row r="16" spans="1:16" customFormat="1" x14ac:dyDescent="0.25">
      <c r="A16" t="s">
        <v>114</v>
      </c>
      <c r="B16" t="s">
        <v>44</v>
      </c>
      <c r="C16" s="2" t="s">
        <v>45</v>
      </c>
      <c r="D16" t="s">
        <v>46</v>
      </c>
      <c r="E16" s="4" t="b">
        <f>May!E16=June!E15</f>
        <v>1</v>
      </c>
      <c r="F16" s="4" t="b">
        <f>May!F16=June!F15</f>
        <v>1</v>
      </c>
      <c r="G16" s="4" t="b">
        <f>May!G16=June!G15</f>
        <v>1</v>
      </c>
      <c r="H16" s="4" t="b">
        <f>May!H16=June!H15</f>
        <v>1</v>
      </c>
      <c r="I16" s="4" t="b">
        <f>May!I16=June!I15</f>
        <v>1</v>
      </c>
      <c r="J16" s="4" t="b">
        <f>May!J16=June!J15</f>
        <v>1</v>
      </c>
      <c r="K16" s="4" t="b">
        <f>May!K16=June!K15</f>
        <v>1</v>
      </c>
      <c r="L16" s="4" t="b">
        <f>May!L16=June!L15</f>
        <v>1</v>
      </c>
      <c r="M16" s="4" t="b">
        <f>May!M16=June!M15</f>
        <v>1</v>
      </c>
      <c r="N16" s="4" t="b">
        <f>May!N16=June!N15</f>
        <v>1</v>
      </c>
      <c r="O16" s="4" t="b">
        <f>May!O16=June!O15</f>
        <v>1</v>
      </c>
      <c r="P16" s="4" t="b">
        <f>May!P16=June!P15</f>
        <v>1</v>
      </c>
    </row>
    <row r="17" spans="1:16" customFormat="1" x14ac:dyDescent="0.25">
      <c r="A17" t="s">
        <v>114</v>
      </c>
      <c r="B17" t="s">
        <v>47</v>
      </c>
      <c r="C17" s="2" t="s">
        <v>48</v>
      </c>
      <c r="D17" t="s">
        <v>131</v>
      </c>
      <c r="E17" s="4" t="b">
        <f>May!E17=June!E16</f>
        <v>1</v>
      </c>
      <c r="F17" s="4" t="b">
        <f>May!F17=June!F16</f>
        <v>1</v>
      </c>
      <c r="G17" s="4" t="b">
        <f>May!G17=June!G16</f>
        <v>1</v>
      </c>
      <c r="H17" s="4" t="b">
        <f>May!H17=June!H16</f>
        <v>1</v>
      </c>
      <c r="I17" s="4" t="b">
        <f>May!I17=June!I16</f>
        <v>1</v>
      </c>
      <c r="J17" s="4" t="b">
        <f>May!J17=June!J16</f>
        <v>1</v>
      </c>
      <c r="K17" s="4" t="b">
        <f>May!K17=June!K16</f>
        <v>1</v>
      </c>
      <c r="L17" s="4" t="b">
        <f>May!L17=June!L16</f>
        <v>1</v>
      </c>
      <c r="M17" s="4" t="b">
        <f>May!M17=June!M16</f>
        <v>1</v>
      </c>
      <c r="N17" s="4" t="b">
        <f>May!N17=June!N16</f>
        <v>1</v>
      </c>
      <c r="O17" s="4" t="b">
        <f>May!O17=June!O16</f>
        <v>1</v>
      </c>
      <c r="P17" s="4" t="b">
        <f>May!P17=June!P16</f>
        <v>1</v>
      </c>
    </row>
    <row r="18" spans="1:16" customFormat="1" x14ac:dyDescent="0.25">
      <c r="A18" t="s">
        <v>115</v>
      </c>
      <c r="B18" t="s">
        <v>49</v>
      </c>
      <c r="C18" s="2" t="s">
        <v>132</v>
      </c>
      <c r="D18" t="s">
        <v>50</v>
      </c>
      <c r="E18" s="4" t="b">
        <f>May!E18=June!E17</f>
        <v>1</v>
      </c>
      <c r="F18" s="4" t="b">
        <f>May!F18=June!F17</f>
        <v>1</v>
      </c>
      <c r="G18" s="4" t="b">
        <f>May!G18=June!G17</f>
        <v>1</v>
      </c>
      <c r="H18" s="4" t="b">
        <f>May!H18=June!H17</f>
        <v>1</v>
      </c>
      <c r="I18" s="4" t="b">
        <f>May!I18=June!I17</f>
        <v>1</v>
      </c>
      <c r="J18" s="4" t="b">
        <f>May!J18=June!J17</f>
        <v>1</v>
      </c>
      <c r="K18" s="4" t="b">
        <f>May!K18=June!K17</f>
        <v>1</v>
      </c>
      <c r="L18" s="4" t="b">
        <f>May!L18=June!L17</f>
        <v>1</v>
      </c>
      <c r="M18" s="4" t="b">
        <f>May!M18=June!M17</f>
        <v>1</v>
      </c>
      <c r="N18" s="4" t="b">
        <f>May!N18=June!N17</f>
        <v>1</v>
      </c>
      <c r="O18" s="4" t="b">
        <f>May!O18=June!O17</f>
        <v>1</v>
      </c>
      <c r="P18" s="4" t="b">
        <f>May!P18=June!P17</f>
        <v>1</v>
      </c>
    </row>
    <row r="19" spans="1:16" customFormat="1" x14ac:dyDescent="0.25">
      <c r="A19" t="s">
        <v>115</v>
      </c>
      <c r="B19" t="s">
        <v>51</v>
      </c>
      <c r="C19" s="2" t="s">
        <v>133</v>
      </c>
      <c r="D19" t="s">
        <v>137</v>
      </c>
      <c r="E19" s="4" t="b">
        <f>May!E19=June!E18</f>
        <v>1</v>
      </c>
      <c r="F19" s="4" t="b">
        <f>May!F19=June!F18</f>
        <v>1</v>
      </c>
      <c r="G19" s="4" t="b">
        <f>May!G19=June!G18</f>
        <v>1</v>
      </c>
      <c r="H19" s="4" t="b">
        <f>May!H19=June!H18</f>
        <v>1</v>
      </c>
      <c r="I19" s="4" t="b">
        <f>May!I19=June!I18</f>
        <v>1</v>
      </c>
      <c r="J19" s="4" t="b">
        <f>May!J19=June!J18</f>
        <v>1</v>
      </c>
      <c r="K19" s="4" t="b">
        <f>May!K19=June!K18</f>
        <v>1</v>
      </c>
      <c r="L19" s="4" t="b">
        <f>May!L19=June!L18</f>
        <v>1</v>
      </c>
      <c r="M19" s="4" t="b">
        <f>May!M19=June!M18</f>
        <v>1</v>
      </c>
      <c r="N19" s="4" t="b">
        <f>May!N19=June!N18</f>
        <v>1</v>
      </c>
      <c r="O19" s="4" t="b">
        <f>May!O19=June!O18</f>
        <v>1</v>
      </c>
      <c r="P19" s="4" t="b">
        <f>May!P19=June!P18</f>
        <v>1</v>
      </c>
    </row>
    <row r="20" spans="1:16" customFormat="1" x14ac:dyDescent="0.25">
      <c r="A20" t="s">
        <v>115</v>
      </c>
      <c r="B20" t="s">
        <v>52</v>
      </c>
      <c r="C20" s="2" t="s">
        <v>134</v>
      </c>
      <c r="D20" t="s">
        <v>53</v>
      </c>
      <c r="E20" s="4" t="b">
        <f>May!E20=June!E19</f>
        <v>1</v>
      </c>
      <c r="F20" s="4" t="b">
        <f>May!F20=June!F19</f>
        <v>1</v>
      </c>
      <c r="G20" s="4" t="b">
        <f>May!G20=June!G19</f>
        <v>1</v>
      </c>
      <c r="H20" s="4" t="b">
        <f>May!H20=June!H19</f>
        <v>1</v>
      </c>
      <c r="I20" s="4" t="b">
        <f>May!I20=June!I19</f>
        <v>1</v>
      </c>
      <c r="J20" s="4" t="b">
        <f>May!J20=June!J19</f>
        <v>1</v>
      </c>
      <c r="K20" s="4" t="b">
        <f>May!K20=June!K19</f>
        <v>1</v>
      </c>
      <c r="L20" s="4" t="b">
        <f>May!L20=June!L19</f>
        <v>1</v>
      </c>
      <c r="M20" s="4" t="b">
        <f>May!M20=June!M19</f>
        <v>1</v>
      </c>
      <c r="N20" s="4" t="b">
        <f>May!N20=June!N19</f>
        <v>1</v>
      </c>
      <c r="O20" s="4" t="b">
        <f>May!O20=June!O19</f>
        <v>1</v>
      </c>
      <c r="P20" s="4" t="b">
        <f>May!P20=June!P19</f>
        <v>0</v>
      </c>
    </row>
    <row r="21" spans="1:16" customFormat="1" ht="45" x14ac:dyDescent="0.25">
      <c r="A21" t="s">
        <v>115</v>
      </c>
      <c r="B21" t="s">
        <v>54</v>
      </c>
      <c r="C21" s="2" t="s">
        <v>135</v>
      </c>
      <c r="D21" t="s">
        <v>136</v>
      </c>
      <c r="E21" s="4" t="b">
        <f>May!E21=June!E20</f>
        <v>1</v>
      </c>
      <c r="F21" s="4" t="b">
        <f>May!F21=June!F20</f>
        <v>1</v>
      </c>
      <c r="G21" s="4" t="b">
        <f>May!G21=June!G20</f>
        <v>1</v>
      </c>
      <c r="H21" s="4" t="b">
        <f>May!H21=June!H20</f>
        <v>1</v>
      </c>
      <c r="I21" s="4" t="b">
        <f>May!I21=June!I20</f>
        <v>1</v>
      </c>
      <c r="J21" s="4" t="b">
        <f>May!J21=June!J20</f>
        <v>1</v>
      </c>
      <c r="K21" s="4" t="b">
        <f>May!K21=June!K20</f>
        <v>1</v>
      </c>
      <c r="L21" s="4" t="b">
        <f>May!L21=June!L20</f>
        <v>1</v>
      </c>
      <c r="M21" s="4" t="b">
        <f>May!M21=June!M20</f>
        <v>1</v>
      </c>
      <c r="N21" s="4" t="b">
        <f>May!N21=June!N20</f>
        <v>1</v>
      </c>
      <c r="O21" s="4" t="b">
        <f>May!O21=June!O20</f>
        <v>1</v>
      </c>
      <c r="P21" s="4" t="b">
        <f>May!P21=June!P20</f>
        <v>0</v>
      </c>
    </row>
    <row r="22" spans="1:16" customFormat="1" ht="45" x14ac:dyDescent="0.25">
      <c r="A22" t="s">
        <v>55</v>
      </c>
      <c r="B22" t="s">
        <v>56</v>
      </c>
      <c r="C22" s="2" t="s">
        <v>138</v>
      </c>
      <c r="D22" t="s">
        <v>128</v>
      </c>
      <c r="E22" s="4" t="b">
        <f>May!E22=June!E21</f>
        <v>1</v>
      </c>
      <c r="F22" s="4" t="b">
        <f>May!F22=June!F21</f>
        <v>1</v>
      </c>
      <c r="G22" s="4" t="b">
        <f>May!G22=June!G21</f>
        <v>1</v>
      </c>
      <c r="H22" s="4" t="b">
        <f>May!H22=June!H21</f>
        <v>1</v>
      </c>
      <c r="I22" s="4" t="b">
        <f>May!I22=June!I21</f>
        <v>1</v>
      </c>
      <c r="J22" s="4" t="b">
        <f>May!J22=June!J21</f>
        <v>1</v>
      </c>
      <c r="K22" s="4" t="b">
        <f>May!K22=June!K21</f>
        <v>1</v>
      </c>
      <c r="L22" s="4" t="b">
        <f>May!L22=June!L21</f>
        <v>1</v>
      </c>
      <c r="M22" s="4" t="b">
        <f>May!M22=June!M21</f>
        <v>1</v>
      </c>
      <c r="N22" s="4" t="b">
        <f>May!N22=June!N21</f>
        <v>1</v>
      </c>
      <c r="O22" s="4" t="b">
        <f>May!O22=June!O21</f>
        <v>1</v>
      </c>
      <c r="P22" s="4" t="b">
        <f>May!P22=June!P21</f>
        <v>0</v>
      </c>
    </row>
    <row r="23" spans="1:16" customFormat="1" x14ac:dyDescent="0.25">
      <c r="A23" t="s">
        <v>55</v>
      </c>
      <c r="B23" t="s">
        <v>57</v>
      </c>
      <c r="C23" s="2" t="s">
        <v>58</v>
      </c>
      <c r="D23" t="s">
        <v>59</v>
      </c>
      <c r="E23" s="4" t="b">
        <f>May!E23=June!E22</f>
        <v>1</v>
      </c>
      <c r="F23" s="4" t="b">
        <f>May!F23=June!F22</f>
        <v>1</v>
      </c>
      <c r="G23" s="4" t="b">
        <f>May!G23=June!G22</f>
        <v>1</v>
      </c>
      <c r="H23" s="4" t="b">
        <f>May!H23=June!H22</f>
        <v>1</v>
      </c>
      <c r="I23" s="4" t="b">
        <f>May!I23=June!I22</f>
        <v>1</v>
      </c>
      <c r="J23" s="4" t="b">
        <f>May!J23=June!J22</f>
        <v>1</v>
      </c>
      <c r="K23" s="4" t="b">
        <f>May!K23=June!K22</f>
        <v>1</v>
      </c>
      <c r="L23" s="4" t="b">
        <f>May!L23=June!L22</f>
        <v>1</v>
      </c>
      <c r="M23" s="4" t="b">
        <f>May!M23=June!M22</f>
        <v>1</v>
      </c>
      <c r="N23" s="4" t="b">
        <f>May!N23=June!N22</f>
        <v>1</v>
      </c>
      <c r="O23" s="4" t="b">
        <f>May!O23=June!O22</f>
        <v>1</v>
      </c>
      <c r="P23" s="4" t="b">
        <f>May!P23=June!P22</f>
        <v>1</v>
      </c>
    </row>
    <row r="24" spans="1:16" customFormat="1" x14ac:dyDescent="0.25">
      <c r="A24" t="s">
        <v>116</v>
      </c>
      <c r="B24" t="s">
        <v>118</v>
      </c>
      <c r="C24" s="2" t="s">
        <v>60</v>
      </c>
      <c r="D24" t="s">
        <v>61</v>
      </c>
      <c r="E24" s="4" t="b">
        <f>May!E24=June!E23</f>
        <v>1</v>
      </c>
      <c r="F24" s="4" t="b">
        <f>May!F24=June!F23</f>
        <v>1</v>
      </c>
      <c r="G24" s="4" t="b">
        <f>May!G24=June!G23</f>
        <v>1</v>
      </c>
      <c r="H24" s="4" t="b">
        <f>May!H24=June!H23</f>
        <v>1</v>
      </c>
      <c r="I24" s="4" t="b">
        <f>May!I24=June!I23</f>
        <v>1</v>
      </c>
      <c r="J24" s="4" t="b">
        <f>May!J24=June!J23</f>
        <v>1</v>
      </c>
      <c r="K24" s="4" t="b">
        <f>May!K24=June!K23</f>
        <v>1</v>
      </c>
      <c r="L24" s="4" t="b">
        <f>May!L24=June!L23</f>
        <v>1</v>
      </c>
      <c r="M24" s="4" t="b">
        <f>May!M24=June!M23</f>
        <v>1</v>
      </c>
      <c r="N24" s="4" t="b">
        <f>May!N24=June!N23</f>
        <v>1</v>
      </c>
      <c r="O24" s="4" t="b">
        <f>May!O24=June!O23</f>
        <v>1</v>
      </c>
      <c r="P24" s="4" t="b">
        <f>May!P24=June!P23</f>
        <v>1</v>
      </c>
    </row>
    <row r="25" spans="1:16" customFormat="1" x14ac:dyDescent="0.25">
      <c r="A25" t="s">
        <v>119</v>
      </c>
      <c r="B25" t="s">
        <v>117</v>
      </c>
      <c r="C25" s="2" t="s">
        <v>62</v>
      </c>
      <c r="D25" t="s">
        <v>139</v>
      </c>
      <c r="E25" s="4" t="b">
        <f>May!E25=June!E24</f>
        <v>1</v>
      </c>
      <c r="F25" s="4" t="b">
        <f>May!F25=June!F24</f>
        <v>1</v>
      </c>
      <c r="G25" s="4" t="b">
        <f>May!G25=June!G24</f>
        <v>1</v>
      </c>
      <c r="H25" s="4" t="b">
        <f>May!H25=June!H24</f>
        <v>1</v>
      </c>
      <c r="I25" s="4" t="b">
        <f>May!I25=June!I24</f>
        <v>1</v>
      </c>
      <c r="J25" s="4" t="b">
        <f>May!J25=June!J24</f>
        <v>1</v>
      </c>
      <c r="K25" s="4" t="b">
        <f>May!K25=June!K24</f>
        <v>1</v>
      </c>
      <c r="L25" s="4" t="b">
        <f>May!L25=June!L24</f>
        <v>1</v>
      </c>
      <c r="M25" s="4" t="b">
        <f>May!M25=June!M24</f>
        <v>1</v>
      </c>
      <c r="N25" s="4" t="b">
        <f>May!N25=June!N24</f>
        <v>1</v>
      </c>
      <c r="O25" s="4" t="b">
        <f>May!O25=June!O24</f>
        <v>1</v>
      </c>
      <c r="P25" s="4" t="b">
        <f>May!P25=June!P24</f>
        <v>1</v>
      </c>
    </row>
    <row r="26" spans="1:16" customFormat="1" x14ac:dyDescent="0.25">
      <c r="A26" t="s">
        <v>119</v>
      </c>
      <c r="B26" t="s">
        <v>63</v>
      </c>
      <c r="C26" s="2" t="s">
        <v>140</v>
      </c>
      <c r="D26" t="s">
        <v>139</v>
      </c>
      <c r="E26" s="4" t="b">
        <f>May!E26=June!E25</f>
        <v>1</v>
      </c>
      <c r="F26" s="4" t="b">
        <f>May!F26=June!F25</f>
        <v>1</v>
      </c>
      <c r="G26" s="4" t="b">
        <f>May!G26=June!G25</f>
        <v>1</v>
      </c>
      <c r="H26" s="4" t="b">
        <f>May!H26=June!H25</f>
        <v>1</v>
      </c>
      <c r="I26" s="4" t="b">
        <f>May!I26=June!I25</f>
        <v>1</v>
      </c>
      <c r="J26" s="4" t="b">
        <f>May!J26=June!J25</f>
        <v>1</v>
      </c>
      <c r="K26" s="4" t="b">
        <f>May!K26=June!K25</f>
        <v>1</v>
      </c>
      <c r="L26" s="4" t="b">
        <f>May!L26=June!L25</f>
        <v>1</v>
      </c>
      <c r="M26" s="4" t="b">
        <f>May!M26=June!M25</f>
        <v>1</v>
      </c>
      <c r="N26" s="4" t="b">
        <f>May!N26=June!N25</f>
        <v>1</v>
      </c>
      <c r="O26" s="4" t="b">
        <f>May!O26=June!O25</f>
        <v>1</v>
      </c>
      <c r="P26" s="4" t="b">
        <f>May!P26=June!P25</f>
        <v>1</v>
      </c>
    </row>
    <row r="27" spans="1:16" customFormat="1" x14ac:dyDescent="0.25">
      <c r="A27" t="s">
        <v>119</v>
      </c>
      <c r="B27" t="s">
        <v>64</v>
      </c>
      <c r="C27" s="2" t="s">
        <v>141</v>
      </c>
      <c r="D27" t="s">
        <v>139</v>
      </c>
      <c r="E27" s="4" t="b">
        <f>May!E27=June!E26</f>
        <v>1</v>
      </c>
      <c r="F27" s="4" t="b">
        <f>May!F27=June!F26</f>
        <v>1</v>
      </c>
      <c r="G27" s="4" t="b">
        <f>May!G27=June!G26</f>
        <v>1</v>
      </c>
      <c r="H27" s="4" t="b">
        <f>May!H27=June!H26</f>
        <v>1</v>
      </c>
      <c r="I27" s="4" t="b">
        <f>May!I27=June!I26</f>
        <v>1</v>
      </c>
      <c r="J27" s="4" t="b">
        <f>May!J27=June!J26</f>
        <v>1</v>
      </c>
      <c r="K27" s="4" t="b">
        <f>May!K27=June!K26</f>
        <v>1</v>
      </c>
      <c r="L27" s="4" t="b">
        <f>May!L27=June!L26</f>
        <v>1</v>
      </c>
      <c r="M27" s="4" t="b">
        <f>May!M27=June!M26</f>
        <v>1</v>
      </c>
      <c r="N27" s="4" t="b">
        <f>May!N27=June!N26</f>
        <v>1</v>
      </c>
      <c r="O27" s="4" t="b">
        <f>May!O27=June!O26</f>
        <v>1</v>
      </c>
      <c r="P27" s="4" t="b">
        <f>May!P27=June!P26</f>
        <v>1</v>
      </c>
    </row>
    <row r="28" spans="1:16" customFormat="1" x14ac:dyDescent="0.25">
      <c r="A28" t="s">
        <v>119</v>
      </c>
      <c r="B28" t="s">
        <v>65</v>
      </c>
      <c r="C28" s="2" t="s">
        <v>66</v>
      </c>
      <c r="D28" t="s">
        <v>139</v>
      </c>
      <c r="E28" s="4" t="b">
        <f>May!E28=June!E27</f>
        <v>1</v>
      </c>
      <c r="F28" s="4" t="b">
        <f>May!F28=June!F27</f>
        <v>1</v>
      </c>
      <c r="G28" s="4" t="b">
        <f>May!G28=June!G27</f>
        <v>1</v>
      </c>
      <c r="H28" s="4" t="b">
        <f>May!H28=June!H27</f>
        <v>1</v>
      </c>
      <c r="I28" s="4" t="b">
        <f>May!I28=June!I27</f>
        <v>1</v>
      </c>
      <c r="J28" s="4" t="b">
        <f>May!J28=June!J27</f>
        <v>1</v>
      </c>
      <c r="K28" s="4" t="b">
        <f>May!K28=June!K27</f>
        <v>1</v>
      </c>
      <c r="L28" s="4" t="b">
        <f>May!L28=June!L27</f>
        <v>1</v>
      </c>
      <c r="M28" s="4" t="b">
        <f>May!M28=June!M27</f>
        <v>1</v>
      </c>
      <c r="N28" s="4" t="b">
        <f>May!N28=June!N27</f>
        <v>1</v>
      </c>
      <c r="O28" s="4" t="b">
        <f>May!O28=June!O27</f>
        <v>1</v>
      </c>
      <c r="P28" s="4" t="b">
        <f>May!P28=June!P27</f>
        <v>1</v>
      </c>
    </row>
    <row r="29" spans="1:16" customFormat="1" x14ac:dyDescent="0.25">
      <c r="A29" t="s">
        <v>119</v>
      </c>
      <c r="B29" t="s">
        <v>67</v>
      </c>
      <c r="C29" s="2" t="s">
        <v>68</v>
      </c>
      <c r="D29" t="s">
        <v>139</v>
      </c>
      <c r="E29" s="4" t="b">
        <f>May!E29=June!E28</f>
        <v>1</v>
      </c>
      <c r="F29" s="4" t="b">
        <f>May!F29=June!F28</f>
        <v>1</v>
      </c>
      <c r="G29" s="4" t="b">
        <f>May!G29=June!G28</f>
        <v>1</v>
      </c>
      <c r="H29" s="4" t="b">
        <f>May!H29=June!H28</f>
        <v>1</v>
      </c>
      <c r="I29" s="4" t="b">
        <f>May!I29=June!I28</f>
        <v>1</v>
      </c>
      <c r="J29" s="4" t="b">
        <f>May!J29=June!J28</f>
        <v>1</v>
      </c>
      <c r="K29" s="4" t="b">
        <f>May!K29=June!K28</f>
        <v>1</v>
      </c>
      <c r="L29" s="4" t="b">
        <f>May!L29=June!L28</f>
        <v>1</v>
      </c>
      <c r="M29" s="4" t="b">
        <f>May!M29=June!M28</f>
        <v>1</v>
      </c>
      <c r="N29" s="4" t="b">
        <f>May!N29=June!N28</f>
        <v>1</v>
      </c>
      <c r="O29" s="4" t="b">
        <f>May!O29=June!O28</f>
        <v>1</v>
      </c>
      <c r="P29" s="4" t="b">
        <f>May!P29=June!P28</f>
        <v>0</v>
      </c>
    </row>
    <row r="30" spans="1:16" customFormat="1" x14ac:dyDescent="0.25">
      <c r="A30" t="s">
        <v>119</v>
      </c>
      <c r="B30" t="s">
        <v>69</v>
      </c>
      <c r="C30" s="2" t="s">
        <v>70</v>
      </c>
      <c r="D30" t="s">
        <v>139</v>
      </c>
      <c r="E30" s="4" t="b">
        <f>May!E30=June!E29</f>
        <v>1</v>
      </c>
      <c r="F30" s="4" t="b">
        <f>May!F30=June!F29</f>
        <v>1</v>
      </c>
      <c r="G30" s="4" t="b">
        <f>May!G30=June!G29</f>
        <v>1</v>
      </c>
      <c r="H30" s="4" t="b">
        <f>May!H30=June!H29</f>
        <v>1</v>
      </c>
      <c r="I30" s="4" t="b">
        <f>May!I30=June!I29</f>
        <v>1</v>
      </c>
      <c r="J30" s="4" t="b">
        <f>May!J30=June!J29</f>
        <v>1</v>
      </c>
      <c r="K30" s="4" t="b">
        <f>May!K30=June!K29</f>
        <v>1</v>
      </c>
      <c r="L30" s="4" t="b">
        <f>May!L30=June!L29</f>
        <v>1</v>
      </c>
      <c r="M30" s="4" t="b">
        <f>May!M30=June!M29</f>
        <v>1</v>
      </c>
      <c r="N30" s="4" t="b">
        <f>May!N30=June!N29</f>
        <v>1</v>
      </c>
      <c r="O30" s="4" t="b">
        <f>May!O30=June!O29</f>
        <v>1</v>
      </c>
      <c r="P30" s="4" t="b">
        <f>May!P30=June!P29</f>
        <v>0</v>
      </c>
    </row>
    <row r="31" spans="1:16" customFormat="1" x14ac:dyDescent="0.25">
      <c r="A31" t="s">
        <v>119</v>
      </c>
      <c r="B31" t="s">
        <v>71</v>
      </c>
      <c r="C31" s="2" t="s">
        <v>72</v>
      </c>
      <c r="D31" t="s">
        <v>142</v>
      </c>
      <c r="E31" s="4" t="b">
        <f>May!E31=June!E30</f>
        <v>1</v>
      </c>
      <c r="F31" s="4" t="b">
        <f>May!F31=June!F30</f>
        <v>1</v>
      </c>
      <c r="G31" s="4" t="b">
        <f>May!G31=June!G30</f>
        <v>1</v>
      </c>
      <c r="H31" s="4" t="b">
        <f>May!H31=June!H30</f>
        <v>1</v>
      </c>
      <c r="I31" s="4" t="b">
        <f>May!I31=June!I30</f>
        <v>1</v>
      </c>
      <c r="J31" s="4" t="b">
        <f>May!J31=June!J30</f>
        <v>1</v>
      </c>
      <c r="K31" s="4" t="b">
        <f>May!K31=June!K30</f>
        <v>1</v>
      </c>
      <c r="L31" s="4" t="b">
        <f>May!L31=June!L30</f>
        <v>1</v>
      </c>
      <c r="M31" s="4" t="b">
        <f>May!M31=June!M30</f>
        <v>1</v>
      </c>
      <c r="N31" s="4" t="b">
        <f>May!N31=June!N30</f>
        <v>1</v>
      </c>
      <c r="O31" s="4" t="b">
        <f>May!O31=June!O30</f>
        <v>1</v>
      </c>
      <c r="P31" s="4" t="b">
        <f>May!P31=June!P30</f>
        <v>1</v>
      </c>
    </row>
    <row r="32" spans="1:16" customFormat="1" x14ac:dyDescent="0.25">
      <c r="A32" t="s">
        <v>119</v>
      </c>
      <c r="B32" t="s">
        <v>73</v>
      </c>
      <c r="C32" s="2" t="s">
        <v>74</v>
      </c>
      <c r="D32" t="s">
        <v>143</v>
      </c>
      <c r="E32" s="4" t="b">
        <f>May!E32=June!E31</f>
        <v>1</v>
      </c>
      <c r="F32" s="4" t="b">
        <f>May!F32=June!F31</f>
        <v>1</v>
      </c>
      <c r="G32" s="4" t="b">
        <f>May!G32=June!G31</f>
        <v>1</v>
      </c>
      <c r="H32" s="4" t="b">
        <f>May!H32=June!H31</f>
        <v>1</v>
      </c>
      <c r="I32" s="4" t="b">
        <f>May!I32=June!I31</f>
        <v>1</v>
      </c>
      <c r="J32" s="4" t="b">
        <f>May!J32=June!J31</f>
        <v>1</v>
      </c>
      <c r="K32" s="4" t="b">
        <f>May!K32=June!K31</f>
        <v>1</v>
      </c>
      <c r="L32" s="4" t="b">
        <f>May!L32=June!L31</f>
        <v>1</v>
      </c>
      <c r="M32" s="4" t="b">
        <f>May!M32=June!M31</f>
        <v>1</v>
      </c>
      <c r="N32" s="4" t="b">
        <f>May!N32=June!N31</f>
        <v>1</v>
      </c>
      <c r="O32" s="4" t="b">
        <f>May!O32=June!O31</f>
        <v>1</v>
      </c>
      <c r="P32" s="4" t="b">
        <f>May!P32=June!P31</f>
        <v>1</v>
      </c>
    </row>
    <row r="33" spans="1:16" customFormat="1" x14ac:dyDescent="0.25">
      <c r="A33" t="s">
        <v>119</v>
      </c>
      <c r="B33" t="s">
        <v>75</v>
      </c>
      <c r="C33" s="2" t="s">
        <v>76</v>
      </c>
      <c r="D33" t="s">
        <v>144</v>
      </c>
      <c r="E33" s="4" t="b">
        <f>May!E33=June!E32</f>
        <v>1</v>
      </c>
      <c r="F33" s="4" t="b">
        <f>May!F33=June!F32</f>
        <v>1</v>
      </c>
      <c r="G33" s="4" t="b">
        <f>May!G33=June!G32</f>
        <v>1</v>
      </c>
      <c r="H33" s="4" t="b">
        <f>May!H33=June!H32</f>
        <v>1</v>
      </c>
      <c r="I33" s="4" t="b">
        <f>May!I33=June!I32</f>
        <v>1</v>
      </c>
      <c r="J33" s="4" t="b">
        <f>May!J33=June!J32</f>
        <v>1</v>
      </c>
      <c r="K33" s="4" t="b">
        <f>May!K33=June!K32</f>
        <v>1</v>
      </c>
      <c r="L33" s="4" t="b">
        <f>May!L33=June!L32</f>
        <v>1</v>
      </c>
      <c r="M33" s="4" t="b">
        <f>May!M33=June!M32</f>
        <v>1</v>
      </c>
      <c r="N33" s="4" t="b">
        <f>May!N33=June!N32</f>
        <v>1</v>
      </c>
      <c r="O33" s="4" t="b">
        <f>May!O33=June!O32</f>
        <v>1</v>
      </c>
      <c r="P33" s="4" t="b">
        <f>May!P33=June!P32</f>
        <v>0</v>
      </c>
    </row>
    <row r="34" spans="1:16" customFormat="1" x14ac:dyDescent="0.25">
      <c r="A34" t="s">
        <v>119</v>
      </c>
      <c r="B34" t="s">
        <v>77</v>
      </c>
      <c r="C34" s="2" t="s">
        <v>78</v>
      </c>
      <c r="D34" t="s">
        <v>145</v>
      </c>
      <c r="E34" s="4" t="b">
        <f>May!E34=June!E33</f>
        <v>1</v>
      </c>
      <c r="F34" s="4" t="b">
        <f>May!F34=June!F33</f>
        <v>1</v>
      </c>
      <c r="G34" s="4" t="b">
        <f>May!G34=June!G33</f>
        <v>1</v>
      </c>
      <c r="H34" s="4" t="b">
        <f>May!H34=June!H33</f>
        <v>1</v>
      </c>
      <c r="I34" s="4" t="b">
        <f>May!I34=June!I33</f>
        <v>1</v>
      </c>
      <c r="J34" s="4" t="b">
        <f>May!J34=June!J33</f>
        <v>1</v>
      </c>
      <c r="K34" s="4" t="b">
        <f>May!K34=June!K33</f>
        <v>1</v>
      </c>
      <c r="L34" s="4" t="b">
        <f>May!L34=June!L33</f>
        <v>1</v>
      </c>
      <c r="M34" s="4" t="b">
        <f>May!M34=June!M33</f>
        <v>1</v>
      </c>
      <c r="N34" s="4" t="b">
        <f>May!N34=June!N33</f>
        <v>1</v>
      </c>
      <c r="O34" s="4" t="b">
        <f>May!O34=June!O33</f>
        <v>1</v>
      </c>
      <c r="P34" s="4" t="b">
        <f>May!P34=June!P33</f>
        <v>1</v>
      </c>
    </row>
    <row r="35" spans="1:16" customFormat="1" x14ac:dyDescent="0.25">
      <c r="A35" t="s">
        <v>119</v>
      </c>
      <c r="B35" t="s">
        <v>79</v>
      </c>
      <c r="C35" s="2" t="s">
        <v>80</v>
      </c>
      <c r="D35" t="s">
        <v>81</v>
      </c>
      <c r="E35" s="4" t="b">
        <f>May!E35=June!E34</f>
        <v>1</v>
      </c>
      <c r="F35" s="4" t="b">
        <f>May!F35=June!F34</f>
        <v>1</v>
      </c>
      <c r="G35" s="4" t="b">
        <f>May!G35=June!G34</f>
        <v>1</v>
      </c>
      <c r="H35" s="4" t="b">
        <f>May!H35=June!H34</f>
        <v>1</v>
      </c>
      <c r="I35" s="4" t="b">
        <f>May!I35=June!I34</f>
        <v>1</v>
      </c>
      <c r="J35" s="4" t="b">
        <f>May!J35=June!J34</f>
        <v>1</v>
      </c>
      <c r="K35" s="4" t="b">
        <f>May!K35=June!K34</f>
        <v>1</v>
      </c>
      <c r="L35" s="4" t="b">
        <f>May!L35=June!L34</f>
        <v>1</v>
      </c>
      <c r="M35" s="4" t="b">
        <f>May!M35=June!M34</f>
        <v>1</v>
      </c>
      <c r="N35" s="4" t="b">
        <f>May!N35=June!N34</f>
        <v>1</v>
      </c>
      <c r="O35" s="4" t="b">
        <f>May!O35=June!O34</f>
        <v>1</v>
      </c>
      <c r="P35" s="4" t="b">
        <f>May!P35=June!P34</f>
        <v>1</v>
      </c>
    </row>
    <row r="36" spans="1:16" customFormat="1" x14ac:dyDescent="0.25">
      <c r="A36" t="s">
        <v>119</v>
      </c>
      <c r="B36" t="s">
        <v>82</v>
      </c>
      <c r="C36" s="2" t="s">
        <v>83</v>
      </c>
      <c r="D36" t="s">
        <v>84</v>
      </c>
      <c r="E36" s="4" t="b">
        <f>May!E36=June!E35</f>
        <v>1</v>
      </c>
      <c r="F36" s="4" t="b">
        <f>May!F36=June!F35</f>
        <v>1</v>
      </c>
      <c r="G36" s="4" t="b">
        <f>May!G36=June!G35</f>
        <v>1</v>
      </c>
      <c r="H36" s="4" t="b">
        <f>May!H36=June!H35</f>
        <v>1</v>
      </c>
      <c r="I36" s="4" t="b">
        <f>May!I36=June!I35</f>
        <v>1</v>
      </c>
      <c r="J36" s="4" t="b">
        <f>May!J36=June!J35</f>
        <v>1</v>
      </c>
      <c r="K36" s="4" t="b">
        <f>May!K36=June!K35</f>
        <v>1</v>
      </c>
      <c r="L36" s="4" t="b">
        <f>May!L36=June!L35</f>
        <v>1</v>
      </c>
      <c r="M36" s="4" t="b">
        <f>May!M36=June!M35</f>
        <v>1</v>
      </c>
      <c r="N36" s="4" t="b">
        <f>May!N36=June!N35</f>
        <v>1</v>
      </c>
      <c r="O36" s="4" t="b">
        <f>May!O36=June!O35</f>
        <v>1</v>
      </c>
      <c r="P36" s="4" t="b">
        <f>May!P36=June!P35</f>
        <v>1</v>
      </c>
    </row>
    <row r="37" spans="1:16" customFormat="1" ht="30" x14ac:dyDescent="0.25">
      <c r="A37" t="s">
        <v>119</v>
      </c>
      <c r="B37" t="s">
        <v>85</v>
      </c>
      <c r="C37" s="2" t="s">
        <v>146</v>
      </c>
      <c r="D37" t="s">
        <v>147</v>
      </c>
      <c r="E37" s="4" t="b">
        <f>May!E37=June!E36</f>
        <v>1</v>
      </c>
      <c r="F37" s="4" t="b">
        <f>May!F37=June!F36</f>
        <v>1</v>
      </c>
      <c r="G37" s="4" t="b">
        <f>May!G37=June!G36</f>
        <v>1</v>
      </c>
      <c r="H37" s="4" t="b">
        <f>May!H37=June!H36</f>
        <v>1</v>
      </c>
      <c r="I37" s="4" t="b">
        <f>May!I37=June!I36</f>
        <v>1</v>
      </c>
      <c r="J37" s="4" t="b">
        <f>May!J37=June!J36</f>
        <v>1</v>
      </c>
      <c r="K37" s="4" t="b">
        <f>May!K37=June!K36</f>
        <v>1</v>
      </c>
      <c r="L37" s="4" t="b">
        <f>May!L37=June!L36</f>
        <v>1</v>
      </c>
      <c r="M37" s="4" t="b">
        <f>May!M37=June!M36</f>
        <v>1</v>
      </c>
      <c r="N37" s="4" t="b">
        <f>May!N37=June!N36</f>
        <v>1</v>
      </c>
      <c r="O37" s="4" t="b">
        <f>May!O37=June!O36</f>
        <v>1</v>
      </c>
      <c r="P37" s="4" t="b">
        <f>May!P37=June!P36</f>
        <v>1</v>
      </c>
    </row>
    <row r="38" spans="1:16" customFormat="1" x14ac:dyDescent="0.25">
      <c r="A38" t="s">
        <v>120</v>
      </c>
      <c r="B38" t="s">
        <v>121</v>
      </c>
      <c r="C38" s="2" t="s">
        <v>148</v>
      </c>
      <c r="D38" t="s">
        <v>84</v>
      </c>
      <c r="E38" s="4" t="b">
        <f>May!E38=June!E37</f>
        <v>1</v>
      </c>
      <c r="F38" s="4" t="b">
        <f>May!F38=June!F37</f>
        <v>1</v>
      </c>
      <c r="G38" s="4" t="b">
        <f>May!G38=June!G37</f>
        <v>1</v>
      </c>
      <c r="H38" s="4" t="b">
        <f>May!H38=June!H37</f>
        <v>1</v>
      </c>
      <c r="I38" s="4" t="b">
        <f>May!I38=June!I37</f>
        <v>1</v>
      </c>
      <c r="J38" s="4" t="b">
        <f>May!J38=June!J37</f>
        <v>1</v>
      </c>
      <c r="K38" s="4" t="b">
        <f>May!K38=June!K37</f>
        <v>1</v>
      </c>
      <c r="L38" s="4" t="b">
        <f>May!L38=June!L37</f>
        <v>1</v>
      </c>
      <c r="M38" s="4" t="b">
        <f>May!M38=June!M37</f>
        <v>1</v>
      </c>
      <c r="N38" s="4" t="b">
        <f>May!N38=June!N37</f>
        <v>1</v>
      </c>
      <c r="O38" s="4" t="b">
        <f>May!O38=June!O37</f>
        <v>1</v>
      </c>
      <c r="P38" s="4" t="b">
        <f>May!P38=June!P37</f>
        <v>1</v>
      </c>
    </row>
    <row r="39" spans="1:16" customFormat="1" ht="30" x14ac:dyDescent="0.25">
      <c r="A39" t="s">
        <v>120</v>
      </c>
      <c r="B39" t="s">
        <v>86</v>
      </c>
      <c r="C39" s="2" t="s">
        <v>149</v>
      </c>
      <c r="D39" t="s">
        <v>150</v>
      </c>
      <c r="E39" s="4" t="b">
        <f>May!E39=June!E38</f>
        <v>1</v>
      </c>
      <c r="F39" s="4" t="b">
        <f>May!F39=June!F38</f>
        <v>1</v>
      </c>
      <c r="G39" s="4" t="b">
        <f>May!G39=June!G38</f>
        <v>1</v>
      </c>
      <c r="H39" s="4" t="b">
        <f>May!H39=June!H38</f>
        <v>1</v>
      </c>
      <c r="I39" s="4" t="b">
        <f>May!I39=June!I38</f>
        <v>1</v>
      </c>
      <c r="J39" s="4" t="b">
        <f>May!J39=June!J38</f>
        <v>1</v>
      </c>
      <c r="K39" s="4" t="b">
        <f>May!K39=June!K38</f>
        <v>1</v>
      </c>
      <c r="L39" s="4" t="b">
        <f>May!L39=June!L38</f>
        <v>1</v>
      </c>
      <c r="M39" s="4" t="b">
        <f>May!M39=June!M38</f>
        <v>1</v>
      </c>
      <c r="N39" s="4" t="b">
        <f>May!N39=June!N38</f>
        <v>1</v>
      </c>
      <c r="O39" s="4" t="b">
        <f>May!O39=June!O38</f>
        <v>1</v>
      </c>
      <c r="P39" s="4" t="b">
        <f>May!P39=June!P38</f>
        <v>1</v>
      </c>
    </row>
    <row r="40" spans="1:16" customFormat="1" x14ac:dyDescent="0.25">
      <c r="A40" t="s">
        <v>120</v>
      </c>
      <c r="B40" t="s">
        <v>87</v>
      </c>
      <c r="C40" s="2" t="s">
        <v>152</v>
      </c>
      <c r="D40" t="s">
        <v>151</v>
      </c>
      <c r="E40" s="4" t="b">
        <f>May!E40=June!E39</f>
        <v>1</v>
      </c>
      <c r="F40" s="4" t="b">
        <f>May!F40=June!F39</f>
        <v>1</v>
      </c>
      <c r="G40" s="4" t="b">
        <f>May!G40=June!G39</f>
        <v>1</v>
      </c>
      <c r="H40" s="4" t="b">
        <f>May!H40=June!H39</f>
        <v>1</v>
      </c>
      <c r="I40" s="4" t="b">
        <f>May!I40=June!I39</f>
        <v>1</v>
      </c>
      <c r="J40" s="4" t="b">
        <f>May!J40=June!J39</f>
        <v>1</v>
      </c>
      <c r="K40" s="4" t="b">
        <f>May!K40=June!K39</f>
        <v>1</v>
      </c>
      <c r="L40" s="4" t="b">
        <f>May!L40=June!L39</f>
        <v>1</v>
      </c>
      <c r="M40" s="4" t="b">
        <f>May!M40=June!M39</f>
        <v>1</v>
      </c>
      <c r="N40" s="4" t="b">
        <f>May!N40=June!N39</f>
        <v>1</v>
      </c>
      <c r="O40" s="4" t="b">
        <f>May!O40=June!O39</f>
        <v>1</v>
      </c>
      <c r="P40" s="4" t="b">
        <f>May!P40=June!P39</f>
        <v>1</v>
      </c>
    </row>
    <row r="41" spans="1:16" customFormat="1" x14ac:dyDescent="0.25">
      <c r="A41" t="s">
        <v>120</v>
      </c>
      <c r="B41" t="s">
        <v>88</v>
      </c>
      <c r="C41" s="2" t="s">
        <v>153</v>
      </c>
      <c r="D41" t="s">
        <v>154</v>
      </c>
      <c r="E41" s="4" t="b">
        <f>May!E41=June!E40</f>
        <v>1</v>
      </c>
      <c r="F41" s="4" t="b">
        <f>May!F41=June!F40</f>
        <v>1</v>
      </c>
      <c r="G41" s="4" t="b">
        <f>May!G41=June!G40</f>
        <v>1</v>
      </c>
      <c r="H41" s="4" t="b">
        <f>May!H41=June!H40</f>
        <v>1</v>
      </c>
      <c r="I41" s="4" t="b">
        <f>May!I41=June!I40</f>
        <v>1</v>
      </c>
      <c r="J41" s="4" t="b">
        <f>May!J41=June!J40</f>
        <v>1</v>
      </c>
      <c r="K41" s="4" t="b">
        <f>May!K41=June!K40</f>
        <v>1</v>
      </c>
      <c r="L41" s="4" t="b">
        <f>May!L41=June!L40</f>
        <v>1</v>
      </c>
      <c r="M41" s="4" t="b">
        <f>May!M41=June!M40</f>
        <v>1</v>
      </c>
      <c r="N41" s="4" t="b">
        <f>May!N41=June!N40</f>
        <v>1</v>
      </c>
      <c r="O41" s="4" t="b">
        <f>May!O41=June!O40</f>
        <v>1</v>
      </c>
      <c r="P41" s="4" t="b">
        <f>May!P41=June!P40</f>
        <v>1</v>
      </c>
    </row>
    <row r="42" spans="1:16" customFormat="1" x14ac:dyDescent="0.25">
      <c r="A42" t="s">
        <v>120</v>
      </c>
      <c r="B42" t="s">
        <v>89</v>
      </c>
      <c r="C42" s="2" t="s">
        <v>90</v>
      </c>
      <c r="D42" t="s">
        <v>84</v>
      </c>
      <c r="E42" s="4" t="b">
        <f>May!E42=June!E41</f>
        <v>1</v>
      </c>
      <c r="F42" s="4" t="b">
        <f>May!F42=June!F41</f>
        <v>1</v>
      </c>
      <c r="G42" s="4" t="b">
        <f>May!G42=June!G41</f>
        <v>1</v>
      </c>
      <c r="H42" s="4" t="b">
        <f>May!H42=June!H41</f>
        <v>1</v>
      </c>
      <c r="I42" s="4" t="b">
        <f>May!I42=June!I41</f>
        <v>1</v>
      </c>
      <c r="J42" s="4" t="b">
        <f>May!J42=June!J41</f>
        <v>1</v>
      </c>
      <c r="K42" s="4" t="b">
        <f>May!K42=June!K41</f>
        <v>1</v>
      </c>
      <c r="L42" s="4" t="b">
        <f>May!L42=June!L41</f>
        <v>1</v>
      </c>
      <c r="M42" s="4" t="b">
        <f>May!M42=June!M41</f>
        <v>1</v>
      </c>
      <c r="N42" s="4" t="b">
        <f>May!N42=June!N41</f>
        <v>1</v>
      </c>
      <c r="O42" s="4" t="b">
        <f>May!O42=June!O41</f>
        <v>1</v>
      </c>
      <c r="P42" s="4" t="b">
        <f>May!P42=June!P41</f>
        <v>1</v>
      </c>
    </row>
    <row r="43" spans="1:16" customFormat="1" x14ac:dyDescent="0.25">
      <c r="A43" t="s">
        <v>120</v>
      </c>
      <c r="B43" t="s">
        <v>91</v>
      </c>
      <c r="C43" s="2" t="s">
        <v>92</v>
      </c>
      <c r="D43" t="s">
        <v>84</v>
      </c>
      <c r="E43" s="4" t="b">
        <f>May!E43=June!E42</f>
        <v>1</v>
      </c>
      <c r="F43" s="4" t="b">
        <f>May!F43=June!F42</f>
        <v>1</v>
      </c>
      <c r="G43" s="4" t="b">
        <f>May!G43=June!G42</f>
        <v>1</v>
      </c>
      <c r="H43" s="4" t="b">
        <f>May!H43=June!H42</f>
        <v>1</v>
      </c>
      <c r="I43" s="4" t="b">
        <f>May!I43=June!I42</f>
        <v>1</v>
      </c>
      <c r="J43" s="4" t="b">
        <f>May!J43=June!J42</f>
        <v>1</v>
      </c>
      <c r="K43" s="4" t="b">
        <f>May!K43=June!K42</f>
        <v>1</v>
      </c>
      <c r="L43" s="4" t="b">
        <f>May!L43=June!L42</f>
        <v>1</v>
      </c>
      <c r="M43" s="4" t="b">
        <f>May!M43=June!M42</f>
        <v>1</v>
      </c>
      <c r="N43" s="4" t="b">
        <f>May!N43=June!N42</f>
        <v>1</v>
      </c>
      <c r="O43" s="4" t="b">
        <f>May!O43=June!O42</f>
        <v>1</v>
      </c>
      <c r="P43" s="4" t="b">
        <f>May!P43=June!P42</f>
        <v>1</v>
      </c>
    </row>
    <row r="44" spans="1:16" customFormat="1" x14ac:dyDescent="0.25">
      <c r="A44" t="s">
        <v>93</v>
      </c>
      <c r="B44" t="s">
        <v>94</v>
      </c>
      <c r="C44" s="2" t="s">
        <v>155</v>
      </c>
      <c r="D44" t="s">
        <v>156</v>
      </c>
      <c r="E44" s="4" t="b">
        <f>May!E44=June!E43</f>
        <v>1</v>
      </c>
      <c r="F44" s="4" t="b">
        <f>May!F44=June!F43</f>
        <v>1</v>
      </c>
      <c r="G44" s="4" t="b">
        <f>May!G44=June!G43</f>
        <v>1</v>
      </c>
      <c r="H44" s="4" t="b">
        <f>May!H44=June!H43</f>
        <v>1</v>
      </c>
      <c r="I44" s="4" t="b">
        <f>May!I44=June!I43</f>
        <v>1</v>
      </c>
      <c r="J44" s="4" t="b">
        <f>May!J44=June!J43</f>
        <v>1</v>
      </c>
      <c r="K44" s="4" t="b">
        <f>May!K44=June!K43</f>
        <v>1</v>
      </c>
      <c r="L44" s="4" t="b">
        <f>May!L44=June!L43</f>
        <v>1</v>
      </c>
      <c r="M44" s="4" t="b">
        <f>May!M44=June!M43</f>
        <v>1</v>
      </c>
      <c r="N44" s="4" t="b">
        <f>May!N44=June!N43</f>
        <v>1</v>
      </c>
      <c r="O44" s="4" t="b">
        <f>May!O44=June!O43</f>
        <v>1</v>
      </c>
      <c r="P44" s="4" t="b">
        <f>May!P44=June!P43</f>
        <v>1</v>
      </c>
    </row>
    <row r="45" spans="1:16" customFormat="1" x14ac:dyDescent="0.25">
      <c r="A45" t="s">
        <v>93</v>
      </c>
      <c r="B45" t="s">
        <v>95</v>
      </c>
      <c r="C45" s="2" t="s">
        <v>96</v>
      </c>
      <c r="D45" t="s">
        <v>156</v>
      </c>
      <c r="E45" s="4" t="b">
        <f>May!E45=June!E44</f>
        <v>1</v>
      </c>
      <c r="F45" s="4" t="b">
        <f>May!F45=June!F44</f>
        <v>1</v>
      </c>
      <c r="G45" s="4" t="b">
        <f>May!G45=June!G44</f>
        <v>1</v>
      </c>
      <c r="H45" s="4" t="b">
        <f>May!H45=June!H44</f>
        <v>1</v>
      </c>
      <c r="I45" s="4" t="b">
        <f>May!I45=June!I44</f>
        <v>1</v>
      </c>
      <c r="J45" s="4" t="b">
        <f>May!J45=June!J44</f>
        <v>1</v>
      </c>
      <c r="K45" s="4" t="b">
        <f>May!K45=June!K44</f>
        <v>1</v>
      </c>
      <c r="L45" s="4" t="b">
        <f>May!L45=June!L44</f>
        <v>1</v>
      </c>
      <c r="M45" s="4" t="b">
        <f>May!M45=June!M44</f>
        <v>1</v>
      </c>
      <c r="N45" s="4" t="b">
        <f>May!N45=June!N44</f>
        <v>1</v>
      </c>
      <c r="O45" s="4" t="b">
        <f>May!O45=June!O44</f>
        <v>1</v>
      </c>
      <c r="P45" s="4" t="b">
        <f>May!P45=June!P44</f>
        <v>1</v>
      </c>
    </row>
    <row r="46" spans="1:16" customFormat="1" x14ac:dyDescent="0.25">
      <c r="A46" t="s">
        <v>122</v>
      </c>
      <c r="B46" t="s">
        <v>158</v>
      </c>
      <c r="C46" s="2" t="s">
        <v>97</v>
      </c>
      <c r="D46" t="s">
        <v>84</v>
      </c>
      <c r="E46" s="4" t="b">
        <f>May!E46=June!E45</f>
        <v>1</v>
      </c>
      <c r="F46" s="4" t="b">
        <f>May!F46=June!F45</f>
        <v>1</v>
      </c>
      <c r="G46" s="4" t="b">
        <f>May!G46=June!G45</f>
        <v>1</v>
      </c>
      <c r="H46" s="4" t="b">
        <f>May!H46=June!H45</f>
        <v>1</v>
      </c>
      <c r="I46" s="4" t="b">
        <f>May!I46=June!I45</f>
        <v>1</v>
      </c>
      <c r="J46" s="4" t="b">
        <f>May!J46=June!J45</f>
        <v>1</v>
      </c>
      <c r="K46" s="4" t="b">
        <f>May!K46=June!K45</f>
        <v>1</v>
      </c>
      <c r="L46" s="4" t="b">
        <f>May!L46=June!L45</f>
        <v>1</v>
      </c>
      <c r="M46" s="4" t="b">
        <f>May!M46=June!M45</f>
        <v>1</v>
      </c>
      <c r="N46" s="4" t="b">
        <f>May!N46=June!N45</f>
        <v>1</v>
      </c>
      <c r="O46" s="4" t="b">
        <f>May!O46=June!O45</f>
        <v>1</v>
      </c>
      <c r="P46" s="4" t="b">
        <f>May!P46=June!P45</f>
        <v>1</v>
      </c>
    </row>
    <row r="47" spans="1:16" x14ac:dyDescent="0.25">
      <c r="H47" s="29">
        <f>SUM(H3:H46)</f>
        <v>0</v>
      </c>
      <c r="I47" s="29">
        <f>SUM(I3:I46)</f>
        <v>0</v>
      </c>
    </row>
  </sheetData>
  <autoFilter ref="A1:P49" xr:uid="{69366F61-DC13-44C2-9AAB-B4F4E351E1D8}"/>
  <conditionalFormatting sqref="E3:P46">
    <cfRule type="containsText" dxfId="5" priority="1" operator="containsText" text="FALSE">
      <formula>NOT(ISERROR(SEARCH("FALSE",E3)))</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659BF-8519-48DA-A367-A8FFFC8D0A34}">
  <dimension ref="A1:AD46"/>
  <sheetViews>
    <sheetView topLeftCell="E1" zoomScale="70" zoomScaleNormal="70" workbookViewId="0">
      <pane ySplit="615" topLeftCell="A20" activePane="bottomLeft"/>
      <selection activeCell="T1" sqref="T1:T1048576"/>
      <selection pane="bottomLeft" activeCell="P26" sqref="P26"/>
    </sheetView>
  </sheetViews>
  <sheetFormatPr defaultRowHeight="15" x14ac:dyDescent="0.25"/>
  <cols>
    <col min="1" max="1" width="47.5703125" bestFit="1" customWidth="1"/>
    <col min="2" max="2" width="7.5703125" bestFit="1" customWidth="1"/>
    <col min="3" max="3" width="32.42578125" bestFit="1" customWidth="1"/>
    <col min="4" max="4" width="57.85546875" bestFit="1" customWidth="1"/>
    <col min="5" max="5" width="16.85546875" bestFit="1" customWidth="1"/>
    <col min="6" max="6" width="17.28515625" bestFit="1" customWidth="1"/>
    <col min="7" max="7" width="16.7109375" bestFit="1" customWidth="1"/>
    <col min="8" max="8" width="22.140625" style="6" bestFit="1" customWidth="1"/>
    <col min="9" max="9" width="25.28515625" style="6" bestFit="1" customWidth="1"/>
    <col min="10" max="10" width="26.85546875" style="16" bestFit="1" customWidth="1"/>
    <col min="11" max="11" width="28.140625" customWidth="1"/>
    <col min="12" max="12" width="18.7109375" bestFit="1" customWidth="1"/>
    <col min="13" max="13" width="13.7109375" bestFit="1" customWidth="1"/>
    <col min="14" max="14" width="22.140625" customWidth="1"/>
    <col min="15" max="15" width="12.140625" bestFit="1" customWidth="1"/>
    <col min="16" max="16" width="19.85546875" bestFit="1" customWidth="1"/>
    <col min="17" max="17" width="19.5703125" bestFit="1" customWidth="1"/>
    <col min="19" max="19" width="11.7109375" bestFit="1" customWidth="1"/>
    <col min="20" max="21" width="11.7109375" customWidth="1"/>
    <col min="22" max="22" width="17.42578125" customWidth="1"/>
    <col min="23" max="23" width="19.28515625" bestFit="1" customWidth="1"/>
    <col min="24" max="24" width="19.5703125" bestFit="1" customWidth="1"/>
    <col min="25" max="26" width="20.28515625" bestFit="1" customWidth="1"/>
    <col min="27" max="27" width="21" bestFit="1" customWidth="1"/>
    <col min="28" max="28" width="19.28515625" bestFit="1" customWidth="1"/>
    <col min="29" max="29" width="13.42578125" bestFit="1" customWidth="1"/>
    <col min="30" max="30" width="16.85546875" bestFit="1" customWidth="1"/>
  </cols>
  <sheetData>
    <row r="1" spans="1:30" x14ac:dyDescent="0.25">
      <c r="A1" s="12" t="s">
        <v>104</v>
      </c>
      <c r="B1" s="12" t="s">
        <v>105</v>
      </c>
      <c r="C1" s="13" t="s">
        <v>225</v>
      </c>
      <c r="D1" s="12" t="s">
        <v>9</v>
      </c>
      <c r="E1" s="12" t="s">
        <v>10</v>
      </c>
      <c r="F1" s="12" t="s">
        <v>106</v>
      </c>
      <c r="G1" s="12" t="s">
        <v>11</v>
      </c>
      <c r="H1" s="12" t="s">
        <v>107</v>
      </c>
      <c r="I1" s="12" t="s">
        <v>103</v>
      </c>
      <c r="J1" s="12" t="s">
        <v>102</v>
      </c>
      <c r="K1" s="12" t="s">
        <v>108</v>
      </c>
      <c r="L1" s="12" t="s">
        <v>109</v>
      </c>
      <c r="M1" s="12" t="s">
        <v>12</v>
      </c>
      <c r="N1" s="12" t="s">
        <v>110</v>
      </c>
      <c r="O1" s="12" t="s">
        <v>13</v>
      </c>
      <c r="P1" s="12" t="s">
        <v>111</v>
      </c>
      <c r="Q1" s="12" t="s">
        <v>226</v>
      </c>
      <c r="T1" s="12" t="s">
        <v>163</v>
      </c>
      <c r="U1" s="12" t="s">
        <v>164</v>
      </c>
      <c r="V1" s="12" t="s">
        <v>165</v>
      </c>
      <c r="W1" t="s">
        <v>160</v>
      </c>
      <c r="X1" t="s">
        <v>160</v>
      </c>
      <c r="Y1" t="s">
        <v>159</v>
      </c>
      <c r="Z1" t="s">
        <v>159</v>
      </c>
      <c r="AA1" t="s">
        <v>214</v>
      </c>
      <c r="AB1" t="s">
        <v>215</v>
      </c>
      <c r="AC1" t="s">
        <v>216</v>
      </c>
      <c r="AD1" t="s">
        <v>217</v>
      </c>
    </row>
    <row r="2" spans="1:30" x14ac:dyDescent="0.25">
      <c r="A2" t="s">
        <v>113</v>
      </c>
      <c r="B2" t="s">
        <v>112</v>
      </c>
      <c r="C2" s="2" t="s">
        <v>14</v>
      </c>
      <c r="D2" t="s">
        <v>15</v>
      </c>
      <c r="E2" s="4">
        <v>0</v>
      </c>
      <c r="F2" s="4">
        <v>0</v>
      </c>
      <c r="G2" s="4">
        <v>0</v>
      </c>
      <c r="H2" s="10">
        <v>0</v>
      </c>
      <c r="I2" s="10">
        <v>0</v>
      </c>
      <c r="J2" s="14">
        <v>0</v>
      </c>
      <c r="K2" s="4">
        <v>0</v>
      </c>
      <c r="L2" s="4">
        <v>0</v>
      </c>
      <c r="M2" s="4">
        <v>0</v>
      </c>
      <c r="N2" s="4">
        <v>0</v>
      </c>
      <c r="O2" s="4">
        <v>0</v>
      </c>
      <c r="P2" s="4">
        <v>0</v>
      </c>
      <c r="S2" t="str">
        <f>B2</f>
        <v>C01</v>
      </c>
      <c r="W2" s="20">
        <f>INDEX('ContractPrice-CDE'!$F:$F,MATCH(B2,'ContractPrice-CDE'!$A:$A,0))</f>
        <v>0</v>
      </c>
      <c r="X2" s="20">
        <f t="shared" ref="X2:X45" si="0">I2</f>
        <v>0</v>
      </c>
      <c r="Y2" s="20">
        <f>INDEX('ContractPrice-CDE'!$J:$J,MATCH(B2,'ContractPrice-CDE'!$A:$A,0))</f>
        <v>0</v>
      </c>
      <c r="Z2" s="20">
        <f>H2</f>
        <v>0</v>
      </c>
      <c r="AA2" t="b">
        <f>W2=X2</f>
        <v>1</v>
      </c>
      <c r="AB2" t="b">
        <f>Z2=Y2</f>
        <v>1</v>
      </c>
      <c r="AC2" s="22">
        <f>IFERROR(W2-X2,)</f>
        <v>0</v>
      </c>
      <c r="AD2" s="22">
        <f>IFERROR(Y2-Z2,)</f>
        <v>0</v>
      </c>
    </row>
    <row r="3" spans="1:30" x14ac:dyDescent="0.25">
      <c r="A3" t="s">
        <v>113</v>
      </c>
      <c r="B3" t="s">
        <v>16</v>
      </c>
      <c r="C3" s="2" t="s">
        <v>17</v>
      </c>
      <c r="D3" t="s">
        <v>18</v>
      </c>
      <c r="E3" s="5">
        <v>6144235.29</v>
      </c>
      <c r="F3" s="4">
        <v>0</v>
      </c>
      <c r="G3" s="5">
        <v>-2500000</v>
      </c>
      <c r="H3" s="11">
        <v>3644235.29</v>
      </c>
      <c r="I3" s="11">
        <v>6144235.29</v>
      </c>
      <c r="J3" s="15">
        <v>-2500000</v>
      </c>
      <c r="K3" s="5">
        <v>3644235.29</v>
      </c>
      <c r="L3" s="4">
        <v>0</v>
      </c>
      <c r="M3" s="4">
        <v>0</v>
      </c>
      <c r="N3" s="5">
        <v>3644235.29</v>
      </c>
      <c r="O3" s="4">
        <v>0</v>
      </c>
      <c r="P3" s="33">
        <v>3644235.29</v>
      </c>
      <c r="S3" t="str">
        <f t="shared" ref="S3:S45" si="1">B3</f>
        <v>C02</v>
      </c>
      <c r="W3" s="20">
        <f>INDEX('ContractPrice-CDE'!$F:$F,MATCH(B3,'ContractPrice-CDE'!$A:$A,0))</f>
        <v>6144235.29</v>
      </c>
      <c r="X3" s="20">
        <f t="shared" si="0"/>
        <v>6144235.29</v>
      </c>
      <c r="Y3" s="20">
        <f>INDEX('ContractPrice-CDE'!$J:$J,MATCH(B3,'ContractPrice-CDE'!$A:$A,0))</f>
        <v>3644235.29</v>
      </c>
      <c r="Z3" s="20">
        <f t="shared" ref="Z3:Z45" si="2">H3</f>
        <v>3644235.29</v>
      </c>
      <c r="AA3" t="b">
        <f t="shared" ref="AA3:AA46" si="3">W3=X3</f>
        <v>1</v>
      </c>
      <c r="AB3" t="b">
        <f t="shared" ref="AB3:AB46" si="4">Z3=Y3</f>
        <v>1</v>
      </c>
      <c r="AC3" s="22">
        <f t="shared" ref="AC3:AC45" si="5">IFERROR(W3-X3,)</f>
        <v>0</v>
      </c>
      <c r="AD3" s="22">
        <f t="shared" ref="AD3:AD45" si="6">IFERROR(Y3-Z3,)</f>
        <v>0</v>
      </c>
    </row>
    <row r="4" spans="1:30" x14ac:dyDescent="0.25">
      <c r="A4" t="s">
        <v>113</v>
      </c>
      <c r="B4" t="s">
        <v>19</v>
      </c>
      <c r="C4" s="2" t="s">
        <v>20</v>
      </c>
      <c r="D4" t="s">
        <v>21</v>
      </c>
      <c r="E4" s="5">
        <v>5000000</v>
      </c>
      <c r="F4" s="4">
        <v>0</v>
      </c>
      <c r="G4" s="5">
        <v>700000</v>
      </c>
      <c r="H4" s="11">
        <v>5700000</v>
      </c>
      <c r="I4" s="11">
        <v>5000000</v>
      </c>
      <c r="J4" s="15">
        <v>700000</v>
      </c>
      <c r="K4" s="5">
        <v>5700000</v>
      </c>
      <c r="L4" s="4">
        <v>0</v>
      </c>
      <c r="M4" s="4">
        <v>0</v>
      </c>
      <c r="N4" s="5">
        <v>5700000</v>
      </c>
      <c r="O4" s="4">
        <v>0</v>
      </c>
      <c r="P4" s="33">
        <v>9310172.1199999992</v>
      </c>
      <c r="S4" t="str">
        <f t="shared" si="1"/>
        <v>C03</v>
      </c>
      <c r="W4" s="20">
        <f>INDEX('ContractPrice-CDE'!$F:$F,MATCH(B4,'ContractPrice-CDE'!$A:$A,0))</f>
        <v>5000000</v>
      </c>
      <c r="X4" s="20">
        <f t="shared" si="0"/>
        <v>5000000</v>
      </c>
      <c r="Y4" s="20">
        <f>INDEX('ContractPrice-CDE'!$J:$J,MATCH(B4,'ContractPrice-CDE'!$A:$A,0))</f>
        <v>5700000</v>
      </c>
      <c r="Z4" s="20">
        <f t="shared" si="2"/>
        <v>5700000</v>
      </c>
      <c r="AA4" t="b">
        <f t="shared" si="3"/>
        <v>1</v>
      </c>
      <c r="AB4" t="b">
        <f t="shared" si="4"/>
        <v>1</v>
      </c>
      <c r="AC4" s="22">
        <f t="shared" si="5"/>
        <v>0</v>
      </c>
      <c r="AD4" s="22">
        <f t="shared" si="6"/>
        <v>0</v>
      </c>
    </row>
    <row r="5" spans="1:30" ht="30" x14ac:dyDescent="0.25">
      <c r="A5" t="s">
        <v>113</v>
      </c>
      <c r="B5" t="s">
        <v>22</v>
      </c>
      <c r="C5" s="2" t="s">
        <v>123</v>
      </c>
      <c r="D5" t="s">
        <v>23</v>
      </c>
      <c r="E5" s="5">
        <v>240000</v>
      </c>
      <c r="F5" s="4">
        <v>0</v>
      </c>
      <c r="G5" s="5">
        <v>500000</v>
      </c>
      <c r="H5" s="11">
        <v>740000</v>
      </c>
      <c r="I5" s="11">
        <v>240000</v>
      </c>
      <c r="J5" s="15">
        <v>500000</v>
      </c>
      <c r="K5" s="5">
        <v>740000</v>
      </c>
      <c r="L5" s="4">
        <v>0</v>
      </c>
      <c r="M5" s="4">
        <v>0</v>
      </c>
      <c r="N5" s="5">
        <v>740000</v>
      </c>
      <c r="O5" s="4">
        <v>0</v>
      </c>
      <c r="P5" s="33">
        <v>240000</v>
      </c>
      <c r="S5" t="str">
        <f t="shared" si="1"/>
        <v>C04</v>
      </c>
      <c r="W5" s="20">
        <f>INDEX('ContractPrice-CDE'!$F:$F,MATCH(B5,'ContractPrice-CDE'!$A:$A,0))</f>
        <v>240000</v>
      </c>
      <c r="X5" s="20">
        <f t="shared" si="0"/>
        <v>240000</v>
      </c>
      <c r="Y5" s="20">
        <f>INDEX('ContractPrice-CDE'!$J:$J,MATCH(B5,'ContractPrice-CDE'!$A:$A,0))</f>
        <v>740000</v>
      </c>
      <c r="Z5" s="20">
        <f t="shared" si="2"/>
        <v>740000</v>
      </c>
      <c r="AA5" t="b">
        <f t="shared" si="3"/>
        <v>1</v>
      </c>
      <c r="AB5" t="b">
        <f t="shared" si="4"/>
        <v>1</v>
      </c>
      <c r="AC5" s="22">
        <f t="shared" si="5"/>
        <v>0</v>
      </c>
      <c r="AD5" s="22">
        <f t="shared" si="6"/>
        <v>0</v>
      </c>
    </row>
    <row r="6" spans="1:30" x14ac:dyDescent="0.25">
      <c r="A6" t="s">
        <v>113</v>
      </c>
      <c r="B6" t="s">
        <v>24</v>
      </c>
      <c r="C6" s="2" t="s">
        <v>124</v>
      </c>
      <c r="D6" t="s">
        <v>25</v>
      </c>
      <c r="E6" s="5">
        <v>2464285.71</v>
      </c>
      <c r="F6" s="4">
        <v>0</v>
      </c>
      <c r="G6" s="5">
        <v>5505969.29</v>
      </c>
      <c r="H6" s="11">
        <v>7970255</v>
      </c>
      <c r="I6" s="11">
        <v>2464285.71</v>
      </c>
      <c r="J6" s="15">
        <v>5505969.29</v>
      </c>
      <c r="K6" s="5">
        <v>7970255</v>
      </c>
      <c r="L6" s="4">
        <v>0</v>
      </c>
      <c r="M6" s="4">
        <v>0</v>
      </c>
      <c r="N6" s="5">
        <v>7970255</v>
      </c>
      <c r="O6" s="4">
        <v>0</v>
      </c>
      <c r="P6" s="33">
        <v>8841071.4000000004</v>
      </c>
      <c r="S6" t="str">
        <f t="shared" si="1"/>
        <v>C05</v>
      </c>
      <c r="W6" s="20">
        <f>INDEX('ContractPrice-CDE'!$F:$F,MATCH(B6,'ContractPrice-CDE'!$A:$A,0))</f>
        <v>2464285.71</v>
      </c>
      <c r="X6" s="20">
        <f t="shared" si="0"/>
        <v>2464285.71</v>
      </c>
      <c r="Y6" s="20">
        <f>INDEX('ContractPrice-CDE'!$J:$J,MATCH(B6,'ContractPrice-CDE'!$A:$A,0))</f>
        <v>7970255</v>
      </c>
      <c r="Z6" s="20">
        <f t="shared" si="2"/>
        <v>7970255</v>
      </c>
      <c r="AA6" t="b">
        <f t="shared" si="3"/>
        <v>1</v>
      </c>
      <c r="AB6" t="b">
        <f t="shared" si="4"/>
        <v>1</v>
      </c>
      <c r="AC6" s="22">
        <f t="shared" si="5"/>
        <v>0</v>
      </c>
      <c r="AD6" s="22">
        <f t="shared" si="6"/>
        <v>0</v>
      </c>
    </row>
    <row r="7" spans="1:30" ht="30" x14ac:dyDescent="0.25">
      <c r="A7" t="s">
        <v>113</v>
      </c>
      <c r="B7" t="s">
        <v>26</v>
      </c>
      <c r="C7" s="2" t="s">
        <v>157</v>
      </c>
      <c r="D7" t="s">
        <v>27</v>
      </c>
      <c r="E7" s="5">
        <v>3500000</v>
      </c>
      <c r="F7" s="4">
        <v>0</v>
      </c>
      <c r="G7" s="4">
        <v>0</v>
      </c>
      <c r="H7" s="11">
        <v>3500000</v>
      </c>
      <c r="I7" s="11">
        <v>3500000</v>
      </c>
      <c r="J7" s="14">
        <v>0</v>
      </c>
      <c r="K7" s="5">
        <v>3500000</v>
      </c>
      <c r="L7" s="4">
        <v>0</v>
      </c>
      <c r="M7" s="4">
        <v>0</v>
      </c>
      <c r="N7" s="5">
        <v>3500000</v>
      </c>
      <c r="O7" s="4">
        <v>0</v>
      </c>
      <c r="P7" s="33">
        <v>3500000</v>
      </c>
      <c r="S7" t="str">
        <f t="shared" si="1"/>
        <v>C06</v>
      </c>
      <c r="W7" s="20">
        <f>INDEX('ContractPrice-CDE'!$F:$F,MATCH(B7,'ContractPrice-CDE'!$A:$A,0))</f>
        <v>3500000</v>
      </c>
      <c r="X7" s="20">
        <f t="shared" si="0"/>
        <v>3500000</v>
      </c>
      <c r="Y7" s="20">
        <f>INDEX('ContractPrice-CDE'!$J:$J,MATCH(B7,'ContractPrice-CDE'!$A:$A,0))</f>
        <v>3500000</v>
      </c>
      <c r="Z7" s="20">
        <f t="shared" si="2"/>
        <v>3500000</v>
      </c>
      <c r="AA7" t="b">
        <f t="shared" si="3"/>
        <v>1</v>
      </c>
      <c r="AB7" t="b">
        <f t="shared" si="4"/>
        <v>1</v>
      </c>
      <c r="AC7" s="22">
        <f t="shared" si="5"/>
        <v>0</v>
      </c>
      <c r="AD7" s="22">
        <f t="shared" si="6"/>
        <v>0</v>
      </c>
    </row>
    <row r="8" spans="1:30" x14ac:dyDescent="0.25">
      <c r="A8" t="s">
        <v>113</v>
      </c>
      <c r="B8" t="s">
        <v>28</v>
      </c>
      <c r="C8" s="2" t="s">
        <v>29</v>
      </c>
      <c r="D8" t="s">
        <v>30</v>
      </c>
      <c r="E8" s="5">
        <v>2010000</v>
      </c>
      <c r="F8" s="4">
        <v>0</v>
      </c>
      <c r="G8" s="5">
        <v>95000</v>
      </c>
      <c r="H8" s="11">
        <v>2105000</v>
      </c>
      <c r="I8" s="11">
        <v>2010000</v>
      </c>
      <c r="J8" s="15">
        <v>95000</v>
      </c>
      <c r="K8" s="5">
        <v>2105000</v>
      </c>
      <c r="L8" s="4">
        <v>0</v>
      </c>
      <c r="M8" s="4">
        <v>0</v>
      </c>
      <c r="N8" s="5">
        <v>2105000</v>
      </c>
      <c r="O8" s="4">
        <v>0</v>
      </c>
      <c r="P8" s="33">
        <v>1490000</v>
      </c>
      <c r="S8" t="str">
        <f t="shared" si="1"/>
        <v>C07</v>
      </c>
      <c r="W8" s="20">
        <f>INDEX('ContractPrice-CDE'!$F:$F,MATCH(B8,'ContractPrice-CDE'!$A:$A,0))</f>
        <v>2010000</v>
      </c>
      <c r="X8" s="20">
        <f t="shared" si="0"/>
        <v>2010000</v>
      </c>
      <c r="Y8" s="20">
        <f>INDEX('ContractPrice-CDE'!$J:$J,MATCH(B8,'ContractPrice-CDE'!$A:$A,0))</f>
        <v>2105000</v>
      </c>
      <c r="Z8" s="20">
        <f t="shared" si="2"/>
        <v>2105000</v>
      </c>
      <c r="AA8" t="b">
        <f t="shared" si="3"/>
        <v>1</v>
      </c>
      <c r="AB8" t="b">
        <f t="shared" si="4"/>
        <v>1</v>
      </c>
      <c r="AC8" s="22">
        <f t="shared" si="5"/>
        <v>0</v>
      </c>
      <c r="AD8" s="22">
        <f t="shared" si="6"/>
        <v>0</v>
      </c>
    </row>
    <row r="9" spans="1:30" x14ac:dyDescent="0.25">
      <c r="A9" t="s">
        <v>113</v>
      </c>
      <c r="B9" t="s">
        <v>31</v>
      </c>
      <c r="C9" s="2" t="s">
        <v>32</v>
      </c>
      <c r="D9" t="s">
        <v>33</v>
      </c>
      <c r="E9" s="5">
        <v>300000</v>
      </c>
      <c r="F9" s="4">
        <v>0</v>
      </c>
      <c r="G9" s="4">
        <v>0</v>
      </c>
      <c r="H9" s="11">
        <v>300000</v>
      </c>
      <c r="I9" s="11">
        <v>300000</v>
      </c>
      <c r="J9" s="14">
        <v>0</v>
      </c>
      <c r="K9" s="5">
        <v>300000</v>
      </c>
      <c r="L9" s="4">
        <v>0</v>
      </c>
      <c r="M9" s="4">
        <v>0</v>
      </c>
      <c r="N9" s="5">
        <v>300000</v>
      </c>
      <c r="O9" s="4">
        <v>0</v>
      </c>
      <c r="P9" s="35">
        <v>0</v>
      </c>
      <c r="S9" t="str">
        <f t="shared" si="1"/>
        <v>C08</v>
      </c>
      <c r="W9" s="20">
        <f>INDEX('ContractPrice-CDE'!$F:$F,MATCH(B9,'ContractPrice-CDE'!$A:$A,0))</f>
        <v>300000</v>
      </c>
      <c r="X9" s="20">
        <f t="shared" si="0"/>
        <v>300000</v>
      </c>
      <c r="Y9" s="20">
        <f>INDEX('ContractPrice-CDE'!$J:$J,MATCH(B9,'ContractPrice-CDE'!$A:$A,0))</f>
        <v>300000</v>
      </c>
      <c r="Z9" s="20">
        <f t="shared" si="2"/>
        <v>300000</v>
      </c>
      <c r="AA9" t="b">
        <f t="shared" si="3"/>
        <v>1</v>
      </c>
      <c r="AB9" t="b">
        <f t="shared" si="4"/>
        <v>1</v>
      </c>
      <c r="AC9" s="22">
        <f t="shared" si="5"/>
        <v>0</v>
      </c>
      <c r="AD9" s="22">
        <f t="shared" si="6"/>
        <v>0</v>
      </c>
    </row>
    <row r="10" spans="1:30" ht="30" x14ac:dyDescent="0.25">
      <c r="A10" t="s">
        <v>113</v>
      </c>
      <c r="B10" t="s">
        <v>34</v>
      </c>
      <c r="C10" s="2" t="s">
        <v>125</v>
      </c>
      <c r="D10" t="s">
        <v>35</v>
      </c>
      <c r="E10" s="5">
        <v>23577600</v>
      </c>
      <c r="F10" s="4">
        <v>0</v>
      </c>
      <c r="G10" s="5">
        <v>-8577600</v>
      </c>
      <c r="H10" s="11">
        <v>15000000</v>
      </c>
      <c r="I10" s="11">
        <v>23577600</v>
      </c>
      <c r="J10" s="15">
        <v>-8577600</v>
      </c>
      <c r="K10" s="5">
        <v>15000000</v>
      </c>
      <c r="L10" s="4">
        <v>0</v>
      </c>
      <c r="M10" s="4">
        <v>0</v>
      </c>
      <c r="N10" s="5">
        <v>15000000</v>
      </c>
      <c r="O10" s="4">
        <v>0</v>
      </c>
      <c r="P10" s="33">
        <v>19520000</v>
      </c>
      <c r="S10" t="str">
        <f t="shared" si="1"/>
        <v>C09</v>
      </c>
      <c r="W10" s="20">
        <f>INDEX('ContractPrice-CDE'!$F:$F,MATCH(B10,'ContractPrice-CDE'!$A:$A,0))</f>
        <v>23577600</v>
      </c>
      <c r="X10" s="20">
        <f t="shared" si="0"/>
        <v>23577600</v>
      </c>
      <c r="Y10" s="20">
        <f>INDEX('ContractPrice-CDE'!$J:$J,MATCH(B10,'ContractPrice-CDE'!$A:$A,0))</f>
        <v>15000000</v>
      </c>
      <c r="Z10" s="20">
        <f t="shared" si="2"/>
        <v>15000000</v>
      </c>
      <c r="AA10" t="b">
        <f t="shared" si="3"/>
        <v>1</v>
      </c>
      <c r="AB10" t="b">
        <f t="shared" si="4"/>
        <v>1</v>
      </c>
      <c r="AC10" s="22">
        <f t="shared" si="5"/>
        <v>0</v>
      </c>
      <c r="AD10" s="22">
        <f t="shared" si="6"/>
        <v>0</v>
      </c>
    </row>
    <row r="11" spans="1:30" ht="30" x14ac:dyDescent="0.25">
      <c r="A11" t="s">
        <v>113</v>
      </c>
      <c r="B11" t="s">
        <v>36</v>
      </c>
      <c r="C11" s="2" t="s">
        <v>126</v>
      </c>
      <c r="D11" t="s">
        <v>37</v>
      </c>
      <c r="E11" s="5">
        <v>10000000</v>
      </c>
      <c r="F11" s="4">
        <v>0</v>
      </c>
      <c r="G11" s="5">
        <v>-300000</v>
      </c>
      <c r="H11" s="11">
        <v>9700000</v>
      </c>
      <c r="I11" s="11">
        <v>9700000</v>
      </c>
      <c r="J11" s="14">
        <v>0</v>
      </c>
      <c r="K11" s="5">
        <v>9700000</v>
      </c>
      <c r="L11" s="4">
        <v>0</v>
      </c>
      <c r="M11" s="4">
        <v>0</v>
      </c>
      <c r="N11" s="5">
        <v>9700000</v>
      </c>
      <c r="O11" s="4">
        <v>0</v>
      </c>
      <c r="P11" s="33">
        <v>2475400</v>
      </c>
      <c r="S11" t="str">
        <f t="shared" si="1"/>
        <v>C10</v>
      </c>
      <c r="W11" s="20">
        <f>INDEX('ContractPrice-CDE'!$F:$F,MATCH(B11,'ContractPrice-CDE'!$A:$A,0))</f>
        <v>9700000</v>
      </c>
      <c r="X11" s="20">
        <f t="shared" si="0"/>
        <v>9700000</v>
      </c>
      <c r="Y11" s="20">
        <f>INDEX('ContractPrice-CDE'!$J:$J,MATCH(B11,'ContractPrice-CDE'!$A:$A,0))</f>
        <v>9700000</v>
      </c>
      <c r="Z11" s="20">
        <f t="shared" si="2"/>
        <v>9700000</v>
      </c>
      <c r="AA11" t="b">
        <f t="shared" si="3"/>
        <v>1</v>
      </c>
      <c r="AB11" t="b">
        <f t="shared" si="4"/>
        <v>1</v>
      </c>
      <c r="AC11" s="22">
        <f t="shared" si="5"/>
        <v>0</v>
      </c>
      <c r="AD11" s="22">
        <f t="shared" si="6"/>
        <v>0</v>
      </c>
    </row>
    <row r="12" spans="1:30" ht="30" x14ac:dyDescent="0.25">
      <c r="A12" t="s">
        <v>38</v>
      </c>
      <c r="B12" t="s">
        <v>39</v>
      </c>
      <c r="C12" s="2" t="s">
        <v>127</v>
      </c>
      <c r="D12" t="s">
        <v>40</v>
      </c>
      <c r="E12" s="5">
        <v>3000000</v>
      </c>
      <c r="F12" s="4">
        <v>0</v>
      </c>
      <c r="G12" s="5">
        <v>-3000000</v>
      </c>
      <c r="H12" s="10">
        <v>0</v>
      </c>
      <c r="I12" s="10">
        <v>0</v>
      </c>
      <c r="J12" s="14">
        <v>0</v>
      </c>
      <c r="K12" s="4">
        <v>0</v>
      </c>
      <c r="L12" s="4">
        <v>0</v>
      </c>
      <c r="M12" s="4">
        <v>0</v>
      </c>
      <c r="N12" s="4">
        <v>0</v>
      </c>
      <c r="O12" s="4">
        <v>0</v>
      </c>
      <c r="P12" s="4">
        <v>0</v>
      </c>
      <c r="S12" t="str">
        <f t="shared" si="1"/>
        <v>1001</v>
      </c>
      <c r="W12" s="23"/>
      <c r="X12" s="20">
        <f t="shared" si="0"/>
        <v>0</v>
      </c>
      <c r="Y12" s="23"/>
      <c r="Z12" s="20">
        <f t="shared" si="2"/>
        <v>0</v>
      </c>
      <c r="AA12" t="b">
        <f t="shared" si="3"/>
        <v>1</v>
      </c>
      <c r="AB12" t="b">
        <f t="shared" si="4"/>
        <v>1</v>
      </c>
      <c r="AC12" s="22">
        <f t="shared" si="5"/>
        <v>0</v>
      </c>
      <c r="AD12" s="22">
        <f t="shared" si="6"/>
        <v>0</v>
      </c>
    </row>
    <row r="13" spans="1:30" x14ac:dyDescent="0.25">
      <c r="A13" t="s">
        <v>38</v>
      </c>
      <c r="B13" t="s">
        <v>41</v>
      </c>
      <c r="C13" s="2" t="s">
        <v>42</v>
      </c>
      <c r="D13" t="s">
        <v>43</v>
      </c>
      <c r="E13" s="5">
        <v>6892745.21</v>
      </c>
      <c r="F13" s="4">
        <v>0</v>
      </c>
      <c r="G13" s="5">
        <v>3502004.42</v>
      </c>
      <c r="H13" s="11">
        <v>10394749.630000001</v>
      </c>
      <c r="I13" s="11">
        <v>6892745.21</v>
      </c>
      <c r="J13" s="15">
        <v>3502004.42</v>
      </c>
      <c r="K13" s="5">
        <v>10394749.630000001</v>
      </c>
      <c r="L13" s="4">
        <v>0</v>
      </c>
      <c r="M13" s="4">
        <v>0</v>
      </c>
      <c r="N13" s="5">
        <v>10394749.630000001</v>
      </c>
      <c r="O13" s="4">
        <v>0</v>
      </c>
      <c r="P13" s="33">
        <v>10394749.630000001</v>
      </c>
      <c r="S13" t="str">
        <f t="shared" si="1"/>
        <v>CARI</v>
      </c>
      <c r="W13" s="20">
        <f>INDEX('ContractPrice-CDE'!$F:$F,MATCH(B13,'ContractPrice-CDE'!$A:$A,0))</f>
        <v>6892745.21</v>
      </c>
      <c r="X13" s="20">
        <f t="shared" si="0"/>
        <v>6892745.21</v>
      </c>
      <c r="Y13" s="20">
        <f>INDEX('ContractPrice-CDE'!$J:$J,MATCH(B13,'ContractPrice-CDE'!$A:$A,0))</f>
        <v>10394749.629999999</v>
      </c>
      <c r="Z13" s="20">
        <f t="shared" si="2"/>
        <v>10394749.630000001</v>
      </c>
      <c r="AA13" t="b">
        <f t="shared" si="3"/>
        <v>1</v>
      </c>
      <c r="AB13" t="b">
        <f t="shared" si="4"/>
        <v>1</v>
      </c>
      <c r="AC13" s="22">
        <f t="shared" si="5"/>
        <v>0</v>
      </c>
      <c r="AD13" s="22">
        <f t="shared" si="6"/>
        <v>-1.862645149230957E-9</v>
      </c>
    </row>
    <row r="14" spans="1:30" s="6" customFormat="1" ht="30" x14ac:dyDescent="0.25">
      <c r="A14" s="6" t="s">
        <v>114</v>
      </c>
      <c r="B14" s="6" t="s">
        <v>130</v>
      </c>
      <c r="C14" s="26" t="s">
        <v>129</v>
      </c>
      <c r="D14" s="6" t="s">
        <v>128</v>
      </c>
      <c r="E14" s="11">
        <v>427378789.81</v>
      </c>
      <c r="F14" s="10">
        <v>0</v>
      </c>
      <c r="G14" s="11">
        <v>103781456.45999999</v>
      </c>
      <c r="H14" s="11">
        <v>531160246.26999998</v>
      </c>
      <c r="I14" s="11">
        <v>365000000</v>
      </c>
      <c r="J14" s="11">
        <v>166160246.27000001</v>
      </c>
      <c r="K14" s="11">
        <v>531160246.26999998</v>
      </c>
      <c r="L14" s="10">
        <v>0</v>
      </c>
      <c r="M14" s="10">
        <v>0</v>
      </c>
      <c r="N14" s="11">
        <v>531160246.26999998</v>
      </c>
      <c r="O14" s="10">
        <v>0</v>
      </c>
      <c r="P14" s="34">
        <v>368461391.13999999</v>
      </c>
      <c r="S14" s="6" t="str">
        <f t="shared" si="1"/>
        <v>CP01</v>
      </c>
      <c r="W14" s="25">
        <f>INDEX('ContractPrice-CDE'!$F:$F,MATCH(B14,'ContractPrice-CDE'!$A:$A,0))</f>
        <v>365000000</v>
      </c>
      <c r="X14" s="25">
        <f t="shared" si="0"/>
        <v>365000000</v>
      </c>
      <c r="Y14" s="25">
        <f>INDEX('ContractPrice-CDE'!$J:$J,MATCH(B14,'ContractPrice-CDE'!$A:$A,0))</f>
        <v>530601881.32000005</v>
      </c>
      <c r="Z14" s="25">
        <f t="shared" si="2"/>
        <v>531160246.26999998</v>
      </c>
      <c r="AA14" s="6" t="b">
        <f t="shared" si="3"/>
        <v>1</v>
      </c>
      <c r="AB14" s="6" t="b">
        <f t="shared" si="4"/>
        <v>0</v>
      </c>
      <c r="AC14" s="27">
        <f t="shared" si="5"/>
        <v>0</v>
      </c>
      <c r="AD14" s="27">
        <f t="shared" si="6"/>
        <v>-558364.94999992847</v>
      </c>
    </row>
    <row r="15" spans="1:30" s="6" customFormat="1" x14ac:dyDescent="0.25">
      <c r="A15" s="6" t="s">
        <v>114</v>
      </c>
      <c r="B15" s="6" t="s">
        <v>44</v>
      </c>
      <c r="C15" s="26" t="s">
        <v>45</v>
      </c>
      <c r="D15" s="6" t="s">
        <v>46</v>
      </c>
      <c r="E15" s="11">
        <v>92161305</v>
      </c>
      <c r="F15" s="10">
        <v>0</v>
      </c>
      <c r="G15" s="11">
        <v>-11466516.48</v>
      </c>
      <c r="H15" s="11">
        <v>80694788.519999996</v>
      </c>
      <c r="I15" s="11">
        <v>92161305</v>
      </c>
      <c r="J15" s="11">
        <v>-11466516.48</v>
      </c>
      <c r="K15" s="11">
        <v>80694788.519999996</v>
      </c>
      <c r="L15" s="10">
        <v>0</v>
      </c>
      <c r="M15" s="10">
        <v>0</v>
      </c>
      <c r="N15" s="11">
        <v>80694788.519999996</v>
      </c>
      <c r="O15" s="10">
        <v>0</v>
      </c>
      <c r="P15" s="34">
        <v>33041300.84</v>
      </c>
      <c r="S15" s="6" t="str">
        <f t="shared" si="1"/>
        <v>OP01</v>
      </c>
      <c r="W15" s="25">
        <f>INDEX('ContractPrice-CDE'!$F:$F,MATCH(B15,'ContractPrice-CDE'!$A:$A,0))</f>
        <v>92161305</v>
      </c>
      <c r="X15" s="25">
        <f t="shared" si="0"/>
        <v>92161305</v>
      </c>
      <c r="Y15" s="25">
        <f>INDEX('ContractPrice-CDE'!$J:$J,MATCH(B15,'ContractPrice-CDE'!$A:$A,0))</f>
        <v>80523674.019999996</v>
      </c>
      <c r="Z15" s="25">
        <f t="shared" si="2"/>
        <v>80694788.519999996</v>
      </c>
      <c r="AA15" s="6" t="b">
        <f t="shared" si="3"/>
        <v>1</v>
      </c>
      <c r="AB15" s="6" t="b">
        <f t="shared" si="4"/>
        <v>0</v>
      </c>
      <c r="AC15" s="27">
        <f t="shared" si="5"/>
        <v>0</v>
      </c>
      <c r="AD15" s="27">
        <f t="shared" si="6"/>
        <v>-171114.5</v>
      </c>
    </row>
    <row r="16" spans="1:30" s="6" customFormat="1" x14ac:dyDescent="0.25">
      <c r="A16" s="6" t="s">
        <v>114</v>
      </c>
      <c r="B16" s="6" t="s">
        <v>47</v>
      </c>
      <c r="C16" s="26" t="s">
        <v>48</v>
      </c>
      <c r="D16" s="6" t="s">
        <v>131</v>
      </c>
      <c r="E16" s="11">
        <v>259599611.03999999</v>
      </c>
      <c r="F16" s="10">
        <v>0</v>
      </c>
      <c r="G16" s="11">
        <v>-91180127.349999994</v>
      </c>
      <c r="H16" s="11">
        <v>168419483.69</v>
      </c>
      <c r="I16" s="11">
        <v>259599611.03999999</v>
      </c>
      <c r="J16" s="11">
        <v>-91180127.349999994</v>
      </c>
      <c r="K16" s="11">
        <v>168419483.69</v>
      </c>
      <c r="L16" s="10">
        <v>0</v>
      </c>
      <c r="M16" s="10">
        <v>0</v>
      </c>
      <c r="N16" s="11">
        <v>168419483.69</v>
      </c>
      <c r="O16" s="10">
        <v>0</v>
      </c>
      <c r="P16" s="34">
        <v>105752028.31999999</v>
      </c>
      <c r="S16" s="6" t="str">
        <f t="shared" si="1"/>
        <v>OP02</v>
      </c>
      <c r="W16" s="25">
        <f>INDEX('ContractPrice-CDE'!$F:$F,MATCH(B16,'ContractPrice-CDE'!$A:$A,0))</f>
        <v>259599611.04000002</v>
      </c>
      <c r="X16" s="25">
        <f t="shared" si="0"/>
        <v>259599611.03999999</v>
      </c>
      <c r="Y16" s="25">
        <f>INDEX('ContractPrice-CDE'!$J:$J,MATCH(B16,'ContractPrice-CDE'!$A:$A,0))</f>
        <v>167747871.63999999</v>
      </c>
      <c r="Z16" s="25">
        <f t="shared" si="2"/>
        <v>168419483.69</v>
      </c>
      <c r="AA16" s="6" t="b">
        <f t="shared" si="3"/>
        <v>1</v>
      </c>
      <c r="AB16" s="6" t="b">
        <f t="shared" si="4"/>
        <v>0</v>
      </c>
      <c r="AC16" s="27">
        <f t="shared" si="5"/>
        <v>2.9802322387695313E-8</v>
      </c>
      <c r="AD16" s="27">
        <f t="shared" si="6"/>
        <v>-671612.05000001192</v>
      </c>
    </row>
    <row r="17" spans="1:30" s="6" customFormat="1" ht="30" x14ac:dyDescent="0.25">
      <c r="A17" s="6" t="s">
        <v>115</v>
      </c>
      <c r="B17" s="6" t="s">
        <v>49</v>
      </c>
      <c r="C17" s="26" t="s">
        <v>132</v>
      </c>
      <c r="D17" s="6" t="s">
        <v>50</v>
      </c>
      <c r="E17" s="11">
        <v>13000000</v>
      </c>
      <c r="F17" s="10">
        <v>0</v>
      </c>
      <c r="G17" s="11">
        <v>-1004000</v>
      </c>
      <c r="H17" s="11">
        <v>11996000</v>
      </c>
      <c r="I17" s="11">
        <v>10300000</v>
      </c>
      <c r="J17" s="11">
        <v>696000</v>
      </c>
      <c r="K17" s="11">
        <v>10996000</v>
      </c>
      <c r="L17" s="11">
        <v>1000000</v>
      </c>
      <c r="M17" s="10">
        <v>0</v>
      </c>
      <c r="N17" s="11">
        <v>11996000</v>
      </c>
      <c r="O17" s="10">
        <v>0</v>
      </c>
      <c r="P17" s="34">
        <v>2372629.9700000002</v>
      </c>
      <c r="S17" s="6" t="str">
        <f t="shared" si="1"/>
        <v>CP30</v>
      </c>
      <c r="W17" s="25">
        <f>INDEX('ContractPrice-CDE'!$F:$F,MATCH(B17,'ContractPrice-CDE'!$A:$A,0))</f>
        <v>10300000</v>
      </c>
      <c r="X17" s="25">
        <f t="shared" si="0"/>
        <v>10300000</v>
      </c>
      <c r="Y17" s="25">
        <f>INDEX('ContractPrice-CDE'!$J:$J,MATCH(B17,'ContractPrice-CDE'!$A:$A,0))</f>
        <v>11300000</v>
      </c>
      <c r="Z17" s="25">
        <f t="shared" si="2"/>
        <v>11996000</v>
      </c>
      <c r="AA17" s="6" t="b">
        <f t="shared" si="3"/>
        <v>1</v>
      </c>
      <c r="AB17" s="6" t="b">
        <f t="shared" si="4"/>
        <v>0</v>
      </c>
      <c r="AC17" s="27">
        <f t="shared" si="5"/>
        <v>0</v>
      </c>
      <c r="AD17" s="27">
        <f t="shared" si="6"/>
        <v>-696000</v>
      </c>
    </row>
    <row r="18" spans="1:30" s="6" customFormat="1" ht="30" x14ac:dyDescent="0.25">
      <c r="A18" s="6" t="s">
        <v>115</v>
      </c>
      <c r="B18" s="6" t="s">
        <v>51</v>
      </c>
      <c r="C18" s="26" t="s">
        <v>133</v>
      </c>
      <c r="D18" s="6" t="s">
        <v>137</v>
      </c>
      <c r="E18" s="11">
        <v>305793900.70999998</v>
      </c>
      <c r="F18" s="10">
        <v>0</v>
      </c>
      <c r="G18" s="11">
        <v>-61100830.490000002</v>
      </c>
      <c r="H18" s="11">
        <v>244693070.22</v>
      </c>
      <c r="I18" s="11">
        <v>227456344.43000001</v>
      </c>
      <c r="J18" s="11">
        <v>4689859.79</v>
      </c>
      <c r="K18" s="11">
        <v>232146204.22</v>
      </c>
      <c r="L18" s="11">
        <v>12546866</v>
      </c>
      <c r="M18" s="10">
        <v>0</v>
      </c>
      <c r="N18" s="11">
        <v>244693070.22</v>
      </c>
      <c r="O18" s="10">
        <v>0</v>
      </c>
      <c r="P18" s="34">
        <v>32768956.219999999</v>
      </c>
      <c r="S18" s="6" t="str">
        <f t="shared" si="1"/>
        <v>CP11</v>
      </c>
      <c r="W18" s="25">
        <f>INDEX('ContractPrice-CDE'!$F:$F,MATCH(B18,'ContractPrice-CDE'!$A:$A,0))</f>
        <v>227456344.41999999</v>
      </c>
      <c r="X18" s="25">
        <f t="shared" si="0"/>
        <v>227456344.43000001</v>
      </c>
      <c r="Y18" s="25">
        <f>INDEX('ContractPrice-CDE'!$J:$J,MATCH(B18,'ContractPrice-CDE'!$A:$A,0))</f>
        <v>242860257.91</v>
      </c>
      <c r="Z18" s="25">
        <f t="shared" si="2"/>
        <v>244693070.22</v>
      </c>
      <c r="AA18" s="6" t="b">
        <f t="shared" si="3"/>
        <v>0</v>
      </c>
      <c r="AB18" s="6" t="b">
        <f t="shared" si="4"/>
        <v>0</v>
      </c>
      <c r="AC18" s="27">
        <f t="shared" si="5"/>
        <v>-1.0000020265579224E-2</v>
      </c>
      <c r="AD18" s="27">
        <f t="shared" si="6"/>
        <v>-1832812.3100000024</v>
      </c>
    </row>
    <row r="19" spans="1:30" s="6" customFormat="1" ht="30" x14ac:dyDescent="0.25">
      <c r="A19" s="6" t="s">
        <v>115</v>
      </c>
      <c r="B19" s="6" t="s">
        <v>52</v>
      </c>
      <c r="C19" s="26" t="s">
        <v>134</v>
      </c>
      <c r="D19" s="6" t="s">
        <v>53</v>
      </c>
      <c r="E19" s="11">
        <v>224321762.87</v>
      </c>
      <c r="F19" s="10">
        <v>0</v>
      </c>
      <c r="G19" s="11">
        <v>-28169047.170000002</v>
      </c>
      <c r="H19" s="11">
        <v>196152715.69999999</v>
      </c>
      <c r="I19" s="11">
        <v>184929323.47999999</v>
      </c>
      <c r="J19" s="11">
        <v>770258.22</v>
      </c>
      <c r="K19" s="11">
        <v>185699581.69999999</v>
      </c>
      <c r="L19" s="11">
        <v>10453134</v>
      </c>
      <c r="M19" s="10">
        <v>0</v>
      </c>
      <c r="N19" s="11">
        <v>196152715.69999999</v>
      </c>
      <c r="O19" s="10">
        <v>0</v>
      </c>
      <c r="P19" s="34">
        <v>80681651.620000005</v>
      </c>
      <c r="S19" s="6" t="str">
        <f t="shared" si="1"/>
        <v>CP11A</v>
      </c>
      <c r="W19" s="25">
        <f>INDEX('ContractPrice-CDE'!$F:$F,MATCH(B19,'ContractPrice-CDE'!$A:$A,0))</f>
        <v>184929323.49000001</v>
      </c>
      <c r="X19" s="25">
        <f t="shared" si="0"/>
        <v>184929323.47999999</v>
      </c>
      <c r="Y19" s="25">
        <f>INDEX('ContractPrice-CDE'!$J:$J,MATCH(B19,'ContractPrice-CDE'!$A:$A,0))</f>
        <v>193661800.76999998</v>
      </c>
      <c r="Z19" s="25">
        <f t="shared" si="2"/>
        <v>196152715.69999999</v>
      </c>
      <c r="AA19" s="6" t="b">
        <f t="shared" si="3"/>
        <v>0</v>
      </c>
      <c r="AB19" s="6" t="b">
        <f t="shared" si="4"/>
        <v>0</v>
      </c>
      <c r="AC19" s="27">
        <f t="shared" si="5"/>
        <v>1.0000020265579224E-2</v>
      </c>
      <c r="AD19" s="27">
        <f t="shared" si="6"/>
        <v>-2490914.9300000072</v>
      </c>
    </row>
    <row r="20" spans="1:30" s="6" customFormat="1" ht="60" x14ac:dyDescent="0.25">
      <c r="A20" s="6" t="s">
        <v>115</v>
      </c>
      <c r="B20" s="6" t="s">
        <v>54</v>
      </c>
      <c r="C20" s="26" t="s">
        <v>135</v>
      </c>
      <c r="D20" s="6" t="s">
        <v>136</v>
      </c>
      <c r="E20" s="11">
        <v>22296090.91</v>
      </c>
      <c r="F20" s="10">
        <v>0</v>
      </c>
      <c r="G20" s="11">
        <v>-4556456.1500000004</v>
      </c>
      <c r="H20" s="11">
        <v>17739634.760000002</v>
      </c>
      <c r="I20" s="11">
        <v>18606970.550000001</v>
      </c>
      <c r="J20" s="11">
        <v>-1367335.79</v>
      </c>
      <c r="K20" s="11">
        <v>17239634.760000002</v>
      </c>
      <c r="L20" s="11">
        <v>500000</v>
      </c>
      <c r="M20" s="10">
        <v>0</v>
      </c>
      <c r="N20" s="11">
        <v>17739634.760000002</v>
      </c>
      <c r="O20" s="10">
        <v>0</v>
      </c>
      <c r="P20" s="34">
        <v>10482491.359999999</v>
      </c>
      <c r="S20" s="6" t="str">
        <f t="shared" si="1"/>
        <v>CP21</v>
      </c>
      <c r="W20" s="25">
        <f>INDEX('ContractPrice-CDE'!$F:$F,MATCH(B20,'ContractPrice-CDE'!$A:$A,0))</f>
        <v>18606970.550000001</v>
      </c>
      <c r="X20" s="25">
        <f t="shared" si="0"/>
        <v>18606970.550000001</v>
      </c>
      <c r="Y20" s="25">
        <f>INDEX('ContractPrice-CDE'!$J:$J,MATCH(B20,'ContractPrice-CDE'!$A:$A,0))</f>
        <v>17564567.25</v>
      </c>
      <c r="Z20" s="25">
        <f t="shared" si="2"/>
        <v>17739634.760000002</v>
      </c>
      <c r="AA20" s="6" t="b">
        <f t="shared" si="3"/>
        <v>1</v>
      </c>
      <c r="AB20" s="6" t="b">
        <f t="shared" si="4"/>
        <v>0</v>
      </c>
      <c r="AC20" s="27">
        <f t="shared" si="5"/>
        <v>0</v>
      </c>
      <c r="AD20" s="27">
        <f t="shared" si="6"/>
        <v>-175067.51000000164</v>
      </c>
    </row>
    <row r="21" spans="1:30" s="6" customFormat="1" ht="75" x14ac:dyDescent="0.25">
      <c r="A21" s="6" t="s">
        <v>55</v>
      </c>
      <c r="B21" s="6" t="s">
        <v>56</v>
      </c>
      <c r="C21" s="26" t="s">
        <v>138</v>
      </c>
      <c r="D21" s="6" t="s">
        <v>128</v>
      </c>
      <c r="E21" s="11">
        <v>158796484.86000001</v>
      </c>
      <c r="F21" s="10">
        <v>0</v>
      </c>
      <c r="G21" s="11">
        <v>-18670950.039999999</v>
      </c>
      <c r="H21" s="11">
        <v>140125534.81999999</v>
      </c>
      <c r="I21" s="11">
        <v>132000000</v>
      </c>
      <c r="J21" s="11">
        <v>4125534.82</v>
      </c>
      <c r="K21" s="11">
        <v>136125534.81999999</v>
      </c>
      <c r="L21" s="11">
        <v>4000000</v>
      </c>
      <c r="M21" s="10">
        <v>0</v>
      </c>
      <c r="N21" s="11">
        <v>140125534.81999999</v>
      </c>
      <c r="O21" s="10">
        <v>0</v>
      </c>
      <c r="P21" s="34">
        <v>28657621.68</v>
      </c>
      <c r="S21" s="6" t="str">
        <f t="shared" si="1"/>
        <v>CP01A</v>
      </c>
      <c r="W21" s="25">
        <f>INDEX('ContractPrice-CDE'!$F:$F,MATCH(B21,'ContractPrice-CDE'!$A:$A,0))</f>
        <v>132000000</v>
      </c>
      <c r="X21" s="25">
        <f t="shared" si="0"/>
        <v>132000000</v>
      </c>
      <c r="Y21" s="25">
        <f>INDEX('ContractPrice-CDE'!$J:$J,MATCH(B21,'ContractPrice-CDE'!$A:$A,0))</f>
        <v>138248110.46000001</v>
      </c>
      <c r="Z21" s="25">
        <f t="shared" si="2"/>
        <v>140125534.81999999</v>
      </c>
      <c r="AA21" s="6" t="b">
        <f t="shared" si="3"/>
        <v>1</v>
      </c>
      <c r="AB21" s="6" t="b">
        <f t="shared" si="4"/>
        <v>0</v>
      </c>
      <c r="AC21" s="27">
        <f t="shared" si="5"/>
        <v>0</v>
      </c>
      <c r="AD21" s="27">
        <f t="shared" si="6"/>
        <v>-1877424.3599999845</v>
      </c>
    </row>
    <row r="22" spans="1:30" s="6" customFormat="1" x14ac:dyDescent="0.25">
      <c r="A22" s="6" t="s">
        <v>55</v>
      </c>
      <c r="B22" s="6" t="s">
        <v>57</v>
      </c>
      <c r="C22" s="26" t="s">
        <v>58</v>
      </c>
      <c r="D22" s="6" t="s">
        <v>59</v>
      </c>
      <c r="E22" s="11">
        <v>13042110.189999999</v>
      </c>
      <c r="F22" s="10">
        <v>0</v>
      </c>
      <c r="G22" s="11">
        <v>738542.91</v>
      </c>
      <c r="H22" s="11">
        <v>13780653.1</v>
      </c>
      <c r="I22" s="11">
        <v>13300000</v>
      </c>
      <c r="J22" s="11">
        <v>480653.1</v>
      </c>
      <c r="K22" s="11">
        <v>13780653.1</v>
      </c>
      <c r="L22" s="10">
        <v>0</v>
      </c>
      <c r="M22" s="10">
        <v>0</v>
      </c>
      <c r="N22" s="11">
        <v>13780653.1</v>
      </c>
      <c r="O22" s="10">
        <v>0</v>
      </c>
      <c r="P22" s="10">
        <v>0</v>
      </c>
      <c r="S22" s="6" t="str">
        <f t="shared" si="1"/>
        <v>OP33</v>
      </c>
      <c r="W22" s="25">
        <f>INDEX('ContractPrice-CDE'!$F:$F,MATCH(B22,'ContractPrice-CDE'!$A:$A,0))</f>
        <v>13300000</v>
      </c>
      <c r="X22" s="25">
        <f t="shared" si="0"/>
        <v>13300000</v>
      </c>
      <c r="Y22" s="25">
        <f>INDEX('ContractPrice-CDE'!$J:$J,MATCH(B22,'ContractPrice-CDE'!$A:$A,0))</f>
        <v>13717153.1</v>
      </c>
      <c r="Z22" s="25">
        <f t="shared" si="2"/>
        <v>13780653.1</v>
      </c>
      <c r="AA22" s="6" t="b">
        <f t="shared" si="3"/>
        <v>1</v>
      </c>
      <c r="AB22" s="6" t="b">
        <f t="shared" si="4"/>
        <v>0</v>
      </c>
      <c r="AC22" s="27">
        <f t="shared" si="5"/>
        <v>0</v>
      </c>
      <c r="AD22" s="27">
        <f t="shared" si="6"/>
        <v>-63500</v>
      </c>
    </row>
    <row r="23" spans="1:30" s="6" customFormat="1" x14ac:dyDescent="0.25">
      <c r="A23" s="6" t="s">
        <v>116</v>
      </c>
      <c r="B23" s="6" t="s">
        <v>118</v>
      </c>
      <c r="C23" s="26" t="s">
        <v>60</v>
      </c>
      <c r="D23" s="6" t="s">
        <v>61</v>
      </c>
      <c r="E23" s="11">
        <v>328382908.5</v>
      </c>
      <c r="F23" s="10">
        <v>0</v>
      </c>
      <c r="G23" s="11">
        <v>-16810571.140000001</v>
      </c>
      <c r="H23" s="11">
        <v>311572337.36000001</v>
      </c>
      <c r="I23" s="11">
        <v>310000000</v>
      </c>
      <c r="J23" s="11">
        <v>-3427662.64</v>
      </c>
      <c r="K23" s="11">
        <v>306572337.36000001</v>
      </c>
      <c r="L23" s="11">
        <v>5000000</v>
      </c>
      <c r="M23" s="10">
        <v>0</v>
      </c>
      <c r="N23" s="11">
        <v>311572337.36000001</v>
      </c>
      <c r="O23" s="10">
        <v>0</v>
      </c>
      <c r="P23" s="34">
        <v>35613423.710000001</v>
      </c>
      <c r="S23" s="6" t="str">
        <f t="shared" si="1"/>
        <v>CP20</v>
      </c>
      <c r="W23" s="25">
        <f>INDEX('ContractPrice-CDE'!$F:$F,MATCH(B23,'ContractPrice-CDE'!$A:$A,0))</f>
        <v>310000000</v>
      </c>
      <c r="X23" s="25">
        <f t="shared" si="0"/>
        <v>310000000</v>
      </c>
      <c r="Y23" s="25">
        <f>INDEX('ContractPrice-CDE'!$J:$J,MATCH(B23,'ContractPrice-CDE'!$A:$A,0))</f>
        <v>310771153.53999996</v>
      </c>
      <c r="Z23" s="25">
        <f t="shared" si="2"/>
        <v>311572337.36000001</v>
      </c>
      <c r="AA23" s="6" t="b">
        <f t="shared" si="3"/>
        <v>1</v>
      </c>
      <c r="AB23" s="6" t="b">
        <f t="shared" si="4"/>
        <v>0</v>
      </c>
      <c r="AC23" s="27">
        <f t="shared" si="5"/>
        <v>0</v>
      </c>
      <c r="AD23" s="27">
        <f t="shared" si="6"/>
        <v>-801183.82000005245</v>
      </c>
    </row>
    <row r="24" spans="1:30" s="6" customFormat="1" x14ac:dyDescent="0.25">
      <c r="A24" s="6" t="s">
        <v>119</v>
      </c>
      <c r="B24" s="6" t="s">
        <v>117</v>
      </c>
      <c r="C24" s="26" t="s">
        <v>62</v>
      </c>
      <c r="D24" s="6" t="s">
        <v>139</v>
      </c>
      <c r="E24" s="11">
        <v>332452945.20999998</v>
      </c>
      <c r="F24" s="10">
        <v>0</v>
      </c>
      <c r="G24" s="11">
        <v>-46236955.159999996</v>
      </c>
      <c r="H24" s="11">
        <v>286215990.05000001</v>
      </c>
      <c r="I24" s="11">
        <v>290173000</v>
      </c>
      <c r="J24" s="11">
        <v>-3957009.95</v>
      </c>
      <c r="K24" s="11">
        <v>286215990.05000001</v>
      </c>
      <c r="L24" s="10">
        <v>0</v>
      </c>
      <c r="M24" s="10">
        <v>0</v>
      </c>
      <c r="N24" s="11">
        <v>286215990.05000001</v>
      </c>
      <c r="O24" s="10">
        <v>0</v>
      </c>
      <c r="P24" s="34">
        <v>83956731.540000007</v>
      </c>
      <c r="S24" s="6" t="str">
        <f t="shared" si="1"/>
        <v>CP04</v>
      </c>
      <c r="W24" s="25">
        <f>INDEX('ContractPrice-CDE'!$F:$F,MATCH(B24,'ContractPrice-CDE'!$A:$A,0))</f>
        <v>290173000</v>
      </c>
      <c r="X24" s="25">
        <f t="shared" si="0"/>
        <v>290173000</v>
      </c>
      <c r="Y24" s="25">
        <f>INDEX('ContractPrice-CDE'!$J:$J,MATCH(B24,'ContractPrice-CDE'!$A:$A,0))</f>
        <v>287122811.34999996</v>
      </c>
      <c r="Z24" s="25">
        <f t="shared" si="2"/>
        <v>286215990.05000001</v>
      </c>
      <c r="AA24" s="6" t="b">
        <f t="shared" si="3"/>
        <v>1</v>
      </c>
      <c r="AB24" s="6" t="b">
        <f t="shared" si="4"/>
        <v>0</v>
      </c>
      <c r="AC24" s="27">
        <f t="shared" si="5"/>
        <v>0</v>
      </c>
      <c r="AD24" s="27">
        <f t="shared" si="6"/>
        <v>906821.29999995232</v>
      </c>
    </row>
    <row r="25" spans="1:30" s="6" customFormat="1" ht="30" x14ac:dyDescent="0.25">
      <c r="A25" s="6" t="s">
        <v>119</v>
      </c>
      <c r="B25" s="6" t="s">
        <v>63</v>
      </c>
      <c r="C25" s="26" t="s">
        <v>140</v>
      </c>
      <c r="D25" s="6" t="s">
        <v>139</v>
      </c>
      <c r="E25" s="11">
        <v>45782001.479999997</v>
      </c>
      <c r="F25" s="10">
        <v>0</v>
      </c>
      <c r="G25" s="11">
        <v>-27226411.899999999</v>
      </c>
      <c r="H25" s="11">
        <v>18555589.579999998</v>
      </c>
      <c r="I25" s="11">
        <v>15000000</v>
      </c>
      <c r="J25" s="11">
        <v>55589.58</v>
      </c>
      <c r="K25" s="11">
        <v>15055589.58</v>
      </c>
      <c r="L25" s="11">
        <v>3500000</v>
      </c>
      <c r="M25" s="10">
        <v>0</v>
      </c>
      <c r="N25" s="11">
        <v>18555589.579999998</v>
      </c>
      <c r="O25" s="10">
        <v>0</v>
      </c>
      <c r="P25" s="34">
        <v>4061050.55</v>
      </c>
      <c r="S25" s="6" t="str">
        <f t="shared" si="1"/>
        <v>CP05A</v>
      </c>
      <c r="W25" s="25">
        <f>INDEX('ContractPrice-CDE'!$F:$F,MATCH(B25,'ContractPrice-CDE'!$A:$A,0))</f>
        <v>15000000</v>
      </c>
      <c r="X25" s="25">
        <f t="shared" si="0"/>
        <v>15000000</v>
      </c>
      <c r="Y25" s="25">
        <f>INDEX('ContractPrice-CDE'!$J:$J,MATCH(B25,'ContractPrice-CDE'!$A:$A,0))</f>
        <v>18555589.590000004</v>
      </c>
      <c r="Z25" s="25">
        <f t="shared" si="2"/>
        <v>18555589.579999998</v>
      </c>
      <c r="AA25" s="6" t="b">
        <f t="shared" si="3"/>
        <v>1</v>
      </c>
      <c r="AB25" s="6" t="b">
        <f t="shared" si="4"/>
        <v>0</v>
      </c>
      <c r="AC25" s="27">
        <f t="shared" si="5"/>
        <v>0</v>
      </c>
      <c r="AD25" s="27">
        <f t="shared" si="6"/>
        <v>1.000000536441803E-2</v>
      </c>
    </row>
    <row r="26" spans="1:30" s="6" customFormat="1" ht="30" x14ac:dyDescent="0.25">
      <c r="A26" s="6" t="s">
        <v>119</v>
      </c>
      <c r="B26" s="6" t="s">
        <v>64</v>
      </c>
      <c r="C26" s="26" t="s">
        <v>141</v>
      </c>
      <c r="D26" s="6" t="s">
        <v>139</v>
      </c>
      <c r="E26" s="11">
        <v>28066202.350000001</v>
      </c>
      <c r="F26" s="10">
        <v>0</v>
      </c>
      <c r="G26" s="11">
        <v>-8534926.8100000005</v>
      </c>
      <c r="H26" s="11">
        <v>19531275.539999999</v>
      </c>
      <c r="I26" s="11">
        <v>15000000</v>
      </c>
      <c r="J26" s="11">
        <v>1531275.54</v>
      </c>
      <c r="K26" s="11">
        <v>16531275.539999999</v>
      </c>
      <c r="L26" s="11">
        <v>3000000</v>
      </c>
      <c r="M26" s="10">
        <v>0</v>
      </c>
      <c r="N26" s="11">
        <v>19531275.539999999</v>
      </c>
      <c r="O26" s="10">
        <v>0</v>
      </c>
      <c r="P26" s="34">
        <v>5046234.8099999996</v>
      </c>
      <c r="S26" s="6" t="str">
        <f t="shared" si="1"/>
        <v>CP05B</v>
      </c>
      <c r="W26" s="25">
        <f>INDEX('ContractPrice-CDE'!$F:$F,MATCH(B26,'ContractPrice-CDE'!$A:$A,0))</f>
        <v>15000000</v>
      </c>
      <c r="X26" s="25">
        <f t="shared" si="0"/>
        <v>15000000</v>
      </c>
      <c r="Y26" s="25">
        <f>INDEX('ContractPrice-CDE'!$J:$J,MATCH(B26,'ContractPrice-CDE'!$A:$A,0))</f>
        <v>19493889.650000002</v>
      </c>
      <c r="Z26" s="25">
        <f t="shared" si="2"/>
        <v>19531275.539999999</v>
      </c>
      <c r="AA26" s="6" t="b">
        <f t="shared" si="3"/>
        <v>1</v>
      </c>
      <c r="AB26" s="6" t="b">
        <f t="shared" si="4"/>
        <v>0</v>
      </c>
      <c r="AC26" s="27">
        <f t="shared" si="5"/>
        <v>0</v>
      </c>
      <c r="AD26" s="27">
        <f t="shared" si="6"/>
        <v>-37385.889999996871</v>
      </c>
    </row>
    <row r="27" spans="1:30" s="6" customFormat="1" x14ac:dyDescent="0.25">
      <c r="A27" s="6" t="s">
        <v>119</v>
      </c>
      <c r="B27" s="6" t="s">
        <v>65</v>
      </c>
      <c r="C27" s="26" t="s">
        <v>66</v>
      </c>
      <c r="D27" s="6" t="s">
        <v>139</v>
      </c>
      <c r="E27" s="11">
        <v>56392985.359999999</v>
      </c>
      <c r="F27" s="10">
        <v>0</v>
      </c>
      <c r="G27" s="11">
        <v>-14227266.32</v>
      </c>
      <c r="H27" s="11">
        <v>42165719.039999999</v>
      </c>
      <c r="I27" s="11">
        <v>40000000</v>
      </c>
      <c r="J27" s="11">
        <v>665719.04000000004</v>
      </c>
      <c r="K27" s="11">
        <v>40665719.039999999</v>
      </c>
      <c r="L27" s="11">
        <v>1500000</v>
      </c>
      <c r="M27" s="10">
        <v>0</v>
      </c>
      <c r="N27" s="11">
        <v>42165719.039999999</v>
      </c>
      <c r="O27" s="10">
        <v>0</v>
      </c>
      <c r="P27" s="34">
        <v>12752789.529999999</v>
      </c>
      <c r="S27" s="6" t="str">
        <f t="shared" si="1"/>
        <v>CP07</v>
      </c>
      <c r="W27" s="25">
        <f>INDEX('ContractPrice-CDE'!$F:$F,MATCH(B27,'ContractPrice-CDE'!$A:$A,0))</f>
        <v>40000000</v>
      </c>
      <c r="X27" s="25">
        <f t="shared" si="0"/>
        <v>40000000</v>
      </c>
      <c r="Y27" s="25">
        <f>INDEX('ContractPrice-CDE'!$J:$J,MATCH(B27,'ContractPrice-CDE'!$A:$A,0))</f>
        <v>42228922.840000004</v>
      </c>
      <c r="Z27" s="25">
        <f t="shared" si="2"/>
        <v>42165719.039999999</v>
      </c>
      <c r="AA27" s="6" t="b">
        <f t="shared" si="3"/>
        <v>1</v>
      </c>
      <c r="AB27" s="6" t="b">
        <f t="shared" si="4"/>
        <v>0</v>
      </c>
      <c r="AC27" s="27">
        <f t="shared" si="5"/>
        <v>0</v>
      </c>
      <c r="AD27" s="27">
        <f t="shared" si="6"/>
        <v>63203.80000000447</v>
      </c>
    </row>
    <row r="28" spans="1:30" s="6" customFormat="1" x14ac:dyDescent="0.25">
      <c r="A28" s="6" t="s">
        <v>119</v>
      </c>
      <c r="B28" s="6" t="s">
        <v>67</v>
      </c>
      <c r="C28" s="26" t="s">
        <v>68</v>
      </c>
      <c r="D28" s="6" t="s">
        <v>139</v>
      </c>
      <c r="E28" s="11">
        <v>59240036.159999996</v>
      </c>
      <c r="F28" s="10">
        <v>0</v>
      </c>
      <c r="G28" s="11">
        <v>-8819689.0500000007</v>
      </c>
      <c r="H28" s="11">
        <v>50420347.109999999</v>
      </c>
      <c r="I28" s="11">
        <v>52100000</v>
      </c>
      <c r="J28" s="11">
        <v>-1679652.89</v>
      </c>
      <c r="K28" s="11">
        <v>50420347.109999999</v>
      </c>
      <c r="L28" s="10">
        <v>0</v>
      </c>
      <c r="M28" s="10">
        <v>0</v>
      </c>
      <c r="N28" s="11">
        <v>50420347.109999999</v>
      </c>
      <c r="O28" s="10">
        <v>0</v>
      </c>
      <c r="P28" s="34">
        <v>20425971.510000002</v>
      </c>
      <c r="S28" s="6" t="str">
        <f t="shared" si="1"/>
        <v>CP08</v>
      </c>
      <c r="W28" s="25">
        <f>INDEX('ContractPrice-CDE'!$F:$F,MATCH(B28,'ContractPrice-CDE'!$A:$A,0))</f>
        <v>52100000</v>
      </c>
      <c r="X28" s="25">
        <f t="shared" si="0"/>
        <v>52100000</v>
      </c>
      <c r="Y28" s="25">
        <f>INDEX('ContractPrice-CDE'!$J:$J,MATCH(B28,'ContractPrice-CDE'!$A:$A,0))</f>
        <v>50337015.490000002</v>
      </c>
      <c r="Z28" s="25">
        <f t="shared" si="2"/>
        <v>50420347.109999999</v>
      </c>
      <c r="AA28" s="6" t="b">
        <f t="shared" si="3"/>
        <v>1</v>
      </c>
      <c r="AB28" s="6" t="b">
        <f t="shared" si="4"/>
        <v>0</v>
      </c>
      <c r="AC28" s="27">
        <f t="shared" si="5"/>
        <v>0</v>
      </c>
      <c r="AD28" s="27">
        <f t="shared" si="6"/>
        <v>-83331.619999997318</v>
      </c>
    </row>
    <row r="29" spans="1:30" s="6" customFormat="1" x14ac:dyDescent="0.25">
      <c r="A29" s="6" t="s">
        <v>119</v>
      </c>
      <c r="B29" s="6" t="s">
        <v>69</v>
      </c>
      <c r="C29" s="26" t="s">
        <v>70</v>
      </c>
      <c r="D29" s="6" t="s">
        <v>139</v>
      </c>
      <c r="E29" s="11">
        <v>241840141.94</v>
      </c>
      <c r="F29" s="10">
        <v>0</v>
      </c>
      <c r="G29" s="11">
        <v>-23003892.82</v>
      </c>
      <c r="H29" s="11">
        <v>218836249.12</v>
      </c>
      <c r="I29" s="11">
        <v>237116033.84999999</v>
      </c>
      <c r="J29" s="11">
        <v>-18279784.73</v>
      </c>
      <c r="K29" s="11">
        <v>218836249.12</v>
      </c>
      <c r="L29" s="10">
        <v>0</v>
      </c>
      <c r="M29" s="10">
        <v>0</v>
      </c>
      <c r="N29" s="11">
        <v>218836249.12</v>
      </c>
      <c r="O29" s="10">
        <v>0</v>
      </c>
      <c r="P29" s="34">
        <v>44824317.450000003</v>
      </c>
      <c r="S29" s="6" t="str">
        <f t="shared" si="1"/>
        <v>CP09</v>
      </c>
      <c r="W29" s="25">
        <f>INDEX('ContractPrice-CDE'!$F:$F,MATCH(B29,'ContractPrice-CDE'!$A:$A,0))</f>
        <v>237116033.86000001</v>
      </c>
      <c r="X29" s="25">
        <f t="shared" si="0"/>
        <v>237116033.84999999</v>
      </c>
      <c r="Y29" s="25">
        <f>INDEX('ContractPrice-CDE'!$J:$J,MATCH(B29,'ContractPrice-CDE'!$A:$A,0))</f>
        <v>218836249.12</v>
      </c>
      <c r="Z29" s="25">
        <f t="shared" si="2"/>
        <v>218836249.12</v>
      </c>
      <c r="AA29" s="6" t="b">
        <f t="shared" si="3"/>
        <v>0</v>
      </c>
      <c r="AB29" s="6" t="b">
        <f t="shared" si="4"/>
        <v>1</v>
      </c>
      <c r="AC29" s="27">
        <f t="shared" si="5"/>
        <v>1.0000020265579224E-2</v>
      </c>
      <c r="AD29" s="27">
        <f t="shared" si="6"/>
        <v>0</v>
      </c>
    </row>
    <row r="30" spans="1:30" s="6" customFormat="1" x14ac:dyDescent="0.25">
      <c r="A30" s="6" t="s">
        <v>119</v>
      </c>
      <c r="B30" s="6" t="s">
        <v>71</v>
      </c>
      <c r="C30" s="26" t="s">
        <v>72</v>
      </c>
      <c r="D30" s="6" t="s">
        <v>142</v>
      </c>
      <c r="E30" s="11">
        <v>182783692</v>
      </c>
      <c r="F30" s="10">
        <v>0</v>
      </c>
      <c r="G30" s="11">
        <v>-32409850</v>
      </c>
      <c r="H30" s="11">
        <v>150373842</v>
      </c>
      <c r="I30" s="11">
        <v>157326104</v>
      </c>
      <c r="J30" s="11">
        <v>-8952262</v>
      </c>
      <c r="K30" s="11">
        <v>148373842</v>
      </c>
      <c r="L30" s="11">
        <v>2000000</v>
      </c>
      <c r="M30" s="10">
        <v>0</v>
      </c>
      <c r="N30" s="11">
        <v>150373842</v>
      </c>
      <c r="O30" s="10">
        <v>0</v>
      </c>
      <c r="P30" s="34">
        <v>73781440.599999994</v>
      </c>
      <c r="S30" s="6" t="str">
        <f t="shared" si="1"/>
        <v>CP13</v>
      </c>
      <c r="W30" s="25">
        <f>INDEX('ContractPrice-CDE'!$F:$F,MATCH(B30,'ContractPrice-CDE'!$A:$A,0))</f>
        <v>157326104</v>
      </c>
      <c r="X30" s="25">
        <f t="shared" si="0"/>
        <v>157326104</v>
      </c>
      <c r="Y30" s="25">
        <f>INDEX('ContractPrice-CDE'!$J:$J,MATCH(B30,'ContractPrice-CDE'!$A:$A,0))</f>
        <v>149041182</v>
      </c>
      <c r="Z30" s="25">
        <f t="shared" si="2"/>
        <v>150373842</v>
      </c>
      <c r="AA30" s="6" t="b">
        <f t="shared" si="3"/>
        <v>1</v>
      </c>
      <c r="AB30" s="6" t="b">
        <f t="shared" si="4"/>
        <v>0</v>
      </c>
      <c r="AC30" s="27">
        <f t="shared" si="5"/>
        <v>0</v>
      </c>
      <c r="AD30" s="27">
        <f t="shared" si="6"/>
        <v>-1332660</v>
      </c>
    </row>
    <row r="31" spans="1:30" s="6" customFormat="1" x14ac:dyDescent="0.25">
      <c r="A31" s="6" t="s">
        <v>119</v>
      </c>
      <c r="B31" s="6" t="s">
        <v>73</v>
      </c>
      <c r="C31" s="26" t="s">
        <v>74</v>
      </c>
      <c r="D31" s="6" t="s">
        <v>143</v>
      </c>
      <c r="E31" s="11">
        <v>208786112.44999999</v>
      </c>
      <c r="F31" s="10">
        <v>0</v>
      </c>
      <c r="G31" s="11">
        <v>-45463246.170000002</v>
      </c>
      <c r="H31" s="11">
        <v>163322866.28</v>
      </c>
      <c r="I31" s="11">
        <v>170164615.43000001</v>
      </c>
      <c r="J31" s="11">
        <v>-6841749.1500000004</v>
      </c>
      <c r="K31" s="11">
        <v>163322866.28</v>
      </c>
      <c r="L31" s="10">
        <v>0</v>
      </c>
      <c r="M31" s="10">
        <v>0</v>
      </c>
      <c r="N31" s="11">
        <v>163322866.28</v>
      </c>
      <c r="O31" s="10">
        <v>0</v>
      </c>
      <c r="P31" s="34">
        <v>91102436.200000003</v>
      </c>
      <c r="S31" s="6" t="str">
        <f t="shared" si="1"/>
        <v>CP15</v>
      </c>
      <c r="W31" s="25">
        <f>INDEX('ContractPrice-CDE'!$F:$F,MATCH(B31,'ContractPrice-CDE'!$A:$A,0))</f>
        <v>170164615.41999999</v>
      </c>
      <c r="X31" s="25">
        <f t="shared" si="0"/>
        <v>170164615.43000001</v>
      </c>
      <c r="Y31" s="25">
        <f>INDEX('ContractPrice-CDE'!$J:$J,MATCH(B31,'ContractPrice-CDE'!$A:$A,0))</f>
        <v>163162866.29000002</v>
      </c>
      <c r="Z31" s="25">
        <f t="shared" si="2"/>
        <v>163322866.28</v>
      </c>
      <c r="AA31" s="6" t="b">
        <f t="shared" si="3"/>
        <v>0</v>
      </c>
      <c r="AB31" s="6" t="b">
        <f t="shared" si="4"/>
        <v>0</v>
      </c>
      <c r="AC31" s="27">
        <f t="shared" si="5"/>
        <v>-1.0000020265579224E-2</v>
      </c>
      <c r="AD31" s="27">
        <f t="shared" si="6"/>
        <v>-159999.98999997973</v>
      </c>
    </row>
    <row r="32" spans="1:30" s="6" customFormat="1" x14ac:dyDescent="0.25">
      <c r="A32" s="6" t="s">
        <v>119</v>
      </c>
      <c r="B32" s="6" t="s">
        <v>75</v>
      </c>
      <c r="C32" s="26" t="s">
        <v>76</v>
      </c>
      <c r="D32" s="6" t="s">
        <v>144</v>
      </c>
      <c r="E32" s="11">
        <v>31424458.890000001</v>
      </c>
      <c r="F32" s="10">
        <v>0</v>
      </c>
      <c r="G32" s="11">
        <v>-5784378.8899999997</v>
      </c>
      <c r="H32" s="11">
        <v>25640080</v>
      </c>
      <c r="I32" s="11">
        <v>24140080</v>
      </c>
      <c r="J32" s="10">
        <v>0</v>
      </c>
      <c r="K32" s="11">
        <v>24140080</v>
      </c>
      <c r="L32" s="11">
        <v>1500000</v>
      </c>
      <c r="M32" s="10">
        <v>0</v>
      </c>
      <c r="N32" s="11">
        <v>25640080</v>
      </c>
      <c r="O32" s="10">
        <v>0</v>
      </c>
      <c r="P32" s="34">
        <v>19353192.300000001</v>
      </c>
      <c r="S32" s="6" t="str">
        <f t="shared" si="1"/>
        <v>OP12</v>
      </c>
      <c r="W32" s="25">
        <f>INDEX('ContractPrice-CDE'!$F:$F,MATCH(B32,'ContractPrice-CDE'!$A:$A,0))</f>
        <v>24140080</v>
      </c>
      <c r="X32" s="25">
        <f t="shared" si="0"/>
        <v>24140080</v>
      </c>
      <c r="Y32" s="25">
        <f>INDEX('ContractPrice-CDE'!$J:$J,MATCH(B32,'ContractPrice-CDE'!$A:$A,0))</f>
        <v>25640080</v>
      </c>
      <c r="Z32" s="25">
        <f t="shared" si="2"/>
        <v>25640080</v>
      </c>
      <c r="AA32" s="6" t="b">
        <f t="shared" si="3"/>
        <v>1</v>
      </c>
      <c r="AB32" s="6" t="b">
        <f t="shared" si="4"/>
        <v>1</v>
      </c>
      <c r="AC32" s="27">
        <f t="shared" si="5"/>
        <v>0</v>
      </c>
      <c r="AD32" s="27">
        <f t="shared" si="6"/>
        <v>0</v>
      </c>
    </row>
    <row r="33" spans="1:30" s="6" customFormat="1" x14ac:dyDescent="0.25">
      <c r="A33" s="6" t="s">
        <v>119</v>
      </c>
      <c r="B33" s="6" t="s">
        <v>77</v>
      </c>
      <c r="C33" s="26" t="s">
        <v>78</v>
      </c>
      <c r="D33" s="6" t="s">
        <v>145</v>
      </c>
      <c r="E33" s="11">
        <v>38030551.960000001</v>
      </c>
      <c r="F33" s="10">
        <v>0</v>
      </c>
      <c r="G33" s="11">
        <v>-391450.09</v>
      </c>
      <c r="H33" s="11">
        <v>37639101.869999997</v>
      </c>
      <c r="I33" s="11">
        <v>35000000</v>
      </c>
      <c r="J33" s="11">
        <v>1639101.87</v>
      </c>
      <c r="K33" s="11">
        <v>36639101.869999997</v>
      </c>
      <c r="L33" s="11">
        <v>1000000</v>
      </c>
      <c r="M33" s="10">
        <v>0</v>
      </c>
      <c r="N33" s="11">
        <v>37639101.869999997</v>
      </c>
      <c r="O33" s="10">
        <v>0</v>
      </c>
      <c r="P33" s="34">
        <v>33216972.359999999</v>
      </c>
      <c r="S33" s="6" t="str">
        <f t="shared" si="1"/>
        <v>OP13</v>
      </c>
      <c r="W33" s="25">
        <f>INDEX('ContractPrice-CDE'!$F:$F,MATCH(B33,'ContractPrice-CDE'!$A:$A,0))</f>
        <v>35000000</v>
      </c>
      <c r="X33" s="25">
        <f t="shared" si="0"/>
        <v>35000000</v>
      </c>
      <c r="Y33" s="25">
        <f>INDEX('ContractPrice-CDE'!$J:$J,MATCH(B33,'ContractPrice-CDE'!$A:$A,0))</f>
        <v>37663906.68</v>
      </c>
      <c r="Z33" s="25">
        <f t="shared" si="2"/>
        <v>37639101.869999997</v>
      </c>
      <c r="AA33" s="6" t="b">
        <f t="shared" si="3"/>
        <v>1</v>
      </c>
      <c r="AB33" s="6" t="b">
        <f t="shared" si="4"/>
        <v>0</v>
      </c>
      <c r="AC33" s="27">
        <f t="shared" si="5"/>
        <v>0</v>
      </c>
      <c r="AD33" s="27">
        <f t="shared" si="6"/>
        <v>24804.810000002384</v>
      </c>
    </row>
    <row r="34" spans="1:30" x14ac:dyDescent="0.25">
      <c r="A34" t="s">
        <v>119</v>
      </c>
      <c r="B34" t="s">
        <v>79</v>
      </c>
      <c r="C34" s="2" t="s">
        <v>80</v>
      </c>
      <c r="D34" t="s">
        <v>81</v>
      </c>
      <c r="E34" s="5">
        <v>42792486</v>
      </c>
      <c r="F34" s="4">
        <v>0</v>
      </c>
      <c r="G34" s="5">
        <v>-28501779.48</v>
      </c>
      <c r="H34" s="11">
        <v>14290706.52</v>
      </c>
      <c r="I34" s="11">
        <v>11200000</v>
      </c>
      <c r="J34" s="15">
        <v>90706.52</v>
      </c>
      <c r="K34" s="5">
        <v>11290706.52</v>
      </c>
      <c r="L34" s="5">
        <v>3000000</v>
      </c>
      <c r="M34" s="4">
        <v>0</v>
      </c>
      <c r="N34" s="5">
        <v>14290706.52</v>
      </c>
      <c r="O34" s="4">
        <v>0</v>
      </c>
      <c r="P34" s="33">
        <v>10724890.73</v>
      </c>
      <c r="S34" t="str">
        <f t="shared" si="1"/>
        <v>OP15</v>
      </c>
      <c r="W34" s="20">
        <f>INDEX('ContractPrice-CDE'!$F:$F,MATCH(B34,'ContractPrice-CDE'!$A:$A,0))</f>
        <v>11200000</v>
      </c>
      <c r="X34" s="20">
        <f t="shared" si="0"/>
        <v>11200000</v>
      </c>
      <c r="Y34" s="20">
        <f>INDEX('ContractPrice-CDE'!$J:$J,MATCH(B34,'ContractPrice-CDE'!$A:$A,0))</f>
        <v>14290706.52</v>
      </c>
      <c r="Z34" s="20">
        <f t="shared" si="2"/>
        <v>14290706.52</v>
      </c>
      <c r="AA34" t="b">
        <f t="shared" si="3"/>
        <v>1</v>
      </c>
      <c r="AB34" t="b">
        <f t="shared" si="4"/>
        <v>1</v>
      </c>
      <c r="AC34" s="22">
        <f t="shared" si="5"/>
        <v>0</v>
      </c>
      <c r="AD34" s="22">
        <f t="shared" si="6"/>
        <v>0</v>
      </c>
    </row>
    <row r="35" spans="1:30" x14ac:dyDescent="0.25">
      <c r="A35" t="s">
        <v>119</v>
      </c>
      <c r="B35" t="s">
        <v>82</v>
      </c>
      <c r="C35" s="2" t="s">
        <v>83</v>
      </c>
      <c r="D35" t="s">
        <v>84</v>
      </c>
      <c r="E35" s="5">
        <v>7988909.5</v>
      </c>
      <c r="F35" s="4">
        <v>0</v>
      </c>
      <c r="G35" s="5">
        <v>64405.8</v>
      </c>
      <c r="H35" s="11">
        <v>8053315.2999999998</v>
      </c>
      <c r="I35" s="11">
        <v>7988909.5</v>
      </c>
      <c r="J35" s="15">
        <v>64405.8</v>
      </c>
      <c r="K35" s="5">
        <v>8053315.2999999998</v>
      </c>
      <c r="L35" s="4">
        <v>0</v>
      </c>
      <c r="M35" s="4">
        <v>0</v>
      </c>
      <c r="N35" s="5">
        <v>8053315.2999999998</v>
      </c>
      <c r="O35" s="4">
        <v>0</v>
      </c>
      <c r="P35" s="4">
        <v>0</v>
      </c>
      <c r="S35" t="str">
        <f t="shared" si="1"/>
        <v>OP18</v>
      </c>
      <c r="W35" s="20">
        <f>INDEX('ContractPrice-CDE'!$F:$F,MATCH(B35,'ContractPrice-CDE'!$A:$A,0))</f>
        <v>7988909.5099999998</v>
      </c>
      <c r="X35" s="20">
        <f t="shared" si="0"/>
        <v>7988909.5</v>
      </c>
      <c r="Y35" s="20">
        <f>INDEX('ContractPrice-CDE'!$J:$J,MATCH(B35,'ContractPrice-CDE'!$A:$A,0))</f>
        <v>8053315.3100000005</v>
      </c>
      <c r="Z35" s="20">
        <f t="shared" si="2"/>
        <v>8053315.2999999998</v>
      </c>
      <c r="AA35" t="b">
        <f t="shared" si="3"/>
        <v>0</v>
      </c>
      <c r="AB35" t="b">
        <f t="shared" si="4"/>
        <v>0</v>
      </c>
      <c r="AC35" s="22">
        <f t="shared" si="5"/>
        <v>9.9999997764825821E-3</v>
      </c>
      <c r="AD35" s="22">
        <f t="shared" si="6"/>
        <v>1.0000000707805157E-2</v>
      </c>
    </row>
    <row r="36" spans="1:30" ht="30" x14ac:dyDescent="0.25">
      <c r="A36" t="s">
        <v>119</v>
      </c>
      <c r="B36" t="s">
        <v>85</v>
      </c>
      <c r="C36" s="2" t="s">
        <v>146</v>
      </c>
      <c r="D36" t="s">
        <v>147</v>
      </c>
      <c r="E36" s="5">
        <v>93951488</v>
      </c>
      <c r="F36" s="4">
        <v>0</v>
      </c>
      <c r="G36" s="5">
        <v>-1532194.83</v>
      </c>
      <c r="H36" s="11">
        <v>92419293.170000002</v>
      </c>
      <c r="I36" s="11">
        <v>78000000</v>
      </c>
      <c r="J36" s="15">
        <v>9419293.1699999999</v>
      </c>
      <c r="K36" s="5">
        <v>87419293.170000002</v>
      </c>
      <c r="L36" s="5">
        <v>5000000</v>
      </c>
      <c r="M36" s="4">
        <v>0</v>
      </c>
      <c r="N36" s="5">
        <v>92419293.170000002</v>
      </c>
      <c r="O36" s="4">
        <v>0</v>
      </c>
      <c r="P36" s="33">
        <v>45063807.57</v>
      </c>
      <c r="S36" t="str">
        <f t="shared" si="1"/>
        <v>OP27</v>
      </c>
      <c r="W36" s="20">
        <f>INDEX('ContractPrice-CDE'!$F:$F,MATCH(B36,'ContractPrice-CDE'!$A:$A,0))</f>
        <v>78000000</v>
      </c>
      <c r="X36" s="20">
        <f t="shared" si="0"/>
        <v>78000000</v>
      </c>
      <c r="Y36" s="20">
        <f>INDEX('ContractPrice-CDE'!$J:$J,MATCH(B36,'ContractPrice-CDE'!$A:$A,0))</f>
        <v>92419293.170000002</v>
      </c>
      <c r="Z36" s="20">
        <f t="shared" si="2"/>
        <v>92419293.170000002</v>
      </c>
      <c r="AA36" t="b">
        <f t="shared" si="3"/>
        <v>1</v>
      </c>
      <c r="AB36" t="b">
        <f t="shared" si="4"/>
        <v>1</v>
      </c>
      <c r="AC36" s="22">
        <f t="shared" si="5"/>
        <v>0</v>
      </c>
      <c r="AD36" s="22">
        <f t="shared" si="6"/>
        <v>0</v>
      </c>
    </row>
    <row r="37" spans="1:30" ht="30" x14ac:dyDescent="0.25">
      <c r="A37" t="s">
        <v>120</v>
      </c>
      <c r="B37" t="s">
        <v>121</v>
      </c>
      <c r="C37" s="2" t="s">
        <v>148</v>
      </c>
      <c r="D37" t="s">
        <v>84</v>
      </c>
      <c r="E37" s="5">
        <v>14870408.310000001</v>
      </c>
      <c r="F37" s="4">
        <v>0</v>
      </c>
      <c r="G37" s="4">
        <v>0</v>
      </c>
      <c r="H37" s="11">
        <v>14870408.310000001</v>
      </c>
      <c r="I37" s="11">
        <v>14870408.310000001</v>
      </c>
      <c r="J37" s="14">
        <v>0</v>
      </c>
      <c r="K37" s="5">
        <v>14870408.310000001</v>
      </c>
      <c r="L37" s="4">
        <v>0</v>
      </c>
      <c r="M37" s="4">
        <v>0</v>
      </c>
      <c r="N37" s="5">
        <v>14870408.310000001</v>
      </c>
      <c r="O37" s="4">
        <v>0</v>
      </c>
      <c r="P37" s="4">
        <v>0</v>
      </c>
      <c r="S37" t="str">
        <f t="shared" si="1"/>
        <v>CP05C</v>
      </c>
      <c r="W37" s="20">
        <f>INDEX('ContractPrice-CDE'!$F:$F,MATCH(B37,'ContractPrice-CDE'!$A:$A,0))</f>
        <v>14870408.309999999</v>
      </c>
      <c r="X37" s="20">
        <f t="shared" si="0"/>
        <v>14870408.310000001</v>
      </c>
      <c r="Y37" s="20">
        <f>INDEX('ContractPrice-CDE'!$J:$J,MATCH(B37,'ContractPrice-CDE'!$A:$A,0))</f>
        <v>14870408.309999999</v>
      </c>
      <c r="Z37" s="20">
        <f t="shared" si="2"/>
        <v>14870408.310000001</v>
      </c>
      <c r="AA37" t="b">
        <f t="shared" si="3"/>
        <v>1</v>
      </c>
      <c r="AB37" t="b">
        <f t="shared" si="4"/>
        <v>1</v>
      </c>
      <c r="AC37" s="22">
        <f t="shared" si="5"/>
        <v>-1.862645149230957E-9</v>
      </c>
      <c r="AD37" s="22">
        <f t="shared" si="6"/>
        <v>-1.862645149230957E-9</v>
      </c>
    </row>
    <row r="38" spans="1:30" s="6" customFormat="1" ht="30" x14ac:dyDescent="0.25">
      <c r="A38" s="6" t="s">
        <v>120</v>
      </c>
      <c r="B38" s="6" t="s">
        <v>86</v>
      </c>
      <c r="C38" s="26" t="s">
        <v>149</v>
      </c>
      <c r="D38" s="6" t="s">
        <v>150</v>
      </c>
      <c r="E38" s="11">
        <v>68309768.890000001</v>
      </c>
      <c r="F38" s="10">
        <v>0</v>
      </c>
      <c r="G38" s="11">
        <v>-39047256.350000001</v>
      </c>
      <c r="H38" s="11">
        <v>29262512.539999999</v>
      </c>
      <c r="I38" s="11">
        <v>23000000</v>
      </c>
      <c r="J38" s="11">
        <v>3262512.54</v>
      </c>
      <c r="K38" s="11">
        <v>26262512.539999999</v>
      </c>
      <c r="L38" s="11">
        <v>3000000</v>
      </c>
      <c r="M38" s="10">
        <v>0</v>
      </c>
      <c r="N38" s="11">
        <v>29262512.539999999</v>
      </c>
      <c r="O38" s="10">
        <v>0</v>
      </c>
      <c r="P38" s="34">
        <v>4467215.6500000004</v>
      </c>
      <c r="S38" s="6" t="str">
        <f t="shared" si="1"/>
        <v>CP05D</v>
      </c>
      <c r="W38" s="25">
        <f>INDEX('ContractPrice-CDE'!$F:$F,MATCH(B38,'ContractPrice-CDE'!$A:$A,0))</f>
        <v>23000000</v>
      </c>
      <c r="X38" s="25">
        <f t="shared" si="0"/>
        <v>23000000</v>
      </c>
      <c r="Y38" s="25">
        <f>INDEX('ContractPrice-CDE'!$J:$J,MATCH(B38,'ContractPrice-CDE'!$A:$A,0))</f>
        <v>26239282.220000006</v>
      </c>
      <c r="Z38" s="25">
        <f t="shared" si="2"/>
        <v>29262512.539999999</v>
      </c>
      <c r="AA38" s="6" t="b">
        <f t="shared" si="3"/>
        <v>1</v>
      </c>
      <c r="AB38" s="6" t="b">
        <f t="shared" si="4"/>
        <v>0</v>
      </c>
      <c r="AC38" s="27">
        <f t="shared" si="5"/>
        <v>0</v>
      </c>
      <c r="AD38" s="27">
        <f t="shared" si="6"/>
        <v>-3023230.3199999928</v>
      </c>
    </row>
    <row r="39" spans="1:30" ht="30" x14ac:dyDescent="0.25">
      <c r="A39" t="s">
        <v>120</v>
      </c>
      <c r="B39" t="s">
        <v>87</v>
      </c>
      <c r="C39" s="2" t="s">
        <v>152</v>
      </c>
      <c r="D39" t="s">
        <v>151</v>
      </c>
      <c r="E39" s="5">
        <v>58476218.700000003</v>
      </c>
      <c r="F39" s="4">
        <v>0</v>
      </c>
      <c r="G39" s="5">
        <v>-25696592.350000001</v>
      </c>
      <c r="H39" s="11">
        <v>32779626.350000001</v>
      </c>
      <c r="I39" s="11">
        <v>28000000</v>
      </c>
      <c r="J39" s="15">
        <v>-220373.65</v>
      </c>
      <c r="K39" s="5">
        <v>27779626.350000001</v>
      </c>
      <c r="L39" s="5">
        <v>5000000</v>
      </c>
      <c r="M39" s="4">
        <v>0</v>
      </c>
      <c r="N39" s="5">
        <v>32779626.350000001</v>
      </c>
      <c r="O39" s="4">
        <v>0</v>
      </c>
      <c r="P39" s="33">
        <v>2800000</v>
      </c>
      <c r="S39" t="str">
        <f t="shared" si="1"/>
        <v>CP06E</v>
      </c>
      <c r="W39" s="20">
        <f>INDEX('ContractPrice-CDE'!$F:$F,MATCH(B39,'ContractPrice-CDE'!$A:$A,0))</f>
        <v>28000000</v>
      </c>
      <c r="X39" s="20">
        <f t="shared" si="0"/>
        <v>28000000</v>
      </c>
      <c r="Y39" s="20">
        <f>INDEX('ContractPrice-CDE'!$J:$J,MATCH(B39,'ContractPrice-CDE'!$A:$A,0))</f>
        <v>32779626.349999994</v>
      </c>
      <c r="Z39" s="20">
        <f t="shared" si="2"/>
        <v>32779626.350000001</v>
      </c>
      <c r="AA39" t="b">
        <f t="shared" si="3"/>
        <v>1</v>
      </c>
      <c r="AB39" t="b">
        <f t="shared" si="4"/>
        <v>1</v>
      </c>
      <c r="AC39" s="22">
        <f t="shared" si="5"/>
        <v>0</v>
      </c>
      <c r="AD39" s="22">
        <f t="shared" si="6"/>
        <v>-7.4505805969238281E-9</v>
      </c>
    </row>
    <row r="40" spans="1:30" ht="30" x14ac:dyDescent="0.25">
      <c r="A40" t="s">
        <v>120</v>
      </c>
      <c r="B40" t="s">
        <v>88</v>
      </c>
      <c r="C40" s="2" t="s">
        <v>153</v>
      </c>
      <c r="D40" t="s">
        <v>154</v>
      </c>
      <c r="E40" s="5">
        <v>23705175.989999998</v>
      </c>
      <c r="F40" s="4">
        <v>0</v>
      </c>
      <c r="G40" s="5">
        <v>-1514179.27</v>
      </c>
      <c r="H40" s="11">
        <v>22190996.719999999</v>
      </c>
      <c r="I40" s="11">
        <v>22000000</v>
      </c>
      <c r="J40" s="15">
        <v>-309003.28000000003</v>
      </c>
      <c r="K40" s="5">
        <v>21690996.719999999</v>
      </c>
      <c r="L40" s="5">
        <v>500000</v>
      </c>
      <c r="M40" s="4">
        <v>0</v>
      </c>
      <c r="N40" s="5">
        <v>22190996.719999999</v>
      </c>
      <c r="O40" s="4">
        <v>0</v>
      </c>
      <c r="P40" s="33">
        <v>10598876.109999999</v>
      </c>
      <c r="S40" t="str">
        <f t="shared" si="1"/>
        <v>CP06F</v>
      </c>
      <c r="W40" s="20">
        <f>INDEX('ContractPrice-CDE'!$F:$F,MATCH(B40,'ContractPrice-CDE'!$A:$A,0))</f>
        <v>22000000</v>
      </c>
      <c r="X40" s="20">
        <f t="shared" si="0"/>
        <v>22000000</v>
      </c>
      <c r="Y40" s="20">
        <f>INDEX('ContractPrice-CDE'!$J:$J,MATCH(B40,'ContractPrice-CDE'!$A:$A,0))</f>
        <v>22190996.719999999</v>
      </c>
      <c r="Z40" s="20">
        <f t="shared" si="2"/>
        <v>22190996.719999999</v>
      </c>
      <c r="AA40" t="b">
        <f t="shared" si="3"/>
        <v>1</v>
      </c>
      <c r="AB40" t="b">
        <f t="shared" si="4"/>
        <v>1</v>
      </c>
      <c r="AC40" s="22">
        <f t="shared" si="5"/>
        <v>0</v>
      </c>
      <c r="AD40" s="22">
        <f t="shared" si="6"/>
        <v>0</v>
      </c>
    </row>
    <row r="41" spans="1:30" x14ac:dyDescent="0.25">
      <c r="A41" t="s">
        <v>120</v>
      </c>
      <c r="B41" t="s">
        <v>89</v>
      </c>
      <c r="C41" s="2" t="s">
        <v>90</v>
      </c>
      <c r="D41" t="s">
        <v>84</v>
      </c>
      <c r="E41" s="5">
        <v>900000</v>
      </c>
      <c r="F41" s="4">
        <v>0</v>
      </c>
      <c r="G41" s="4">
        <v>0</v>
      </c>
      <c r="H41" s="11">
        <v>900000</v>
      </c>
      <c r="I41" s="11">
        <v>900000</v>
      </c>
      <c r="J41" s="14">
        <v>0</v>
      </c>
      <c r="K41" s="5">
        <v>900000</v>
      </c>
      <c r="L41" s="4">
        <v>0</v>
      </c>
      <c r="M41" s="4">
        <v>0</v>
      </c>
      <c r="N41" s="5">
        <v>900000</v>
      </c>
      <c r="O41" s="4">
        <v>0</v>
      </c>
      <c r="P41" s="4">
        <v>0</v>
      </c>
      <c r="S41" t="str">
        <f t="shared" si="1"/>
        <v>CP26</v>
      </c>
      <c r="W41" s="20">
        <f>INDEX('ContractPrice-CDE'!$F:$F,MATCH(B41,'ContractPrice-CDE'!$A:$A,0))</f>
        <v>900000</v>
      </c>
      <c r="X41" s="20">
        <f t="shared" si="0"/>
        <v>900000</v>
      </c>
      <c r="Y41" s="20">
        <f>INDEX('ContractPrice-CDE'!$J:$J,MATCH(B41,'ContractPrice-CDE'!$A:$A,0))</f>
        <v>900000</v>
      </c>
      <c r="Z41" s="20">
        <f t="shared" si="2"/>
        <v>900000</v>
      </c>
      <c r="AA41" t="b">
        <f t="shared" si="3"/>
        <v>1</v>
      </c>
      <c r="AB41" t="b">
        <f t="shared" si="4"/>
        <v>1</v>
      </c>
      <c r="AC41" s="22">
        <f t="shared" si="5"/>
        <v>0</v>
      </c>
      <c r="AD41" s="22">
        <f t="shared" si="6"/>
        <v>0</v>
      </c>
    </row>
    <row r="42" spans="1:30" s="6" customFormat="1" x14ac:dyDescent="0.25">
      <c r="A42" s="6" t="s">
        <v>120</v>
      </c>
      <c r="B42" s="6" t="s">
        <v>91</v>
      </c>
      <c r="C42" s="26" t="s">
        <v>92</v>
      </c>
      <c r="D42" s="6" t="s">
        <v>84</v>
      </c>
      <c r="E42" s="11">
        <v>6000000</v>
      </c>
      <c r="F42" s="10">
        <v>0</v>
      </c>
      <c r="G42" s="11">
        <v>48027.06</v>
      </c>
      <c r="H42" s="11">
        <v>6048027.0599999996</v>
      </c>
      <c r="I42" s="11">
        <v>6000000</v>
      </c>
      <c r="J42" s="11">
        <v>48027.06</v>
      </c>
      <c r="K42" s="11">
        <v>6048027.0599999996</v>
      </c>
      <c r="L42" s="10">
        <v>0</v>
      </c>
      <c r="M42" s="10">
        <v>0</v>
      </c>
      <c r="N42" s="11">
        <v>6048027.0599999996</v>
      </c>
      <c r="O42" s="10">
        <v>0</v>
      </c>
      <c r="P42" s="10">
        <v>0</v>
      </c>
      <c r="S42" s="6" t="str">
        <f t="shared" si="1"/>
        <v>CP31</v>
      </c>
      <c r="W42" s="25">
        <f>INDEX('ContractPrice-CDE'!$F:$F,MATCH(B42,'ContractPrice-CDE'!$A:$A,0))</f>
        <v>6000000</v>
      </c>
      <c r="X42" s="25">
        <f t="shared" si="0"/>
        <v>6000000</v>
      </c>
      <c r="Y42" s="25">
        <f>INDEX('ContractPrice-CDE'!$J:$J,MATCH(B42,'ContractPrice-CDE'!$A:$A,0))</f>
        <v>6004625.0999999996</v>
      </c>
      <c r="Z42" s="25">
        <f t="shared" si="2"/>
        <v>6048027.0599999996</v>
      </c>
      <c r="AA42" s="6" t="b">
        <f t="shared" si="3"/>
        <v>1</v>
      </c>
      <c r="AB42" s="6" t="b">
        <f t="shared" si="4"/>
        <v>0</v>
      </c>
      <c r="AC42" s="27">
        <f t="shared" si="5"/>
        <v>0</v>
      </c>
      <c r="AD42" s="27">
        <f t="shared" si="6"/>
        <v>-43401.959999999963</v>
      </c>
    </row>
    <row r="43" spans="1:30" ht="30" x14ac:dyDescent="0.25">
      <c r="A43" t="s">
        <v>93</v>
      </c>
      <c r="B43" t="s">
        <v>94</v>
      </c>
      <c r="C43" s="2" t="s">
        <v>155</v>
      </c>
      <c r="D43" t="s">
        <v>156</v>
      </c>
      <c r="E43" s="5">
        <v>62288221.200000003</v>
      </c>
      <c r="F43" s="4">
        <v>0</v>
      </c>
      <c r="G43" s="5">
        <v>-4345008.3899999997</v>
      </c>
      <c r="H43" s="11">
        <v>57943212.810000002</v>
      </c>
      <c r="I43" s="11">
        <v>59000000</v>
      </c>
      <c r="J43" s="15">
        <v>-2056787.19</v>
      </c>
      <c r="K43" s="5">
        <v>56943212.810000002</v>
      </c>
      <c r="L43" s="5">
        <v>1000000</v>
      </c>
      <c r="M43" s="4">
        <v>0</v>
      </c>
      <c r="N43" s="5">
        <v>57943212.810000002</v>
      </c>
      <c r="O43" s="4">
        <v>0</v>
      </c>
      <c r="P43" s="33">
        <v>5900000</v>
      </c>
      <c r="S43" t="str">
        <f t="shared" si="1"/>
        <v>CP17</v>
      </c>
      <c r="W43" s="20">
        <f>INDEX('ContractPrice-CDE'!$F:$F,MATCH(B43,'ContractPrice-CDE'!$A:$A,0))</f>
        <v>59000000</v>
      </c>
      <c r="X43" s="20">
        <f t="shared" si="0"/>
        <v>59000000</v>
      </c>
      <c r="Y43" s="20">
        <f>INDEX('ContractPrice-CDE'!$J:$J,MATCH(B43,'ContractPrice-CDE'!$A:$A,0))</f>
        <v>57943212.810000002</v>
      </c>
      <c r="Z43" s="20">
        <f t="shared" si="2"/>
        <v>57943212.810000002</v>
      </c>
      <c r="AA43" t="b">
        <f t="shared" si="3"/>
        <v>1</v>
      </c>
      <c r="AB43" t="b">
        <f t="shared" si="4"/>
        <v>1</v>
      </c>
      <c r="AC43" s="22">
        <f t="shared" si="5"/>
        <v>0</v>
      </c>
      <c r="AD43" s="22">
        <f t="shared" si="6"/>
        <v>0</v>
      </c>
    </row>
    <row r="44" spans="1:30" x14ac:dyDescent="0.25">
      <c r="A44" t="s">
        <v>93</v>
      </c>
      <c r="B44" t="s">
        <v>95</v>
      </c>
      <c r="C44" s="2" t="s">
        <v>96</v>
      </c>
      <c r="D44" t="s">
        <v>156</v>
      </c>
      <c r="E44" s="4">
        <v>0</v>
      </c>
      <c r="F44" s="4">
        <v>0</v>
      </c>
      <c r="G44" s="4">
        <v>0</v>
      </c>
      <c r="H44" s="10">
        <v>0</v>
      </c>
      <c r="I44" s="10">
        <v>0</v>
      </c>
      <c r="J44" s="14">
        <v>0</v>
      </c>
      <c r="K44" s="4">
        <v>0</v>
      </c>
      <c r="L44" s="4">
        <v>0</v>
      </c>
      <c r="M44" s="4">
        <v>0</v>
      </c>
      <c r="N44" s="4">
        <v>0</v>
      </c>
      <c r="O44" s="4">
        <v>0</v>
      </c>
      <c r="P44" s="4">
        <v>0</v>
      </c>
      <c r="S44" t="str">
        <f t="shared" si="1"/>
        <v>OP30</v>
      </c>
      <c r="W44" s="23"/>
      <c r="X44" s="20">
        <f t="shared" si="0"/>
        <v>0</v>
      </c>
      <c r="Y44" s="23"/>
      <c r="Z44" s="20">
        <f t="shared" si="2"/>
        <v>0</v>
      </c>
      <c r="AA44" t="b">
        <f t="shared" si="3"/>
        <v>1</v>
      </c>
      <c r="AB44" t="b">
        <f t="shared" si="4"/>
        <v>1</v>
      </c>
      <c r="AC44" s="22">
        <f t="shared" si="5"/>
        <v>0</v>
      </c>
      <c r="AD44" s="22">
        <f t="shared" si="6"/>
        <v>0</v>
      </c>
    </row>
    <row r="45" spans="1:30" x14ac:dyDescent="0.25">
      <c r="A45" t="s">
        <v>122</v>
      </c>
      <c r="B45" t="s">
        <v>158</v>
      </c>
      <c r="C45" s="2" t="s">
        <v>97</v>
      </c>
      <c r="D45" t="s">
        <v>84</v>
      </c>
      <c r="E45" s="5">
        <v>48780524.539999999</v>
      </c>
      <c r="F45" s="4">
        <v>0</v>
      </c>
      <c r="G45" s="5">
        <v>445135770.75999999</v>
      </c>
      <c r="H45" s="11">
        <v>493916295.30000001</v>
      </c>
      <c r="I45" s="10">
        <v>0</v>
      </c>
      <c r="J45" s="14">
        <v>0</v>
      </c>
      <c r="K45" s="4">
        <v>0</v>
      </c>
      <c r="L45" s="5">
        <v>493916295.30000001</v>
      </c>
      <c r="N45" s="5">
        <v>493916295.30000001</v>
      </c>
      <c r="O45" s="4">
        <v>0</v>
      </c>
      <c r="P45" s="4">
        <v>0</v>
      </c>
      <c r="S45" t="str">
        <f t="shared" si="1"/>
        <v>Con</v>
      </c>
      <c r="W45" s="20">
        <f>INDEX('ContractPrice-CDE'!$F:$F,MATCH(B45,'ContractPrice-CDE'!$A:$A,0))</f>
        <v>0</v>
      </c>
      <c r="X45" s="20">
        <f t="shared" si="0"/>
        <v>0</v>
      </c>
      <c r="Y45" s="20">
        <f>INDEX('ContractPrice-CDE'!$J:$J,MATCH(B45,'ContractPrice-CDE'!$A:$A,0))</f>
        <v>506939469.54999995</v>
      </c>
      <c r="Z45" s="20">
        <f t="shared" si="2"/>
        <v>493916295.30000001</v>
      </c>
      <c r="AA45" t="b">
        <f t="shared" si="3"/>
        <v>1</v>
      </c>
      <c r="AB45" t="b">
        <f t="shared" si="4"/>
        <v>0</v>
      </c>
      <c r="AC45" s="22">
        <f t="shared" si="5"/>
        <v>0</v>
      </c>
      <c r="AD45" s="22">
        <f t="shared" si="6"/>
        <v>13023174.24999994</v>
      </c>
    </row>
    <row r="46" spans="1:30" x14ac:dyDescent="0.25">
      <c r="H46" s="25"/>
      <c r="I46" s="25"/>
      <c r="S46" t="s">
        <v>218</v>
      </c>
      <c r="W46" s="20">
        <f>SUM(W1:W45)</f>
        <v>2960161571.8099999</v>
      </c>
      <c r="X46" s="20">
        <f>SUM(X1:X45)</f>
        <v>2960161571.7999997</v>
      </c>
      <c r="Y46" s="20">
        <f>SUM(Y1:Y45)</f>
        <v>3560764158.9999981</v>
      </c>
      <c r="Z46" s="20">
        <f>SUM(Z1:Z45)</f>
        <v>3560764159.0299993</v>
      </c>
      <c r="AA46" t="b">
        <f t="shared" si="3"/>
        <v>0</v>
      </c>
      <c r="AB46" t="b">
        <f t="shared" si="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D0C91-B43C-48FE-AA04-C33C5D3ED505}">
  <sheetPr>
    <tabColor theme="0" tint="-0.249977111117893"/>
  </sheetPr>
  <dimension ref="A1:AJ48"/>
  <sheetViews>
    <sheetView topLeftCell="V1" zoomScale="55" zoomScaleNormal="55" workbookViewId="0">
      <pane ySplit="495" topLeftCell="A33" activePane="bottomLeft"/>
      <selection activeCell="AC1" sqref="AC1:AC1048576"/>
      <selection pane="bottomLeft" activeCell="AH44" sqref="AH44"/>
    </sheetView>
  </sheetViews>
  <sheetFormatPr defaultRowHeight="15" x14ac:dyDescent="0.25"/>
  <cols>
    <col min="2" max="2" width="57.140625" bestFit="1" customWidth="1"/>
    <col min="3" max="3" width="18.5703125" bestFit="1" customWidth="1"/>
    <col min="4" max="4" width="18.85546875" bestFit="1" customWidth="1"/>
    <col min="5" max="5" width="20.28515625" bestFit="1" customWidth="1"/>
    <col min="6" max="6" width="21.5703125" bestFit="1" customWidth="1"/>
    <col min="7" max="7" width="20.28515625" bestFit="1" customWidth="1"/>
    <col min="8" max="8" width="20" bestFit="1" customWidth="1"/>
    <col min="9" max="10" width="20.28515625" bestFit="1" customWidth="1"/>
    <col min="11" max="12" width="20.28515625" customWidth="1"/>
    <col min="13" max="13" width="24.85546875" bestFit="1" customWidth="1"/>
    <col min="14" max="15" width="24.85546875" customWidth="1"/>
    <col min="16" max="16" width="21.140625" bestFit="1" customWidth="1"/>
    <col min="17" max="18" width="26.140625" bestFit="1" customWidth="1"/>
    <col min="19" max="20" width="24.85546875" customWidth="1"/>
    <col min="21" max="21" width="20.7109375" style="38" bestFit="1" customWidth="1"/>
    <col min="22" max="22" width="19.140625" style="38" bestFit="1" customWidth="1"/>
    <col min="23" max="23" width="34.28515625" bestFit="1" customWidth="1"/>
    <col min="24" max="24" width="22.7109375" customWidth="1"/>
    <col min="25" max="25" width="41" bestFit="1" customWidth="1"/>
    <col min="26" max="26" width="20.28515625" bestFit="1" customWidth="1"/>
    <col min="27" max="27" width="27.28515625" bestFit="1" customWidth="1"/>
    <col min="28" max="28" width="34.140625" customWidth="1"/>
    <col min="29" max="30" width="26.85546875" style="20" customWidth="1"/>
    <col min="31" max="31" width="26.85546875" customWidth="1"/>
    <col min="32" max="32" width="21.7109375" customWidth="1"/>
    <col min="33" max="33" width="17.7109375" bestFit="1" customWidth="1"/>
    <col min="34" max="34" width="17.28515625" bestFit="1" customWidth="1"/>
    <col min="35" max="35" width="17.7109375" bestFit="1" customWidth="1"/>
    <col min="36" max="36" width="18.5703125" bestFit="1" customWidth="1"/>
  </cols>
  <sheetData>
    <row r="1" spans="1:36" s="17" customFormat="1" x14ac:dyDescent="0.25">
      <c r="A1" s="24" t="s">
        <v>161</v>
      </c>
      <c r="B1" s="24" t="s">
        <v>162</v>
      </c>
      <c r="C1" s="19" t="s">
        <v>163</v>
      </c>
      <c r="D1" s="19" t="s">
        <v>164</v>
      </c>
      <c r="E1" s="19" t="s">
        <v>165</v>
      </c>
      <c r="F1" s="19" t="s">
        <v>160</v>
      </c>
      <c r="G1" s="19" t="s">
        <v>166</v>
      </c>
      <c r="H1" s="24" t="s">
        <v>167</v>
      </c>
      <c r="I1" s="24" t="s">
        <v>168</v>
      </c>
      <c r="J1" s="24" t="s">
        <v>159</v>
      </c>
      <c r="K1" s="24" t="s">
        <v>387</v>
      </c>
      <c r="L1" s="24" t="s">
        <v>367</v>
      </c>
      <c r="M1" s="17" t="s">
        <v>298</v>
      </c>
      <c r="N1" s="17" t="s">
        <v>363</v>
      </c>
      <c r="O1" s="17" t="s">
        <v>364</v>
      </c>
      <c r="P1" s="17" t="s">
        <v>365</v>
      </c>
      <c r="Q1" s="17" t="s">
        <v>361</v>
      </c>
      <c r="R1" s="17" t="s">
        <v>361</v>
      </c>
      <c r="S1" s="17" t="s">
        <v>229</v>
      </c>
      <c r="T1" s="17" t="s">
        <v>366</v>
      </c>
      <c r="U1" s="37" t="s">
        <v>227</v>
      </c>
      <c r="V1" s="37" t="s">
        <v>228</v>
      </c>
      <c r="W1" s="17" t="s">
        <v>230</v>
      </c>
      <c r="X1" s="17" t="s">
        <v>231</v>
      </c>
      <c r="Y1" s="17" t="s">
        <v>232</v>
      </c>
      <c r="Z1" s="17" t="s">
        <v>233</v>
      </c>
      <c r="AA1" s="17" t="s">
        <v>234</v>
      </c>
      <c r="AB1" s="17" t="s">
        <v>287</v>
      </c>
      <c r="AC1" s="18" t="s">
        <v>288</v>
      </c>
      <c r="AD1" s="18" t="s">
        <v>290</v>
      </c>
      <c r="AE1" s="17" t="s">
        <v>291</v>
      </c>
      <c r="AF1" s="17" t="s">
        <v>289</v>
      </c>
      <c r="AG1" s="17" t="s">
        <v>169</v>
      </c>
    </row>
    <row r="2" spans="1:36" x14ac:dyDescent="0.25">
      <c r="A2" s="16" t="s">
        <v>36</v>
      </c>
      <c r="B2" s="16" t="s">
        <v>170</v>
      </c>
      <c r="C2" s="21">
        <v>2786810</v>
      </c>
      <c r="D2" s="21">
        <v>2742190</v>
      </c>
      <c r="E2" s="21">
        <v>4171000</v>
      </c>
      <c r="F2" s="21">
        <v>9700000</v>
      </c>
      <c r="G2" s="21">
        <v>2786810</v>
      </c>
      <c r="H2" s="21">
        <v>2742190</v>
      </c>
      <c r="I2" s="21">
        <v>4171000</v>
      </c>
      <c r="J2" s="21">
        <v>9700000</v>
      </c>
      <c r="K2" s="21"/>
      <c r="L2" s="21"/>
      <c r="M2" s="20">
        <v>1825882.35</v>
      </c>
      <c r="N2" s="20">
        <v>711182.42</v>
      </c>
      <c r="O2" s="20">
        <v>699795.58</v>
      </c>
      <c r="P2" s="20">
        <v>1064422</v>
      </c>
      <c r="Q2" s="20">
        <f>INDEX([1]cost_plan!$AN:$AN,MATCH(A2,[1]cost_plan!$B:$B,0))</f>
        <v>2475400</v>
      </c>
      <c r="R2" s="20">
        <f t="shared" ref="R2:R42" si="0">SUM(N2:P2)</f>
        <v>2475400</v>
      </c>
      <c r="S2" s="20">
        <v>2475400</v>
      </c>
      <c r="T2" s="20">
        <f>S2-R2</f>
        <v>0</v>
      </c>
      <c r="U2" s="38">
        <f t="shared" ref="U2:U44" si="1">IFERROR(S2/F2,0)</f>
        <v>0.25519587628865981</v>
      </c>
      <c r="V2" s="38">
        <f t="shared" ref="V2:V44" si="2">IFERROR(S2/J2,0)</f>
        <v>0.25519587628865981</v>
      </c>
      <c r="W2" t="s">
        <v>292</v>
      </c>
      <c r="X2" s="44">
        <v>0.1</v>
      </c>
      <c r="Y2" s="25">
        <v>0</v>
      </c>
      <c r="Z2" t="str">
        <f t="shared" ref="Z2:Z43" si="3">IF(Y2=0,"",(M2-Y2))</f>
        <v/>
      </c>
      <c r="AA2" t="str">
        <f>IF(Z2="","",(Z2/F2*100))</f>
        <v/>
      </c>
      <c r="AB2" s="27"/>
      <c r="AC2" s="25">
        <f>S2-M2</f>
        <v>649517.64999999991</v>
      </c>
      <c r="AE2">
        <v>1</v>
      </c>
      <c r="AF2" s="40">
        <f>AC2+AD2</f>
        <v>649517.64999999991</v>
      </c>
      <c r="AG2" t="s">
        <v>292</v>
      </c>
    </row>
    <row r="3" spans="1:36" x14ac:dyDescent="0.25">
      <c r="A3" s="16" t="s">
        <v>130</v>
      </c>
      <c r="B3" s="16" t="s">
        <v>171</v>
      </c>
      <c r="C3" s="21">
        <v>104864500</v>
      </c>
      <c r="D3" s="21">
        <v>103185500</v>
      </c>
      <c r="E3" s="21">
        <v>156950000</v>
      </c>
      <c r="F3" s="21">
        <v>365000000</v>
      </c>
      <c r="G3" s="21">
        <v>152441920.5</v>
      </c>
      <c r="H3" s="21">
        <v>150001151.84999999</v>
      </c>
      <c r="I3" s="21">
        <v>228158808.97</v>
      </c>
      <c r="J3" s="21">
        <v>530601881.32000005</v>
      </c>
      <c r="K3" s="21"/>
      <c r="L3" s="21"/>
      <c r="M3" s="20">
        <v>331961391.13999999</v>
      </c>
      <c r="N3" s="20">
        <v>105858957.67</v>
      </c>
      <c r="O3" s="20">
        <v>104164035.28</v>
      </c>
      <c r="P3" s="20">
        <v>158438398.19</v>
      </c>
      <c r="Q3" s="20">
        <f>INDEX([1]cost_plan!$AN:$AN,MATCH(A3,[1]cost_plan!$B:$B,0))</f>
        <v>368461391.13999999</v>
      </c>
      <c r="R3" s="20">
        <f t="shared" si="0"/>
        <v>368461391.13999999</v>
      </c>
      <c r="S3" s="20">
        <v>368461391.13999999</v>
      </c>
      <c r="T3" s="20">
        <f t="shared" ref="T3:T43" si="4">S3-R3</f>
        <v>0</v>
      </c>
      <c r="U3" s="38">
        <f t="shared" si="1"/>
        <v>1.0094832633972601</v>
      </c>
      <c r="V3" s="38">
        <f t="shared" si="2"/>
        <v>0.69442156937582555</v>
      </c>
      <c r="W3" s="20" t="s">
        <v>296</v>
      </c>
      <c r="X3" s="36">
        <v>0.1</v>
      </c>
      <c r="Y3" s="20">
        <v>36500000</v>
      </c>
      <c r="Z3">
        <f t="shared" si="3"/>
        <v>295461391.13999999</v>
      </c>
      <c r="AA3" s="38">
        <f t="shared" ref="AA3:AA43" si="5">IF(Z3="","",(Z3/F3))</f>
        <v>0.80948326339726029</v>
      </c>
      <c r="AB3" s="27"/>
      <c r="AC3" s="25">
        <f t="shared" ref="AC3:AC43" si="6">S3-M3</f>
        <v>36500000</v>
      </c>
      <c r="AE3">
        <v>1</v>
      </c>
      <c r="AF3" s="40">
        <f t="shared" ref="AF3:AF43" si="7">AC3+AD3</f>
        <v>36500000</v>
      </c>
    </row>
    <row r="4" spans="1:36" x14ac:dyDescent="0.25">
      <c r="A4" s="16" t="s">
        <v>172</v>
      </c>
      <c r="B4" s="16" t="s">
        <v>173</v>
      </c>
      <c r="C4" s="21">
        <v>37923600</v>
      </c>
      <c r="D4" s="21">
        <v>37316400</v>
      </c>
      <c r="E4" s="21">
        <v>56760000</v>
      </c>
      <c r="F4" s="21">
        <v>132000000</v>
      </c>
      <c r="G4" s="21">
        <v>39718682.130000003</v>
      </c>
      <c r="H4" s="21">
        <v>39082740.830000006</v>
      </c>
      <c r="I4" s="21">
        <v>59446687.499999993</v>
      </c>
      <c r="J4" s="21">
        <v>138248110.46000001</v>
      </c>
      <c r="K4" s="21"/>
      <c r="L4" s="21"/>
      <c r="M4" s="20">
        <v>14356944.890000001</v>
      </c>
      <c r="N4" s="20">
        <v>7917110.2699999996</v>
      </c>
      <c r="O4" s="20">
        <v>7790348.3200000003</v>
      </c>
      <c r="P4" s="20">
        <v>11849486.300000001</v>
      </c>
      <c r="Q4" s="20">
        <f>INDEX([1]cost_plan!$AN:$AN,MATCH(A4,[1]cost_plan!$B:$B,0))</f>
        <v>27556944.890000001</v>
      </c>
      <c r="R4" s="21">
        <f t="shared" si="0"/>
        <v>27556944.890000001</v>
      </c>
      <c r="S4" s="49">
        <v>28657621.68</v>
      </c>
      <c r="T4" s="20">
        <f t="shared" si="4"/>
        <v>1100676.7899999991</v>
      </c>
      <c r="U4" s="38">
        <f t="shared" si="1"/>
        <v>0.21710319454545454</v>
      </c>
      <c r="V4" s="38">
        <f t="shared" si="2"/>
        <v>0.20729123591379317</v>
      </c>
      <c r="W4" s="20" t="s">
        <v>296</v>
      </c>
      <c r="X4" s="36">
        <v>0.1</v>
      </c>
      <c r="Y4" s="20">
        <v>13200000</v>
      </c>
      <c r="Z4">
        <f t="shared" si="3"/>
        <v>1156944.8900000006</v>
      </c>
      <c r="AA4" s="38">
        <f t="shared" si="5"/>
        <v>8.7647340151515204E-3</v>
      </c>
      <c r="AB4" s="27"/>
      <c r="AC4" s="25">
        <f t="shared" si="6"/>
        <v>14300676.789999999</v>
      </c>
      <c r="AE4">
        <v>1</v>
      </c>
      <c r="AF4" s="40">
        <f t="shared" si="7"/>
        <v>14300676.789999999</v>
      </c>
    </row>
    <row r="5" spans="1:36" x14ac:dyDescent="0.25">
      <c r="A5" s="16" t="s">
        <v>117</v>
      </c>
      <c r="B5" s="16" t="s">
        <v>174</v>
      </c>
      <c r="C5" s="21">
        <v>83366702.900000006</v>
      </c>
      <c r="D5" s="21">
        <v>82031907.099999994</v>
      </c>
      <c r="E5" s="21">
        <v>124774390</v>
      </c>
      <c r="F5" s="21">
        <v>290173000</v>
      </c>
      <c r="G5" s="21">
        <v>82490383.699999988</v>
      </c>
      <c r="H5" s="21">
        <v>81169618.769999996</v>
      </c>
      <c r="I5" s="21">
        <v>123462808.88</v>
      </c>
      <c r="J5" s="21">
        <v>287122811.34999996</v>
      </c>
      <c r="K5" s="21"/>
      <c r="L5" s="21"/>
      <c r="M5" s="20">
        <v>53272370.199999996</v>
      </c>
      <c r="N5" s="21">
        <v>24120768.969999999</v>
      </c>
      <c r="O5" s="21">
        <v>23734568.010000002</v>
      </c>
      <c r="P5" s="21">
        <v>36101394.560000002</v>
      </c>
      <c r="Q5" s="20">
        <f>INDEX([1]cost_plan!$AN:$AN,MATCH(A5,[1]cost_plan!$B:$B,0))</f>
        <v>83956731.540000007</v>
      </c>
      <c r="R5" s="20">
        <f t="shared" si="0"/>
        <v>83956731.540000007</v>
      </c>
      <c r="S5" s="20">
        <v>83956731.540000007</v>
      </c>
      <c r="T5" s="20">
        <f t="shared" si="4"/>
        <v>0</v>
      </c>
      <c r="U5" s="38">
        <f t="shared" si="1"/>
        <v>0.28933336850775232</v>
      </c>
      <c r="V5" s="38">
        <f t="shared" si="2"/>
        <v>0.29240704054564842</v>
      </c>
      <c r="W5" s="20" t="s">
        <v>296</v>
      </c>
      <c r="X5" s="36">
        <v>0.1</v>
      </c>
      <c r="Y5" s="20">
        <v>29017300</v>
      </c>
      <c r="Z5">
        <f t="shared" si="3"/>
        <v>24255070.199999996</v>
      </c>
      <c r="AA5" s="38">
        <f t="shared" si="5"/>
        <v>8.3588308353981913E-2</v>
      </c>
      <c r="AB5" s="27"/>
      <c r="AC5" s="25">
        <f t="shared" si="6"/>
        <v>30684361.340000011</v>
      </c>
      <c r="AE5">
        <v>1</v>
      </c>
      <c r="AF5" s="40">
        <f t="shared" si="7"/>
        <v>30684361.340000011</v>
      </c>
    </row>
    <row r="6" spans="1:36" x14ac:dyDescent="0.25">
      <c r="A6" s="16" t="s">
        <v>63</v>
      </c>
      <c r="B6" s="16" t="s">
        <v>175</v>
      </c>
      <c r="C6" s="21">
        <v>4309500</v>
      </c>
      <c r="D6" s="21">
        <v>4240500</v>
      </c>
      <c r="E6" s="21">
        <v>6450000</v>
      </c>
      <c r="F6" s="21">
        <v>15000000</v>
      </c>
      <c r="G6" s="21">
        <v>5331020.8899999997</v>
      </c>
      <c r="H6" s="21">
        <v>5245665.1800000006</v>
      </c>
      <c r="I6" s="21">
        <v>7978903.5200000014</v>
      </c>
      <c r="J6" s="21">
        <v>18555589.590000004</v>
      </c>
      <c r="K6" s="21"/>
      <c r="L6" s="21"/>
      <c r="M6" s="20">
        <v>2460708.2399999998</v>
      </c>
      <c r="N6" s="21">
        <v>1166739.82</v>
      </c>
      <c r="O6" s="21">
        <v>1148058.99</v>
      </c>
      <c r="P6" s="21">
        <v>1746251.74</v>
      </c>
      <c r="Q6" s="20">
        <f>INDEX([1]cost_plan!$AN:$AN,MATCH(A6,[1]cost_plan!$B:$B,0))</f>
        <v>4061050.55</v>
      </c>
      <c r="R6" s="20">
        <f t="shared" si="0"/>
        <v>4061050.55</v>
      </c>
      <c r="S6" s="20">
        <v>4061050.55</v>
      </c>
      <c r="T6" s="20">
        <f t="shared" si="4"/>
        <v>0</v>
      </c>
      <c r="U6" s="38">
        <f t="shared" si="1"/>
        <v>0.27073670333333333</v>
      </c>
      <c r="V6" s="38">
        <f t="shared" si="2"/>
        <v>0.21885861024801848</v>
      </c>
      <c r="W6" s="20" t="s">
        <v>296</v>
      </c>
      <c r="X6" s="36">
        <v>0.1</v>
      </c>
      <c r="Y6" s="20">
        <v>1500000</v>
      </c>
      <c r="Z6">
        <f t="shared" si="3"/>
        <v>960708.23999999976</v>
      </c>
      <c r="AA6" s="38">
        <f t="shared" si="5"/>
        <v>6.404721599999999E-2</v>
      </c>
      <c r="AB6" s="27"/>
      <c r="AC6" s="25">
        <f t="shared" si="6"/>
        <v>1600342.31</v>
      </c>
      <c r="AE6">
        <v>1</v>
      </c>
      <c r="AF6" s="40">
        <f t="shared" si="7"/>
        <v>1600342.31</v>
      </c>
    </row>
    <row r="7" spans="1:36" x14ac:dyDescent="0.25">
      <c r="A7" s="16" t="s">
        <v>64</v>
      </c>
      <c r="B7" s="16" t="s">
        <v>176</v>
      </c>
      <c r="C7" s="21">
        <v>4309500</v>
      </c>
      <c r="D7" s="21">
        <v>4240500</v>
      </c>
      <c r="E7" s="21">
        <v>6450000</v>
      </c>
      <c r="F7" s="21">
        <v>15000000</v>
      </c>
      <c r="G7" s="21">
        <v>5600594.5</v>
      </c>
      <c r="H7" s="21">
        <v>5510922.6000000006</v>
      </c>
      <c r="I7" s="21">
        <v>8382372.5499999998</v>
      </c>
      <c r="J7" s="21">
        <v>19493889.650000002</v>
      </c>
      <c r="K7" s="21"/>
      <c r="L7" s="21"/>
      <c r="M7" s="20">
        <v>2988670.9499999997</v>
      </c>
      <c r="N7" s="21">
        <v>1449783.26</v>
      </c>
      <c r="O7" s="21">
        <v>1426570.58</v>
      </c>
      <c r="P7" s="21">
        <v>2169880.9700000002</v>
      </c>
      <c r="Q7" s="20">
        <f>INDEX([1]cost_plan!$AN:$AN,MATCH(A7,[1]cost_plan!$B:$B,0))</f>
        <v>5046234.8099999996</v>
      </c>
      <c r="R7" s="20">
        <f t="shared" si="0"/>
        <v>5046234.8100000005</v>
      </c>
      <c r="S7" s="20">
        <v>5046234.8099999996</v>
      </c>
      <c r="T7" s="20">
        <f t="shared" si="4"/>
        <v>0</v>
      </c>
      <c r="U7" s="38">
        <f t="shared" si="1"/>
        <v>0.33641565399999995</v>
      </c>
      <c r="V7" s="38">
        <f t="shared" si="2"/>
        <v>0.25886238716858639</v>
      </c>
      <c r="W7" s="20" t="s">
        <v>296</v>
      </c>
      <c r="X7" s="36">
        <v>0.1</v>
      </c>
      <c r="Y7" s="20">
        <v>1500000</v>
      </c>
      <c r="Z7">
        <f t="shared" si="3"/>
        <v>1488670.9499999997</v>
      </c>
      <c r="AA7" s="38">
        <f t="shared" si="5"/>
        <v>9.9244729999999975E-2</v>
      </c>
      <c r="AB7" s="27"/>
      <c r="AC7" s="25">
        <f t="shared" si="6"/>
        <v>2057563.8599999999</v>
      </c>
      <c r="AE7">
        <v>1</v>
      </c>
      <c r="AF7" s="40">
        <f t="shared" si="7"/>
        <v>2057563.8599999999</v>
      </c>
    </row>
    <row r="8" spans="1:36" x14ac:dyDescent="0.25">
      <c r="A8" s="6" t="s">
        <v>86</v>
      </c>
      <c r="B8" s="6" t="s">
        <v>177</v>
      </c>
      <c r="C8" s="25">
        <v>6607900</v>
      </c>
      <c r="D8" s="25">
        <v>6502100</v>
      </c>
      <c r="E8" s="25">
        <v>9890000</v>
      </c>
      <c r="F8" s="25">
        <v>23000000</v>
      </c>
      <c r="G8" s="21">
        <v>7538545.7800000012</v>
      </c>
      <c r="H8" s="21">
        <v>7417845.0900000017</v>
      </c>
      <c r="I8" s="21">
        <v>11282891.350000001</v>
      </c>
      <c r="J8" s="21">
        <v>26239282.220000006</v>
      </c>
      <c r="K8" s="21"/>
      <c r="L8" s="21"/>
      <c r="M8" s="20">
        <v>1608423.4999999998</v>
      </c>
      <c r="N8" s="21">
        <v>1062938.1000000001</v>
      </c>
      <c r="O8" s="21">
        <v>1142518.6599999999</v>
      </c>
      <c r="P8" s="21">
        <v>1544326.83</v>
      </c>
      <c r="Q8" s="20">
        <f>INDEX([1]cost_plan!$AN:$AN,MATCH(A8,[1]cost_plan!$B:$B,0))</f>
        <v>4467215.6500000004</v>
      </c>
      <c r="R8" s="25">
        <f t="shared" si="0"/>
        <v>3749783.59</v>
      </c>
      <c r="S8" s="49">
        <v>4467215.6500000004</v>
      </c>
      <c r="T8" s="20">
        <f t="shared" si="4"/>
        <v>717432.06000000052</v>
      </c>
      <c r="U8" s="38">
        <f t="shared" si="1"/>
        <v>0.19422676739130437</v>
      </c>
      <c r="V8" s="38">
        <f t="shared" si="2"/>
        <v>0.17024915592374765</v>
      </c>
      <c r="W8" t="s">
        <v>292</v>
      </c>
      <c r="X8" s="44">
        <v>0.1</v>
      </c>
      <c r="Y8" s="25">
        <v>0</v>
      </c>
      <c r="Z8" t="str">
        <f t="shared" si="3"/>
        <v/>
      </c>
      <c r="AA8" s="38" t="str">
        <f t="shared" si="5"/>
        <v/>
      </c>
      <c r="AB8" s="27"/>
      <c r="AC8" s="25">
        <f t="shared" si="6"/>
        <v>2858792.1500000004</v>
      </c>
      <c r="AE8">
        <v>1</v>
      </c>
      <c r="AF8" s="40">
        <f t="shared" si="7"/>
        <v>2858792.1500000004</v>
      </c>
    </row>
    <row r="9" spans="1:36" x14ac:dyDescent="0.25">
      <c r="A9" s="16" t="s">
        <v>87</v>
      </c>
      <c r="B9" s="16" t="s">
        <v>178</v>
      </c>
      <c r="C9" s="21">
        <v>8044400</v>
      </c>
      <c r="D9" s="21">
        <v>7915600</v>
      </c>
      <c r="E9" s="21">
        <v>12040000</v>
      </c>
      <c r="F9" s="21">
        <v>28000000</v>
      </c>
      <c r="G9" s="21">
        <v>9417586.6499999985</v>
      </c>
      <c r="H9" s="21">
        <v>9266800.3699999992</v>
      </c>
      <c r="I9" s="21">
        <v>14095239.329999998</v>
      </c>
      <c r="J9" s="21">
        <v>32779626.349999994</v>
      </c>
      <c r="K9" s="21"/>
      <c r="L9" s="21"/>
      <c r="M9" s="20"/>
      <c r="N9" s="21">
        <v>835083.91</v>
      </c>
      <c r="O9" s="21">
        <v>835083.91</v>
      </c>
      <c r="P9" s="21">
        <v>1129832.18</v>
      </c>
      <c r="Q9" s="20">
        <f>INDEX([1]cost_plan!$AN:$AN,MATCH(A9,[1]cost_plan!$B:$B,0))</f>
        <v>2800000</v>
      </c>
      <c r="R9" s="20">
        <f t="shared" si="0"/>
        <v>2800000</v>
      </c>
      <c r="S9" s="20">
        <v>2800000</v>
      </c>
      <c r="T9" s="20">
        <f t="shared" si="4"/>
        <v>0</v>
      </c>
      <c r="U9" s="38">
        <f t="shared" si="1"/>
        <v>0.1</v>
      </c>
      <c r="V9" s="38">
        <f t="shared" si="2"/>
        <v>8.5418911433076797E-2</v>
      </c>
      <c r="W9" s="20" t="s">
        <v>296</v>
      </c>
      <c r="X9" s="36">
        <v>0.1</v>
      </c>
      <c r="Y9" s="20">
        <v>2800000</v>
      </c>
      <c r="Z9">
        <f t="shared" si="3"/>
        <v>-2800000</v>
      </c>
      <c r="AA9" s="38">
        <f t="shared" si="5"/>
        <v>-0.1</v>
      </c>
      <c r="AB9" s="27"/>
      <c r="AC9" s="25">
        <f t="shared" si="6"/>
        <v>2800000</v>
      </c>
      <c r="AE9">
        <v>1</v>
      </c>
      <c r="AF9" s="40">
        <f t="shared" si="7"/>
        <v>2800000</v>
      </c>
      <c r="AG9" t="s">
        <v>293</v>
      </c>
    </row>
    <row r="10" spans="1:36" x14ac:dyDescent="0.25">
      <c r="A10" s="16" t="s">
        <v>88</v>
      </c>
      <c r="B10" s="16" t="s">
        <v>179</v>
      </c>
      <c r="C10" s="21">
        <v>6320600</v>
      </c>
      <c r="D10" s="21">
        <v>6219400</v>
      </c>
      <c r="E10" s="21">
        <v>9460000</v>
      </c>
      <c r="F10" s="21">
        <v>22000000</v>
      </c>
      <c r="G10" s="21">
        <v>6375473.3599999994</v>
      </c>
      <c r="H10" s="21">
        <v>6273394.7699999996</v>
      </c>
      <c r="I10" s="21">
        <v>9542128.5899999999</v>
      </c>
      <c r="J10" s="21">
        <v>22190996.719999999</v>
      </c>
      <c r="K10" s="21"/>
      <c r="L10" s="21"/>
      <c r="M10" s="20">
        <v>8398876.1099999994</v>
      </c>
      <c r="N10" s="21">
        <v>3053000.37</v>
      </c>
      <c r="O10" s="21">
        <v>3069839.15</v>
      </c>
      <c r="P10" s="21">
        <v>4476036.59</v>
      </c>
      <c r="Q10" s="20">
        <f>INDEX([1]cost_plan!$AN:$AN,MATCH(A10,[1]cost_plan!$B:$B,0))</f>
        <v>10598876.109999999</v>
      </c>
      <c r="R10" s="20">
        <f t="shared" si="0"/>
        <v>10598876.109999999</v>
      </c>
      <c r="S10" s="20">
        <v>10598876.109999999</v>
      </c>
      <c r="T10" s="20">
        <f t="shared" si="4"/>
        <v>0</v>
      </c>
      <c r="U10" s="38">
        <f t="shared" si="1"/>
        <v>0.48176709590909089</v>
      </c>
      <c r="V10" s="38">
        <f t="shared" si="2"/>
        <v>0.47762055232280709</v>
      </c>
      <c r="W10" s="20" t="s">
        <v>296</v>
      </c>
      <c r="X10" s="36">
        <v>0.1</v>
      </c>
      <c r="Y10" s="20">
        <v>2200000</v>
      </c>
      <c r="Z10">
        <f t="shared" si="3"/>
        <v>6198876.1099999994</v>
      </c>
      <c r="AA10" s="38">
        <f t="shared" si="5"/>
        <v>0.28176709590909088</v>
      </c>
      <c r="AB10" s="27"/>
      <c r="AC10" s="25">
        <f t="shared" si="6"/>
        <v>2200000</v>
      </c>
      <c r="AE10">
        <v>1</v>
      </c>
      <c r="AF10" s="40">
        <f t="shared" si="7"/>
        <v>2200000</v>
      </c>
    </row>
    <row r="11" spans="1:36" x14ac:dyDescent="0.25">
      <c r="A11" s="16" t="s">
        <v>65</v>
      </c>
      <c r="B11" s="16" t="s">
        <v>180</v>
      </c>
      <c r="C11" s="21">
        <v>11492000</v>
      </c>
      <c r="D11" s="21">
        <v>11308000</v>
      </c>
      <c r="E11" s="21">
        <v>17200000</v>
      </c>
      <c r="F11" s="21">
        <v>40000000</v>
      </c>
      <c r="G11" s="21">
        <v>12132369.529999999</v>
      </c>
      <c r="H11" s="21">
        <v>11938116.49</v>
      </c>
      <c r="I11" s="21">
        <v>18158436.82</v>
      </c>
      <c r="J11" s="21">
        <v>42228922.840000004</v>
      </c>
      <c r="K11" s="21"/>
      <c r="L11" s="21"/>
      <c r="M11" s="20">
        <v>8496687.3200000022</v>
      </c>
      <c r="N11" s="21">
        <v>3663876.43</v>
      </c>
      <c r="O11" s="21">
        <v>3605213.6</v>
      </c>
      <c r="P11" s="21">
        <v>5483699.5</v>
      </c>
      <c r="Q11" s="20">
        <f>INDEX([1]cost_plan!$AN:$AN,MATCH(A11,[1]cost_plan!$B:$B,0))</f>
        <v>12752789.529999999</v>
      </c>
      <c r="R11" s="20">
        <f t="shared" si="0"/>
        <v>12752789.530000001</v>
      </c>
      <c r="S11" s="20">
        <v>12752789.529999999</v>
      </c>
      <c r="T11" s="20">
        <f t="shared" si="4"/>
        <v>0</v>
      </c>
      <c r="U11" s="38">
        <f t="shared" si="1"/>
        <v>0.31881973824999998</v>
      </c>
      <c r="V11" s="38">
        <f t="shared" si="2"/>
        <v>0.30199182627316096</v>
      </c>
      <c r="W11" s="20" t="s">
        <v>296</v>
      </c>
      <c r="X11" s="44">
        <v>0.1</v>
      </c>
      <c r="Y11" s="25">
        <v>0</v>
      </c>
      <c r="Z11" t="str">
        <f t="shared" si="3"/>
        <v/>
      </c>
      <c r="AA11" s="38" t="str">
        <f t="shared" si="5"/>
        <v/>
      </c>
      <c r="AB11" s="27"/>
      <c r="AC11" s="25">
        <f t="shared" si="6"/>
        <v>4256102.2099999972</v>
      </c>
      <c r="AE11">
        <v>1</v>
      </c>
      <c r="AF11" s="40">
        <f t="shared" si="7"/>
        <v>4256102.2099999972</v>
      </c>
    </row>
    <row r="12" spans="1:36" x14ac:dyDescent="0.25">
      <c r="A12" s="16" t="s">
        <v>67</v>
      </c>
      <c r="B12" s="16" t="s">
        <v>181</v>
      </c>
      <c r="C12" s="21">
        <v>14968330</v>
      </c>
      <c r="D12" s="21">
        <v>14728670</v>
      </c>
      <c r="E12" s="21">
        <v>22403000</v>
      </c>
      <c r="F12" s="21">
        <v>52100000</v>
      </c>
      <c r="G12" s="21">
        <v>14461824.550000001</v>
      </c>
      <c r="H12" s="21">
        <v>14230274.280000001</v>
      </c>
      <c r="I12" s="21">
        <v>21644916.66</v>
      </c>
      <c r="J12" s="21">
        <v>50337015.490000002</v>
      </c>
      <c r="K12" s="21"/>
      <c r="L12" s="21"/>
      <c r="M12" s="20">
        <v>14363966.02</v>
      </c>
      <c r="N12" s="21">
        <v>5736611.3200000003</v>
      </c>
      <c r="O12" s="21">
        <v>5644761.6500000004</v>
      </c>
      <c r="P12" s="21">
        <v>8585948.0299999993</v>
      </c>
      <c r="Q12" s="20">
        <f>INDEX([1]cost_plan!$AN:$AN,MATCH(A12,[1]cost_plan!$B:$B,0))</f>
        <v>19967321</v>
      </c>
      <c r="R12" s="20">
        <f t="shared" si="0"/>
        <v>19967321</v>
      </c>
      <c r="S12" s="49">
        <v>20425971.510000002</v>
      </c>
      <c r="T12" s="20">
        <f t="shared" si="4"/>
        <v>458650.51000000164</v>
      </c>
      <c r="U12" s="38">
        <f t="shared" si="1"/>
        <v>0.39205319596928984</v>
      </c>
      <c r="V12" s="38">
        <f t="shared" si="2"/>
        <v>0.40578431818346172</v>
      </c>
      <c r="W12" s="20" t="s">
        <v>296</v>
      </c>
      <c r="X12" s="44">
        <v>0.1</v>
      </c>
      <c r="Y12" s="25">
        <v>0</v>
      </c>
      <c r="Z12" t="str">
        <f t="shared" si="3"/>
        <v/>
      </c>
      <c r="AA12" s="38" t="str">
        <f t="shared" si="5"/>
        <v/>
      </c>
      <c r="AB12" s="27"/>
      <c r="AC12" s="25">
        <f t="shared" si="6"/>
        <v>6062005.4900000021</v>
      </c>
      <c r="AE12">
        <v>1</v>
      </c>
      <c r="AF12" s="40">
        <f t="shared" si="7"/>
        <v>6062005.4900000021</v>
      </c>
    </row>
    <row r="13" spans="1:36" x14ac:dyDescent="0.25">
      <c r="A13" s="16" t="s">
        <v>69</v>
      </c>
      <c r="B13" s="16" t="s">
        <v>182</v>
      </c>
      <c r="C13" s="21">
        <v>68123436.530000001</v>
      </c>
      <c r="D13" s="21">
        <v>67032702.770000003</v>
      </c>
      <c r="E13" s="21">
        <v>101959894.56</v>
      </c>
      <c r="F13" s="21">
        <v>237116033.86000001</v>
      </c>
      <c r="G13" s="21">
        <v>62871654.370000005</v>
      </c>
      <c r="H13" s="21">
        <v>61865007.629999995</v>
      </c>
      <c r="I13" s="21">
        <v>94099587.120000005</v>
      </c>
      <c r="J13" s="21">
        <v>218836249.12</v>
      </c>
      <c r="K13" s="21"/>
      <c r="L13" s="21"/>
      <c r="M13" s="20">
        <v>20087906.25</v>
      </c>
      <c r="N13" s="21">
        <v>12688137.880000001</v>
      </c>
      <c r="O13" s="21">
        <v>12484986.359999999</v>
      </c>
      <c r="P13" s="21">
        <v>18990251.620000001</v>
      </c>
      <c r="Q13" s="20">
        <f>INDEX([1]cost_plan!$AN:$AN,MATCH(A13,[1]cost_plan!$B:$B,0))</f>
        <v>44163375.859999999</v>
      </c>
      <c r="R13" s="20">
        <f t="shared" si="0"/>
        <v>44163375.859999999</v>
      </c>
      <c r="S13" s="49">
        <v>44824317.450000003</v>
      </c>
      <c r="T13" s="20">
        <f t="shared" si="4"/>
        <v>660941.59000000358</v>
      </c>
      <c r="U13" s="38">
        <f t="shared" si="1"/>
        <v>0.18903958842557878</v>
      </c>
      <c r="V13" s="38">
        <f t="shared" si="2"/>
        <v>0.20483040460732971</v>
      </c>
      <c r="W13" s="20" t="s">
        <v>296</v>
      </c>
      <c r="X13" s="36">
        <v>0.1</v>
      </c>
      <c r="Y13" s="20">
        <v>33800000</v>
      </c>
      <c r="Z13">
        <f t="shared" si="3"/>
        <v>-13712093.75</v>
      </c>
      <c r="AA13" s="38">
        <f t="shared" si="5"/>
        <v>-5.7828623087108511E-2</v>
      </c>
      <c r="AB13" s="27"/>
      <c r="AC13" s="25">
        <f t="shared" si="6"/>
        <v>24736411.200000003</v>
      </c>
      <c r="AE13">
        <v>1</v>
      </c>
      <c r="AF13" s="40">
        <f t="shared" si="7"/>
        <v>24736411.200000003</v>
      </c>
      <c r="AG13" s="20" t="s">
        <v>297</v>
      </c>
      <c r="AH13" s="18"/>
      <c r="AI13" s="18"/>
      <c r="AJ13" s="18"/>
    </row>
    <row r="14" spans="1:36" x14ac:dyDescent="0.25">
      <c r="A14" s="6" t="s">
        <v>51</v>
      </c>
      <c r="B14" s="6" t="s">
        <v>183</v>
      </c>
      <c r="C14" s="25">
        <v>65348207.75</v>
      </c>
      <c r="D14" s="25">
        <v>64301908.57</v>
      </c>
      <c r="E14" s="25">
        <v>97806228.099999994</v>
      </c>
      <c r="F14" s="25">
        <v>227456344.41999999</v>
      </c>
      <c r="G14" s="21">
        <v>69773752.090000004</v>
      </c>
      <c r="H14" s="21">
        <v>68656594.909999996</v>
      </c>
      <c r="I14" s="21">
        <v>104429910.91</v>
      </c>
      <c r="J14" s="21">
        <v>242860257.91</v>
      </c>
      <c r="K14" s="21"/>
      <c r="L14" s="21"/>
      <c r="M14" s="20">
        <v>3292727.5700000003</v>
      </c>
      <c r="N14" s="21">
        <v>9414521.1199999992</v>
      </c>
      <c r="O14" s="21">
        <v>9263783.9199999999</v>
      </c>
      <c r="P14" s="21">
        <v>14090651.17</v>
      </c>
      <c r="Q14" s="20">
        <f>INDEX([1]cost_plan!$AN:$AN,MATCH(A14,[1]cost_plan!$B:$B,0))</f>
        <v>32768956.219999999</v>
      </c>
      <c r="R14" s="20">
        <f t="shared" si="0"/>
        <v>32768956.210000001</v>
      </c>
      <c r="S14" s="20">
        <v>32768956.219999999</v>
      </c>
      <c r="T14" s="20">
        <f t="shared" si="4"/>
        <v>9.9999979138374329E-3</v>
      </c>
      <c r="U14" s="38">
        <f t="shared" si="1"/>
        <v>0.14406701340232503</v>
      </c>
      <c r="V14" s="38">
        <f t="shared" si="2"/>
        <v>0.13492926550437756</v>
      </c>
      <c r="W14" t="s">
        <v>292</v>
      </c>
      <c r="X14" s="44">
        <v>0.1</v>
      </c>
      <c r="Y14" s="25">
        <v>0</v>
      </c>
      <c r="Z14" t="str">
        <f t="shared" si="3"/>
        <v/>
      </c>
      <c r="AA14" s="38" t="str">
        <f t="shared" si="5"/>
        <v/>
      </c>
      <c r="AB14" s="48"/>
      <c r="AC14" s="25">
        <f t="shared" si="6"/>
        <v>29476228.649999999</v>
      </c>
      <c r="AE14">
        <v>1</v>
      </c>
      <c r="AF14" s="40">
        <f t="shared" si="7"/>
        <v>29476228.649999999</v>
      </c>
      <c r="AG14" s="20"/>
      <c r="AH14" s="20"/>
      <c r="AI14" s="20"/>
      <c r="AJ14" s="20"/>
    </row>
    <row r="15" spans="1:36" x14ac:dyDescent="0.25">
      <c r="A15" s="16" t="s">
        <v>184</v>
      </c>
      <c r="B15" s="16" t="s">
        <v>185</v>
      </c>
      <c r="C15" s="21">
        <v>53130194.640000001</v>
      </c>
      <c r="D15" s="21">
        <v>52279519.75</v>
      </c>
      <c r="E15" s="21">
        <v>79519609.099999994</v>
      </c>
      <c r="F15" s="21">
        <v>184929323.49000001</v>
      </c>
      <c r="G15" s="21">
        <v>55639035.359999999</v>
      </c>
      <c r="H15" s="21">
        <v>54748191.079999998</v>
      </c>
      <c r="I15" s="21">
        <v>83274574.329999998</v>
      </c>
      <c r="J15" s="21">
        <v>193661800.76999998</v>
      </c>
      <c r="K15" s="21"/>
      <c r="L15" s="21"/>
      <c r="M15" s="20">
        <v>59795754.870000005</v>
      </c>
      <c r="N15" s="21">
        <v>22492339.84</v>
      </c>
      <c r="O15" s="21">
        <v>22132211.879999999</v>
      </c>
      <c r="P15" s="21">
        <v>33664135.5</v>
      </c>
      <c r="Q15" s="20">
        <f>INDEX([1]cost_plan!$AN:$AN,MATCH(A15,[1]cost_plan!$B:$B,0))</f>
        <v>78288687.219999999</v>
      </c>
      <c r="R15" s="21">
        <f t="shared" si="0"/>
        <v>78288687.219999999</v>
      </c>
      <c r="S15" s="49">
        <v>80681651.620000005</v>
      </c>
      <c r="T15" s="20">
        <f t="shared" si="4"/>
        <v>2392964.400000006</v>
      </c>
      <c r="U15" s="38">
        <f t="shared" si="1"/>
        <v>0.43628371151405221</v>
      </c>
      <c r="V15" s="38">
        <f t="shared" si="2"/>
        <v>0.41661107817447468</v>
      </c>
      <c r="W15" s="20" t="s">
        <v>296</v>
      </c>
      <c r="X15" s="36">
        <v>0.1</v>
      </c>
      <c r="Y15" s="20">
        <v>18492932.349000003</v>
      </c>
      <c r="Z15">
        <f t="shared" si="3"/>
        <v>41302822.520999998</v>
      </c>
      <c r="AA15" s="38">
        <f t="shared" si="5"/>
        <v>0.2233438253140716</v>
      </c>
      <c r="AB15" s="27"/>
      <c r="AC15" s="25">
        <f t="shared" si="6"/>
        <v>20885896.75</v>
      </c>
      <c r="AE15">
        <v>1</v>
      </c>
      <c r="AF15" s="40">
        <f t="shared" si="7"/>
        <v>20885896.75</v>
      </c>
      <c r="AG15" s="20"/>
      <c r="AH15" s="20"/>
      <c r="AI15" s="20"/>
      <c r="AJ15" s="20"/>
    </row>
    <row r="16" spans="1:36" ht="30" x14ac:dyDescent="0.25">
      <c r="A16" s="16" t="s">
        <v>71</v>
      </c>
      <c r="B16" s="16" t="s">
        <v>194</v>
      </c>
      <c r="C16" s="21">
        <v>45199789.68</v>
      </c>
      <c r="D16" s="21">
        <v>44476089.600000001</v>
      </c>
      <c r="E16" s="21">
        <v>67650224.719999999</v>
      </c>
      <c r="F16" s="21">
        <v>157326104</v>
      </c>
      <c r="G16" s="21">
        <v>42819531.590000004</v>
      </c>
      <c r="H16" s="21">
        <v>42133942.149999999</v>
      </c>
      <c r="I16" s="21">
        <v>64087708.260000005</v>
      </c>
      <c r="J16" s="21">
        <v>149041182</v>
      </c>
      <c r="K16" s="21"/>
      <c r="L16" s="21"/>
      <c r="M16" s="20">
        <v>26500000</v>
      </c>
      <c r="N16" s="21">
        <v>21197407.879999999</v>
      </c>
      <c r="O16" s="21">
        <v>20858013.260000002</v>
      </c>
      <c r="P16" s="21">
        <v>31726019.460000001</v>
      </c>
      <c r="Q16" s="20">
        <f>INDEX([1]cost_plan!$AN:$AN,MATCH(A16,[1]cost_plan!$B:$B,0))</f>
        <v>73781440.599999994</v>
      </c>
      <c r="R16" s="20">
        <f t="shared" si="0"/>
        <v>73781440.599999994</v>
      </c>
      <c r="S16" s="20">
        <v>73781440.599999994</v>
      </c>
      <c r="T16" s="20">
        <f t="shared" si="4"/>
        <v>0</v>
      </c>
      <c r="U16" s="38">
        <f t="shared" si="1"/>
        <v>0.4689713831596567</v>
      </c>
      <c r="V16" s="38">
        <f t="shared" si="2"/>
        <v>0.4950406297770773</v>
      </c>
      <c r="W16" s="20" t="s">
        <v>296</v>
      </c>
      <c r="X16" s="43" t="s">
        <v>295</v>
      </c>
      <c r="Y16" s="20">
        <v>35206933.5</v>
      </c>
      <c r="Z16">
        <f t="shared" si="3"/>
        <v>-8706933.5</v>
      </c>
      <c r="AA16" s="38">
        <f t="shared" si="5"/>
        <v>-5.5343221999573575E-2</v>
      </c>
      <c r="AB16" s="27"/>
      <c r="AC16" s="25">
        <f t="shared" si="6"/>
        <v>47281440.599999994</v>
      </c>
      <c r="AE16">
        <v>1</v>
      </c>
      <c r="AF16" s="40">
        <f t="shared" si="7"/>
        <v>47281440.599999994</v>
      </c>
    </row>
    <row r="17" spans="1:33" ht="30" x14ac:dyDescent="0.25">
      <c r="A17" s="16" t="s">
        <v>73</v>
      </c>
      <c r="B17" s="16" t="s">
        <v>186</v>
      </c>
      <c r="C17" s="21">
        <v>48888294.009999998</v>
      </c>
      <c r="D17" s="21">
        <v>48105536.780000001</v>
      </c>
      <c r="E17" s="21">
        <v>73170784.629999995</v>
      </c>
      <c r="F17" s="21">
        <v>170164615.41999999</v>
      </c>
      <c r="G17" s="21">
        <v>46876691.490000002</v>
      </c>
      <c r="H17" s="21">
        <v>46126142.300000004</v>
      </c>
      <c r="I17" s="21">
        <v>70160032.5</v>
      </c>
      <c r="J17" s="21">
        <v>163162866.29000002</v>
      </c>
      <c r="K17" s="21"/>
      <c r="L17" s="21"/>
      <c r="M17" s="20">
        <v>12438540.800000001</v>
      </c>
      <c r="N17" s="21">
        <v>26173729.920000002</v>
      </c>
      <c r="O17" s="21">
        <v>25754658.710000001</v>
      </c>
      <c r="P17" s="21">
        <v>39174047.57</v>
      </c>
      <c r="Q17" s="20">
        <f>INDEX([1]cost_plan!$AN:$AN,MATCH(A17,[1]cost_plan!$B:$B,0))</f>
        <v>91102436.200000003</v>
      </c>
      <c r="R17" s="20">
        <f t="shared" si="0"/>
        <v>91102436.200000003</v>
      </c>
      <c r="S17" s="20">
        <v>91102436.200000003</v>
      </c>
      <c r="T17" s="20">
        <f t="shared" si="4"/>
        <v>0</v>
      </c>
      <c r="U17" s="38">
        <f t="shared" si="1"/>
        <v>0.53537826283767131</v>
      </c>
      <c r="V17" s="38">
        <f t="shared" si="2"/>
        <v>0.5583527567974792</v>
      </c>
      <c r="W17" s="20" t="s">
        <v>296</v>
      </c>
      <c r="X17" s="43" t="s">
        <v>295</v>
      </c>
      <c r="Y17" s="20">
        <v>40461085.027999997</v>
      </c>
      <c r="Z17">
        <f t="shared" si="3"/>
        <v>-28022544.227999996</v>
      </c>
      <c r="AA17" s="38">
        <f t="shared" si="5"/>
        <v>-0.16467903247002794</v>
      </c>
      <c r="AB17" s="27"/>
      <c r="AC17" s="25">
        <f t="shared" si="6"/>
        <v>78663895.400000006</v>
      </c>
      <c r="AE17">
        <v>1</v>
      </c>
      <c r="AF17" s="40">
        <f t="shared" si="7"/>
        <v>78663895.400000006</v>
      </c>
      <c r="AG17" t="s">
        <v>294</v>
      </c>
    </row>
    <row r="18" spans="1:33" x14ac:dyDescent="0.25">
      <c r="A18" s="6" t="s">
        <v>94</v>
      </c>
      <c r="B18" s="6" t="s">
        <v>187</v>
      </c>
      <c r="C18" s="25">
        <v>16950700</v>
      </c>
      <c r="D18" s="25">
        <v>16679300</v>
      </c>
      <c r="E18" s="25">
        <v>25370000</v>
      </c>
      <c r="F18" s="25">
        <v>59000000</v>
      </c>
      <c r="G18" s="21">
        <v>16647085.039999999</v>
      </c>
      <c r="H18" s="21">
        <v>16380546.259999998</v>
      </c>
      <c r="I18" s="21">
        <v>24915581.510000002</v>
      </c>
      <c r="J18" s="21">
        <v>57943212.810000002</v>
      </c>
      <c r="K18" s="21"/>
      <c r="L18" s="21"/>
      <c r="M18" s="20"/>
      <c r="N18" s="21">
        <v>1610963.48</v>
      </c>
      <c r="O18" s="21">
        <v>1610963.49</v>
      </c>
      <c r="P18" s="21">
        <v>2678073.0299999998</v>
      </c>
      <c r="Q18" s="20">
        <f>INDEX([1]cost_plan!$AN:$AN,MATCH(A18,[1]cost_plan!$B:$B,0))</f>
        <v>5900000</v>
      </c>
      <c r="R18" s="20">
        <f t="shared" si="0"/>
        <v>5900000</v>
      </c>
      <c r="S18" s="20">
        <v>5900000</v>
      </c>
      <c r="T18" s="20">
        <f t="shared" si="4"/>
        <v>0</v>
      </c>
      <c r="U18" s="38">
        <f t="shared" si="1"/>
        <v>0.1</v>
      </c>
      <c r="V18" s="38">
        <f t="shared" si="2"/>
        <v>0.10182383257460245</v>
      </c>
      <c r="W18" t="s">
        <v>292</v>
      </c>
      <c r="X18" s="36">
        <v>0</v>
      </c>
      <c r="Y18" s="20">
        <v>0</v>
      </c>
      <c r="Z18" t="str">
        <f t="shared" si="3"/>
        <v/>
      </c>
      <c r="AA18" s="38" t="str">
        <f t="shared" si="5"/>
        <v/>
      </c>
      <c r="AB18" s="27"/>
      <c r="AC18" s="25">
        <f t="shared" si="6"/>
        <v>5900000</v>
      </c>
      <c r="AE18">
        <v>1</v>
      </c>
      <c r="AF18" s="40">
        <f t="shared" si="7"/>
        <v>5900000</v>
      </c>
    </row>
    <row r="19" spans="1:33" x14ac:dyDescent="0.25">
      <c r="A19" s="16" t="s">
        <v>118</v>
      </c>
      <c r="B19" s="16" t="s">
        <v>188</v>
      </c>
      <c r="C19" s="21">
        <v>89063000</v>
      </c>
      <c r="D19" s="21">
        <v>87637000</v>
      </c>
      <c r="E19" s="21">
        <v>133300000</v>
      </c>
      <c r="F19" s="21">
        <v>310000000</v>
      </c>
      <c r="G19" s="21">
        <v>89284552.409999996</v>
      </c>
      <c r="H19" s="21">
        <v>87855005.100000009</v>
      </c>
      <c r="I19" s="21">
        <v>133631596.03</v>
      </c>
      <c r="J19" s="21">
        <v>310771153.53999996</v>
      </c>
      <c r="K19" s="21"/>
      <c r="L19" s="21"/>
      <c r="M19" s="20">
        <v>4613423.71</v>
      </c>
      <c r="N19" s="21">
        <v>8750149.1699999999</v>
      </c>
      <c r="O19" s="21">
        <v>8742992.4499999993</v>
      </c>
      <c r="P19" s="21">
        <v>16198337.85</v>
      </c>
      <c r="Q19" s="20">
        <f>INDEX([1]cost_plan!$AN:$AN,MATCH(A19,[1]cost_plan!$B:$B,0))</f>
        <v>35613423.710000001</v>
      </c>
      <c r="R19" s="25">
        <f t="shared" si="0"/>
        <v>33691479.469999999</v>
      </c>
      <c r="S19" s="49">
        <v>35613423.710000001</v>
      </c>
      <c r="T19" s="20">
        <f t="shared" si="4"/>
        <v>1921944.2400000021</v>
      </c>
      <c r="U19" s="38">
        <f t="shared" si="1"/>
        <v>0.11488201196774193</v>
      </c>
      <c r="V19" s="38">
        <f t="shared" si="2"/>
        <v>0.11459694152538559</v>
      </c>
      <c r="W19" s="20" t="s">
        <v>296</v>
      </c>
      <c r="X19" s="36">
        <v>0.1</v>
      </c>
      <c r="Y19" s="20">
        <v>31000000</v>
      </c>
      <c r="Z19">
        <f t="shared" si="3"/>
        <v>-26386576.289999999</v>
      </c>
      <c r="AA19" s="38">
        <f t="shared" si="5"/>
        <v>-8.5117988032258063E-2</v>
      </c>
      <c r="AB19" s="27"/>
      <c r="AC19" s="25">
        <f t="shared" si="6"/>
        <v>31000000</v>
      </c>
      <c r="AE19">
        <v>1</v>
      </c>
      <c r="AF19" s="40">
        <f t="shared" si="7"/>
        <v>31000000</v>
      </c>
      <c r="AG19" t="s">
        <v>294</v>
      </c>
    </row>
    <row r="20" spans="1:33" x14ac:dyDescent="0.25">
      <c r="A20" s="16" t="s">
        <v>54</v>
      </c>
      <c r="B20" s="16" t="s">
        <v>189</v>
      </c>
      <c r="C20" s="21">
        <v>5345782.6399999997</v>
      </c>
      <c r="D20" s="21">
        <v>5260190.57</v>
      </c>
      <c r="E20" s="21">
        <v>8000997.3399999999</v>
      </c>
      <c r="F20" s="21">
        <v>18606970.550000001</v>
      </c>
      <c r="G20" s="21">
        <v>5046300.17</v>
      </c>
      <c r="H20" s="21">
        <v>4965503.16</v>
      </c>
      <c r="I20" s="21">
        <v>7552763.9199999999</v>
      </c>
      <c r="J20" s="21">
        <v>17564567.25</v>
      </c>
      <c r="K20" s="21"/>
      <c r="L20" s="21"/>
      <c r="M20" s="20">
        <v>0</v>
      </c>
      <c r="N20" s="21">
        <v>2969591.8</v>
      </c>
      <c r="O20" s="21">
        <v>2922045.26</v>
      </c>
      <c r="P20" s="21">
        <v>4444568.3</v>
      </c>
      <c r="Q20" s="20">
        <f>INDEX([1]cost_plan!$AN:$AN,MATCH(A20,[1]cost_plan!$B:$B,0))</f>
        <v>10336205.359999999</v>
      </c>
      <c r="R20" s="21">
        <f t="shared" si="0"/>
        <v>10336205.359999999</v>
      </c>
      <c r="S20" s="49">
        <v>10482491.359999999</v>
      </c>
      <c r="T20" s="20">
        <f t="shared" si="4"/>
        <v>146286</v>
      </c>
      <c r="U20" s="38">
        <f t="shared" si="1"/>
        <v>0.56336367770518125</v>
      </c>
      <c r="V20" s="38">
        <f t="shared" si="2"/>
        <v>0.59679758748397282</v>
      </c>
      <c r="W20" t="s">
        <v>292</v>
      </c>
      <c r="X20" s="44">
        <v>0.1</v>
      </c>
      <c r="Y20" s="25">
        <v>0</v>
      </c>
      <c r="Z20" t="str">
        <f t="shared" si="3"/>
        <v/>
      </c>
      <c r="AA20" s="38" t="str">
        <f t="shared" si="5"/>
        <v/>
      </c>
      <c r="AB20" s="27"/>
      <c r="AC20" s="25">
        <f t="shared" si="6"/>
        <v>10482491.359999999</v>
      </c>
      <c r="AE20">
        <v>1</v>
      </c>
      <c r="AF20" s="40">
        <f t="shared" si="7"/>
        <v>10482491.359999999</v>
      </c>
    </row>
    <row r="21" spans="1:33" x14ac:dyDescent="0.25">
      <c r="A21" s="6" t="s">
        <v>49</v>
      </c>
      <c r="B21" s="6" t="s">
        <v>190</v>
      </c>
      <c r="C21" s="25">
        <v>2959190</v>
      </c>
      <c r="D21" s="25">
        <v>2911810</v>
      </c>
      <c r="E21" s="25">
        <v>4429000</v>
      </c>
      <c r="F21" s="25">
        <v>10300000</v>
      </c>
      <c r="G21" s="21">
        <v>3246490</v>
      </c>
      <c r="H21" s="21">
        <v>3194510</v>
      </c>
      <c r="I21" s="21">
        <v>4859000</v>
      </c>
      <c r="J21" s="21">
        <v>11300000</v>
      </c>
      <c r="K21" s="21"/>
      <c r="L21" s="21"/>
      <c r="M21" s="20"/>
      <c r="N21" s="20">
        <v>681656.59</v>
      </c>
      <c r="O21" s="20">
        <v>670742.49</v>
      </c>
      <c r="P21" s="20">
        <v>1020230.89</v>
      </c>
      <c r="Q21" s="20">
        <f>INDEX([1]cost_plan!$AN:$AN,MATCH(A21,[1]cost_plan!$B:$B,0))</f>
        <v>2372629.9700000002</v>
      </c>
      <c r="R21" s="20">
        <f t="shared" si="0"/>
        <v>2372629.9700000002</v>
      </c>
      <c r="S21" s="20">
        <v>2372629.9700000002</v>
      </c>
      <c r="T21" s="20">
        <f t="shared" si="4"/>
        <v>0</v>
      </c>
      <c r="U21" s="38">
        <f t="shared" si="1"/>
        <v>0.23035242427184469</v>
      </c>
      <c r="V21" s="38">
        <f t="shared" si="2"/>
        <v>0.2099672539823009</v>
      </c>
      <c r="W21" t="s">
        <v>292</v>
      </c>
      <c r="X21" s="44">
        <v>0.1</v>
      </c>
      <c r="Y21" s="25">
        <v>0</v>
      </c>
      <c r="Z21" t="str">
        <f t="shared" si="3"/>
        <v/>
      </c>
      <c r="AA21" s="38" t="str">
        <f t="shared" si="5"/>
        <v/>
      </c>
      <c r="AB21" s="27"/>
      <c r="AC21" s="25">
        <f t="shared" si="6"/>
        <v>2372629.9700000002</v>
      </c>
      <c r="AE21">
        <v>1</v>
      </c>
      <c r="AF21" s="40">
        <f t="shared" si="7"/>
        <v>2372629.9700000002</v>
      </c>
    </row>
    <row r="22" spans="1:33" x14ac:dyDescent="0.25">
      <c r="A22" s="6" t="s">
        <v>91</v>
      </c>
      <c r="B22" s="6" t="s">
        <v>191</v>
      </c>
      <c r="C22" s="25">
        <v>1723800</v>
      </c>
      <c r="D22" s="25">
        <v>1696200</v>
      </c>
      <c r="E22" s="25">
        <v>2580000</v>
      </c>
      <c r="F22" s="25">
        <v>6000000</v>
      </c>
      <c r="G22" s="21">
        <v>1725128.79</v>
      </c>
      <c r="H22" s="21">
        <v>1697507.52</v>
      </c>
      <c r="I22" s="21">
        <v>2581988.79</v>
      </c>
      <c r="J22" s="21">
        <v>6004625.0999999996</v>
      </c>
      <c r="K22" s="21"/>
      <c r="L22" s="21"/>
      <c r="M22" s="20"/>
      <c r="N22" s="20">
        <v>0</v>
      </c>
      <c r="O22" s="20">
        <v>0</v>
      </c>
      <c r="P22" s="20">
        <v>0</v>
      </c>
      <c r="Q22" s="20">
        <f>INDEX([1]cost_plan!$AN:$AN,MATCH(A22,[1]cost_plan!$B:$B,0))</f>
        <v>0</v>
      </c>
      <c r="R22" s="20">
        <f t="shared" si="0"/>
        <v>0</v>
      </c>
      <c r="S22" s="20"/>
      <c r="T22" s="20">
        <f t="shared" si="4"/>
        <v>0</v>
      </c>
      <c r="U22" s="38">
        <f t="shared" si="1"/>
        <v>0</v>
      </c>
      <c r="V22" s="38">
        <f t="shared" si="2"/>
        <v>0</v>
      </c>
      <c r="W22" t="s">
        <v>292</v>
      </c>
      <c r="X22" s="44">
        <v>0.1</v>
      </c>
      <c r="Y22" s="25">
        <v>0</v>
      </c>
      <c r="Z22" t="str">
        <f t="shared" si="3"/>
        <v/>
      </c>
      <c r="AA22" s="38" t="str">
        <f t="shared" si="5"/>
        <v/>
      </c>
      <c r="AB22" s="27"/>
      <c r="AC22" s="25">
        <f t="shared" si="6"/>
        <v>0</v>
      </c>
      <c r="AE22">
        <v>1</v>
      </c>
      <c r="AF22" s="40">
        <f t="shared" si="7"/>
        <v>0</v>
      </c>
    </row>
    <row r="23" spans="1:33" x14ac:dyDescent="0.25">
      <c r="A23" s="16" t="s">
        <v>112</v>
      </c>
      <c r="B23" s="16" t="s">
        <v>14</v>
      </c>
      <c r="C23" s="21">
        <v>0</v>
      </c>
      <c r="D23" s="21">
        <v>0</v>
      </c>
      <c r="E23" s="21">
        <v>0</v>
      </c>
      <c r="F23" s="21">
        <v>0</v>
      </c>
      <c r="G23" s="21">
        <v>0</v>
      </c>
      <c r="H23" s="21">
        <v>0</v>
      </c>
      <c r="I23" s="21">
        <v>0</v>
      </c>
      <c r="J23" s="21">
        <v>0</v>
      </c>
      <c r="K23" s="21"/>
      <c r="L23" s="21"/>
      <c r="M23" s="21">
        <v>76424022.25</v>
      </c>
      <c r="N23" s="21">
        <v>0</v>
      </c>
      <c r="O23" s="21">
        <v>0</v>
      </c>
      <c r="P23" s="21">
        <v>0</v>
      </c>
      <c r="Q23" s="20">
        <f>INDEX([1]cost_plan!$AN:$AN,MATCH(A23,[1]cost_plan!$B:$B,0))</f>
        <v>0</v>
      </c>
      <c r="R23" s="21">
        <f t="shared" si="0"/>
        <v>0</v>
      </c>
      <c r="S23" s="21"/>
      <c r="T23" s="21">
        <f t="shared" si="4"/>
        <v>0</v>
      </c>
      <c r="U23" s="38">
        <f t="shared" si="1"/>
        <v>0</v>
      </c>
      <c r="V23" s="38">
        <f t="shared" si="2"/>
        <v>0</v>
      </c>
      <c r="W23" t="s">
        <v>372</v>
      </c>
      <c r="X23" s="44">
        <v>0.1</v>
      </c>
      <c r="Y23" s="25">
        <v>0</v>
      </c>
      <c r="Z23" t="str">
        <f t="shared" si="3"/>
        <v/>
      </c>
      <c r="AA23" s="38" t="str">
        <f t="shared" si="5"/>
        <v/>
      </c>
      <c r="AB23" s="27"/>
      <c r="AC23" s="25">
        <f t="shared" si="6"/>
        <v>-76424022.25</v>
      </c>
      <c r="AE23">
        <v>1</v>
      </c>
      <c r="AF23" s="40">
        <f t="shared" si="7"/>
        <v>-76424022.25</v>
      </c>
      <c r="AG23" t="s">
        <v>373</v>
      </c>
    </row>
    <row r="24" spans="1:33" x14ac:dyDescent="0.25">
      <c r="A24" s="16" t="s">
        <v>16</v>
      </c>
      <c r="B24" s="16" t="s">
        <v>195</v>
      </c>
      <c r="C24" s="21">
        <v>1765238.8</v>
      </c>
      <c r="D24" s="21">
        <v>1736975.32</v>
      </c>
      <c r="E24" s="21">
        <v>2642021.17</v>
      </c>
      <c r="F24" s="21">
        <v>6144235.29</v>
      </c>
      <c r="G24" s="21">
        <v>1046988.8</v>
      </c>
      <c r="H24" s="21">
        <v>1030225.3200000001</v>
      </c>
      <c r="I24" s="21">
        <v>1567021.17</v>
      </c>
      <c r="J24" s="21">
        <v>3644235.29</v>
      </c>
      <c r="K24" s="21"/>
      <c r="L24" s="21"/>
      <c r="M24" s="20">
        <v>2327410.8099999996</v>
      </c>
      <c r="N24" s="20">
        <v>1046988.8</v>
      </c>
      <c r="O24" s="20">
        <v>1030225.32</v>
      </c>
      <c r="P24" s="20">
        <v>1567021.17</v>
      </c>
      <c r="Q24" s="20">
        <f>INDEX([1]cost_plan!$AN:$AN,MATCH(A24,[1]cost_plan!$B:$B,0))</f>
        <v>3644235.29</v>
      </c>
      <c r="R24" s="20">
        <f t="shared" si="0"/>
        <v>3644235.29</v>
      </c>
      <c r="S24" s="20">
        <v>3644235.29</v>
      </c>
      <c r="T24" s="20">
        <f t="shared" si="4"/>
        <v>0</v>
      </c>
      <c r="U24" s="38">
        <f t="shared" si="1"/>
        <v>0.59311454037757072</v>
      </c>
      <c r="V24" s="38">
        <f t="shared" si="2"/>
        <v>1</v>
      </c>
      <c r="W24" t="s">
        <v>368</v>
      </c>
      <c r="X24" s="44">
        <v>0.1</v>
      </c>
      <c r="Y24" s="25">
        <v>0</v>
      </c>
      <c r="Z24" t="str">
        <f t="shared" si="3"/>
        <v/>
      </c>
      <c r="AA24" s="38" t="str">
        <f t="shared" si="5"/>
        <v/>
      </c>
      <c r="AB24" s="27"/>
      <c r="AC24" s="25">
        <f t="shared" si="6"/>
        <v>1316824.4800000004</v>
      </c>
      <c r="AE24">
        <v>1</v>
      </c>
      <c r="AF24" s="40">
        <f t="shared" si="7"/>
        <v>1316824.4800000004</v>
      </c>
      <c r="AG24" t="s">
        <v>369</v>
      </c>
    </row>
    <row r="25" spans="1:33" x14ac:dyDescent="0.25">
      <c r="A25" s="16" t="s">
        <v>19</v>
      </c>
      <c r="B25" s="16" t="s">
        <v>196</v>
      </c>
      <c r="C25" s="21">
        <v>1436500</v>
      </c>
      <c r="D25" s="21">
        <v>1413500</v>
      </c>
      <c r="E25" s="21">
        <v>2150000</v>
      </c>
      <c r="F25" s="21">
        <v>5000000</v>
      </c>
      <c r="G25" s="21">
        <v>1637610</v>
      </c>
      <c r="H25" s="21">
        <v>1611390</v>
      </c>
      <c r="I25" s="21">
        <v>2451000</v>
      </c>
      <c r="J25" s="21">
        <v>5700000</v>
      </c>
      <c r="K25" s="21"/>
      <c r="L25" s="21"/>
      <c r="M25" s="20">
        <v>5740172.1200000001</v>
      </c>
      <c r="N25" s="20">
        <v>2674812.4500000002</v>
      </c>
      <c r="O25" s="20">
        <v>2631985.66</v>
      </c>
      <c r="P25" s="20">
        <v>4003374.01</v>
      </c>
      <c r="Q25" s="20">
        <f>INDEX([1]cost_plan!$AN:$AN,MATCH(A25,[1]cost_plan!$B:$B,0))</f>
        <v>9310172.1199999992</v>
      </c>
      <c r="R25" s="20">
        <f t="shared" si="0"/>
        <v>9310172.120000001</v>
      </c>
      <c r="S25" s="20">
        <v>9310172.1199999992</v>
      </c>
      <c r="T25" s="20">
        <f t="shared" si="4"/>
        <v>0</v>
      </c>
      <c r="U25" s="38">
        <f t="shared" si="1"/>
        <v>1.8620344239999997</v>
      </c>
      <c r="V25" s="38">
        <f t="shared" si="2"/>
        <v>1.6333635298245612</v>
      </c>
      <c r="W25" t="s">
        <v>368</v>
      </c>
      <c r="X25" s="44">
        <v>0.1</v>
      </c>
      <c r="Y25" s="25">
        <v>0</v>
      </c>
      <c r="Z25" t="str">
        <f t="shared" si="3"/>
        <v/>
      </c>
      <c r="AA25" s="38" t="str">
        <f t="shared" si="5"/>
        <v/>
      </c>
      <c r="AB25" s="27"/>
      <c r="AC25" s="25">
        <f t="shared" si="6"/>
        <v>3569999.9999999991</v>
      </c>
      <c r="AE25">
        <v>1</v>
      </c>
      <c r="AF25" s="40">
        <f t="shared" si="7"/>
        <v>3569999.9999999991</v>
      </c>
    </row>
    <row r="26" spans="1:33" x14ac:dyDescent="0.25">
      <c r="A26" s="16" t="s">
        <v>22</v>
      </c>
      <c r="B26" s="16" t="s">
        <v>197</v>
      </c>
      <c r="C26" s="21">
        <v>68952</v>
      </c>
      <c r="D26" s="21">
        <v>67848</v>
      </c>
      <c r="E26" s="21">
        <v>103200</v>
      </c>
      <c r="F26" s="21">
        <v>240000</v>
      </c>
      <c r="G26" s="21">
        <v>212602</v>
      </c>
      <c r="H26" s="21">
        <v>209198</v>
      </c>
      <c r="I26" s="21">
        <v>318200</v>
      </c>
      <c r="J26" s="21">
        <v>740000</v>
      </c>
      <c r="K26" s="21"/>
      <c r="L26" s="21"/>
      <c r="M26" s="20">
        <v>240000</v>
      </c>
      <c r="N26" s="20">
        <v>68952</v>
      </c>
      <c r="O26" s="20">
        <v>67848</v>
      </c>
      <c r="P26" s="20">
        <v>103200</v>
      </c>
      <c r="Q26" s="20">
        <f>INDEX([1]cost_plan!$AN:$AN,MATCH(A26,[1]cost_plan!$B:$B,0))</f>
        <v>240000</v>
      </c>
      <c r="R26" s="20">
        <f t="shared" si="0"/>
        <v>240000</v>
      </c>
      <c r="S26" s="20">
        <v>240000</v>
      </c>
      <c r="T26" s="20">
        <f t="shared" si="4"/>
        <v>0</v>
      </c>
      <c r="U26" s="38">
        <f t="shared" si="1"/>
        <v>1</v>
      </c>
      <c r="V26" s="38">
        <f t="shared" si="2"/>
        <v>0.32432432432432434</v>
      </c>
      <c r="W26" t="s">
        <v>368</v>
      </c>
      <c r="X26" s="44">
        <v>0.1</v>
      </c>
      <c r="Y26" s="25">
        <v>0</v>
      </c>
      <c r="Z26" t="str">
        <f t="shared" si="3"/>
        <v/>
      </c>
      <c r="AA26" s="38" t="str">
        <f t="shared" si="5"/>
        <v/>
      </c>
      <c r="AB26" s="27"/>
      <c r="AC26" s="25">
        <f t="shared" si="6"/>
        <v>0</v>
      </c>
      <c r="AE26">
        <v>1</v>
      </c>
      <c r="AF26" s="40">
        <f t="shared" si="7"/>
        <v>0</v>
      </c>
    </row>
    <row r="27" spans="1:33" x14ac:dyDescent="0.25">
      <c r="A27" s="6" t="s">
        <v>24</v>
      </c>
      <c r="B27" s="6" t="s">
        <v>198</v>
      </c>
      <c r="C27" s="25">
        <v>707989.28</v>
      </c>
      <c r="D27" s="25">
        <v>696653.57</v>
      </c>
      <c r="E27" s="25">
        <v>1059642.8600000001</v>
      </c>
      <c r="F27" s="25">
        <v>2464285.71</v>
      </c>
      <c r="G27" s="21">
        <v>2289854.2599999998</v>
      </c>
      <c r="H27" s="21">
        <v>2253191.09</v>
      </c>
      <c r="I27" s="21">
        <v>3427209.6500000004</v>
      </c>
      <c r="J27" s="21">
        <v>7970255</v>
      </c>
      <c r="K27" s="21"/>
      <c r="L27" s="21"/>
      <c r="M27" s="20">
        <v>7608928.5599999996</v>
      </c>
      <c r="N27" s="20">
        <v>2540039.81</v>
      </c>
      <c r="O27" s="20">
        <v>2499370.88</v>
      </c>
      <c r="P27" s="20">
        <v>3801660.7</v>
      </c>
      <c r="Q27" s="20">
        <f>INDEX([1]cost_plan!$AN:$AN,MATCH(A27,[1]cost_plan!$B:$B,0))</f>
        <v>8841071.4000000004</v>
      </c>
      <c r="R27" s="20">
        <f t="shared" si="0"/>
        <v>8841071.3900000006</v>
      </c>
      <c r="S27" s="20">
        <v>8841071.4000000004</v>
      </c>
      <c r="T27" s="20">
        <f t="shared" si="4"/>
        <v>9.9999997764825821E-3</v>
      </c>
      <c r="U27" s="38">
        <f t="shared" si="1"/>
        <v>3.5876811540655327</v>
      </c>
      <c r="V27" s="38">
        <f t="shared" si="2"/>
        <v>1.1092582859645017</v>
      </c>
      <c r="W27" t="s">
        <v>292</v>
      </c>
      <c r="X27" s="44">
        <v>0.1</v>
      </c>
      <c r="Y27" s="25">
        <v>0</v>
      </c>
      <c r="Z27" t="str">
        <f t="shared" si="3"/>
        <v/>
      </c>
      <c r="AA27" s="38" t="str">
        <f t="shared" si="5"/>
        <v/>
      </c>
      <c r="AB27" s="27"/>
      <c r="AC27" s="25">
        <f t="shared" si="6"/>
        <v>1232142.8400000008</v>
      </c>
      <c r="AE27">
        <v>1</v>
      </c>
      <c r="AF27" s="40">
        <f t="shared" si="7"/>
        <v>1232142.8400000008</v>
      </c>
    </row>
    <row r="28" spans="1:33" x14ac:dyDescent="0.25">
      <c r="A28" s="16" t="s">
        <v>26</v>
      </c>
      <c r="B28" s="16" t="s">
        <v>199</v>
      </c>
      <c r="C28" s="21">
        <v>1005550</v>
      </c>
      <c r="D28" s="21">
        <v>989450</v>
      </c>
      <c r="E28" s="21">
        <v>1505000</v>
      </c>
      <c r="F28" s="21">
        <v>3500000</v>
      </c>
      <c r="G28" s="21">
        <v>1005550</v>
      </c>
      <c r="H28" s="21">
        <v>989450</v>
      </c>
      <c r="I28" s="21">
        <v>1505000</v>
      </c>
      <c r="J28" s="21">
        <v>3500000</v>
      </c>
      <c r="K28" s="21"/>
      <c r="L28" s="21"/>
      <c r="M28" s="20">
        <v>1959558.82</v>
      </c>
      <c r="N28" s="20">
        <v>1005550</v>
      </c>
      <c r="O28" s="20">
        <v>989450</v>
      </c>
      <c r="P28" s="20">
        <v>1505000</v>
      </c>
      <c r="Q28" s="20">
        <f>INDEX([1]cost_plan!$AN:$AN,MATCH(A28,[1]cost_plan!$B:$B,0))</f>
        <v>3500000</v>
      </c>
      <c r="R28" s="20">
        <f t="shared" si="0"/>
        <v>3500000</v>
      </c>
      <c r="S28" s="20">
        <v>3500000</v>
      </c>
      <c r="T28" s="20">
        <f t="shared" si="4"/>
        <v>0</v>
      </c>
      <c r="U28" s="38">
        <f t="shared" si="1"/>
        <v>1</v>
      </c>
      <c r="V28" s="38">
        <f t="shared" si="2"/>
        <v>1</v>
      </c>
      <c r="W28" t="s">
        <v>368</v>
      </c>
      <c r="X28" s="44">
        <v>0.1</v>
      </c>
      <c r="Y28" s="25">
        <v>0</v>
      </c>
      <c r="Z28" t="str">
        <f t="shared" si="3"/>
        <v/>
      </c>
      <c r="AA28" s="38" t="str">
        <f t="shared" si="5"/>
        <v/>
      </c>
      <c r="AB28" s="27"/>
      <c r="AC28" s="25">
        <f t="shared" si="6"/>
        <v>1540441.18</v>
      </c>
      <c r="AE28">
        <v>1</v>
      </c>
      <c r="AF28" s="40">
        <f t="shared" si="7"/>
        <v>1540441.18</v>
      </c>
    </row>
    <row r="29" spans="1:33" x14ac:dyDescent="0.25">
      <c r="A29" s="16" t="s">
        <v>28</v>
      </c>
      <c r="B29" s="16" t="s">
        <v>200</v>
      </c>
      <c r="C29" s="21">
        <v>577473</v>
      </c>
      <c r="D29" s="21">
        <v>568227</v>
      </c>
      <c r="E29" s="21">
        <v>864300</v>
      </c>
      <c r="F29" s="21">
        <v>2010000</v>
      </c>
      <c r="G29" s="21">
        <v>604766.5</v>
      </c>
      <c r="H29" s="21">
        <v>595083.5</v>
      </c>
      <c r="I29" s="21">
        <v>905150</v>
      </c>
      <c r="J29" s="21">
        <v>2105000</v>
      </c>
      <c r="K29" s="21"/>
      <c r="L29" s="21"/>
      <c r="M29" s="20">
        <v>755000</v>
      </c>
      <c r="N29" s="20">
        <v>428077</v>
      </c>
      <c r="O29" s="20">
        <v>421223</v>
      </c>
      <c r="P29" s="20">
        <v>640700</v>
      </c>
      <c r="Q29" s="20">
        <f>INDEX([1]cost_plan!$AN:$AN,MATCH(A29,[1]cost_plan!$B:$B,0))</f>
        <v>1490000</v>
      </c>
      <c r="R29" s="20">
        <f t="shared" si="0"/>
        <v>1490000</v>
      </c>
      <c r="S29" s="20">
        <v>1490000</v>
      </c>
      <c r="T29" s="20">
        <f t="shared" si="4"/>
        <v>0</v>
      </c>
      <c r="U29" s="38">
        <f t="shared" si="1"/>
        <v>0.74129353233830841</v>
      </c>
      <c r="V29" s="38">
        <f t="shared" si="2"/>
        <v>0.70783847980997627</v>
      </c>
      <c r="W29" t="s">
        <v>368</v>
      </c>
      <c r="X29" s="44">
        <v>0.1</v>
      </c>
      <c r="Y29" s="25">
        <v>0</v>
      </c>
      <c r="Z29" t="str">
        <f t="shared" si="3"/>
        <v/>
      </c>
      <c r="AA29" s="38" t="str">
        <f t="shared" si="5"/>
        <v/>
      </c>
      <c r="AB29" s="27"/>
      <c r="AC29" s="25">
        <f t="shared" si="6"/>
        <v>735000</v>
      </c>
      <c r="AE29">
        <v>1</v>
      </c>
      <c r="AF29" s="40">
        <f t="shared" si="7"/>
        <v>735000</v>
      </c>
      <c r="AG29" s="55" t="s">
        <v>370</v>
      </c>
    </row>
    <row r="30" spans="1:33" x14ac:dyDescent="0.25">
      <c r="A30" s="16" t="s">
        <v>31</v>
      </c>
      <c r="B30" s="16" t="s">
        <v>201</v>
      </c>
      <c r="C30" s="21">
        <v>86190</v>
      </c>
      <c r="D30" s="21">
        <v>84810</v>
      </c>
      <c r="E30" s="21">
        <v>129000</v>
      </c>
      <c r="F30" s="21">
        <v>300000</v>
      </c>
      <c r="G30" s="21">
        <v>86190</v>
      </c>
      <c r="H30" s="21">
        <v>84810</v>
      </c>
      <c r="I30" s="21">
        <v>129000</v>
      </c>
      <c r="J30" s="21">
        <v>300000</v>
      </c>
      <c r="K30" s="21"/>
      <c r="L30" s="21"/>
      <c r="M30" s="20"/>
      <c r="N30" s="20">
        <v>0</v>
      </c>
      <c r="O30" s="20">
        <v>0</v>
      </c>
      <c r="P30" s="20">
        <v>0</v>
      </c>
      <c r="Q30" s="20">
        <f>INDEX([1]cost_plan!$AN:$AN,MATCH(A30,[1]cost_plan!$B:$B,0))</f>
        <v>0</v>
      </c>
      <c r="R30" s="20">
        <f t="shared" si="0"/>
        <v>0</v>
      </c>
      <c r="S30" s="20"/>
      <c r="T30" s="20">
        <f t="shared" si="4"/>
        <v>0</v>
      </c>
      <c r="U30" s="38">
        <f t="shared" si="1"/>
        <v>0</v>
      </c>
      <c r="V30" s="38">
        <f t="shared" si="2"/>
        <v>0</v>
      </c>
      <c r="W30" t="s">
        <v>368</v>
      </c>
      <c r="X30" s="44">
        <v>0.1</v>
      </c>
      <c r="Y30" s="25">
        <v>0</v>
      </c>
      <c r="Z30" t="str">
        <f t="shared" si="3"/>
        <v/>
      </c>
      <c r="AA30" s="38" t="str">
        <f t="shared" si="5"/>
        <v/>
      </c>
      <c r="AB30" s="27"/>
      <c r="AC30" s="25">
        <f t="shared" si="6"/>
        <v>0</v>
      </c>
      <c r="AE30">
        <v>1</v>
      </c>
      <c r="AF30" s="40">
        <f t="shared" si="7"/>
        <v>0</v>
      </c>
    </row>
    <row r="31" spans="1:33" x14ac:dyDescent="0.25">
      <c r="A31" s="16" t="s">
        <v>34</v>
      </c>
      <c r="B31" s="16" t="s">
        <v>202</v>
      </c>
      <c r="C31" s="21">
        <v>6773844.4800000004</v>
      </c>
      <c r="D31" s="21">
        <v>6665387.5199999996</v>
      </c>
      <c r="E31" s="21">
        <v>10138368</v>
      </c>
      <c r="F31" s="21">
        <v>23577600</v>
      </c>
      <c r="G31" s="21">
        <v>4309500</v>
      </c>
      <c r="H31" s="21">
        <v>4240500</v>
      </c>
      <c r="I31" s="21">
        <v>6450000</v>
      </c>
      <c r="J31" s="21">
        <v>15000000</v>
      </c>
      <c r="K31" s="21"/>
      <c r="L31" s="21"/>
      <c r="M31" s="20">
        <v>17255000</v>
      </c>
      <c r="N31" s="20">
        <v>5608096</v>
      </c>
      <c r="O31" s="20">
        <v>5518304</v>
      </c>
      <c r="P31" s="20">
        <v>8393600</v>
      </c>
      <c r="Q31" s="20">
        <f>INDEX([1]cost_plan!$AN:$AN,MATCH(A31,[1]cost_plan!$B:$B,0))</f>
        <v>19520000</v>
      </c>
      <c r="R31" s="20">
        <f t="shared" si="0"/>
        <v>19520000</v>
      </c>
      <c r="S31" s="20">
        <v>19520000</v>
      </c>
      <c r="T31" s="20">
        <f t="shared" si="4"/>
        <v>0</v>
      </c>
      <c r="U31" s="38">
        <f t="shared" si="1"/>
        <v>0.82790445168295335</v>
      </c>
      <c r="V31" s="38">
        <f t="shared" si="2"/>
        <v>1.3013333333333332</v>
      </c>
      <c r="W31" t="s">
        <v>368</v>
      </c>
      <c r="X31" s="44">
        <v>0.1</v>
      </c>
      <c r="Y31" s="25">
        <v>0</v>
      </c>
      <c r="Z31" t="str">
        <f t="shared" si="3"/>
        <v/>
      </c>
      <c r="AA31" s="38" t="str">
        <f t="shared" si="5"/>
        <v/>
      </c>
      <c r="AB31" s="27"/>
      <c r="AC31" s="25">
        <f t="shared" si="6"/>
        <v>2265000</v>
      </c>
      <c r="AE31">
        <v>1</v>
      </c>
      <c r="AF31" s="40">
        <f t="shared" si="7"/>
        <v>2265000</v>
      </c>
      <c r="AG31" s="55" t="s">
        <v>371</v>
      </c>
    </row>
    <row r="32" spans="1:33" x14ac:dyDescent="0.25">
      <c r="A32" s="6" t="s">
        <v>41</v>
      </c>
      <c r="B32" s="6" t="s">
        <v>203</v>
      </c>
      <c r="C32" s="25">
        <v>1980285.7</v>
      </c>
      <c r="D32" s="25">
        <v>1948579.07</v>
      </c>
      <c r="E32" s="25">
        <v>2963880.44</v>
      </c>
      <c r="F32" s="25">
        <v>6892745.21</v>
      </c>
      <c r="G32" s="21">
        <v>2986411.57</v>
      </c>
      <c r="H32" s="21">
        <v>2938595.72</v>
      </c>
      <c r="I32" s="21">
        <v>4469742.34</v>
      </c>
      <c r="J32" s="21">
        <v>10394749.629999999</v>
      </c>
      <c r="K32" s="21"/>
      <c r="L32" s="21">
        <f>J32-F32</f>
        <v>3502004.419999999</v>
      </c>
      <c r="M32" s="20">
        <v>10394749.629999999</v>
      </c>
      <c r="N32" s="20">
        <v>2986411.57</v>
      </c>
      <c r="O32" s="20">
        <v>2938595.72</v>
      </c>
      <c r="P32" s="20">
        <v>4469742.34</v>
      </c>
      <c r="Q32" s="20">
        <f>INDEX([1]cost_plan!$AN:$AN,MATCH(A32,[1]cost_plan!$B:$B,0))</f>
        <v>10394749.630000001</v>
      </c>
      <c r="R32" s="20">
        <f t="shared" si="0"/>
        <v>10394749.629999999</v>
      </c>
      <c r="S32" s="20">
        <v>10394749.630000001</v>
      </c>
      <c r="T32" s="20">
        <f t="shared" si="4"/>
        <v>0</v>
      </c>
      <c r="U32" s="38">
        <f t="shared" si="1"/>
        <v>1.5080710679569718</v>
      </c>
      <c r="V32" s="38">
        <f t="shared" si="2"/>
        <v>1.0000000000000002</v>
      </c>
      <c r="W32" t="s">
        <v>362</v>
      </c>
      <c r="X32" s="44">
        <v>0.1</v>
      </c>
      <c r="Y32" s="25">
        <v>0</v>
      </c>
      <c r="Z32" t="str">
        <f t="shared" si="3"/>
        <v/>
      </c>
      <c r="AA32" s="38" t="str">
        <f t="shared" si="5"/>
        <v/>
      </c>
      <c r="AB32" s="27"/>
      <c r="AC32" s="25">
        <f t="shared" si="6"/>
        <v>0</v>
      </c>
      <c r="AE32">
        <v>1</v>
      </c>
      <c r="AF32" s="40">
        <f t="shared" si="7"/>
        <v>0</v>
      </c>
    </row>
    <row r="33" spans="1:33" x14ac:dyDescent="0.25">
      <c r="A33" s="16" t="s">
        <v>44</v>
      </c>
      <c r="B33" s="16" t="s">
        <v>204</v>
      </c>
      <c r="C33" s="21">
        <v>26477942.93</v>
      </c>
      <c r="D33" s="21">
        <v>26054000.920000002</v>
      </c>
      <c r="E33" s="21">
        <v>39629361.149999999</v>
      </c>
      <c r="F33" s="21">
        <v>92161305</v>
      </c>
      <c r="G33" s="21">
        <v>23134451.550000001</v>
      </c>
      <c r="H33" s="21">
        <v>22764042.640000001</v>
      </c>
      <c r="I33" s="21">
        <v>34625179.829999998</v>
      </c>
      <c r="J33" s="21">
        <v>80523674.019999996</v>
      </c>
      <c r="K33" s="21"/>
      <c r="L33" s="21"/>
      <c r="M33" s="20">
        <v>33041300.84</v>
      </c>
      <c r="N33" s="20">
        <v>9492765.7300000004</v>
      </c>
      <c r="O33" s="20">
        <v>9340775.75</v>
      </c>
      <c r="P33" s="20">
        <v>14207759.359999999</v>
      </c>
      <c r="Q33" s="20">
        <f>INDEX([1]cost_plan!$AN:$AN,MATCH(A33,[1]cost_plan!$B:$B,0))</f>
        <v>33041300.84</v>
      </c>
      <c r="R33" s="20">
        <f t="shared" si="0"/>
        <v>33041300.84</v>
      </c>
      <c r="S33" s="20">
        <v>33041300.84</v>
      </c>
      <c r="T33" s="20">
        <f t="shared" si="4"/>
        <v>0</v>
      </c>
      <c r="U33" s="38">
        <f t="shared" si="1"/>
        <v>0.35851598281947072</v>
      </c>
      <c r="V33" s="38">
        <f t="shared" si="2"/>
        <v>0.41033026922980931</v>
      </c>
      <c r="W33" t="s">
        <v>374</v>
      </c>
      <c r="X33" s="44">
        <v>0.1</v>
      </c>
      <c r="Y33" s="25">
        <v>0</v>
      </c>
      <c r="Z33" t="str">
        <f t="shared" si="3"/>
        <v/>
      </c>
      <c r="AA33" s="38" t="str">
        <f t="shared" si="5"/>
        <v/>
      </c>
      <c r="AB33" s="27"/>
      <c r="AC33" s="25">
        <f t="shared" si="6"/>
        <v>0</v>
      </c>
      <c r="AE33">
        <v>1</v>
      </c>
      <c r="AF33" s="40">
        <f t="shared" si="7"/>
        <v>0</v>
      </c>
      <c r="AG33" s="55" t="s">
        <v>375</v>
      </c>
    </row>
    <row r="34" spans="1:33" x14ac:dyDescent="0.25">
      <c r="A34" s="16" t="s">
        <v>47</v>
      </c>
      <c r="B34" s="16" t="s">
        <v>205</v>
      </c>
      <c r="C34" s="21">
        <v>74582968.25</v>
      </c>
      <c r="D34" s="21">
        <v>73388810.040000007</v>
      </c>
      <c r="E34" s="21">
        <v>111627832.75</v>
      </c>
      <c r="F34" s="21">
        <v>259599611.04000002</v>
      </c>
      <c r="G34" s="21">
        <v>48193963.519999996</v>
      </c>
      <c r="H34" s="21">
        <v>47422323.310000002</v>
      </c>
      <c r="I34" s="21">
        <v>72131584.810000002</v>
      </c>
      <c r="J34" s="21">
        <v>167747871.63999999</v>
      </c>
      <c r="K34" s="21"/>
      <c r="L34" s="21"/>
      <c r="M34" s="20">
        <v>105752028.31979799</v>
      </c>
      <c r="N34" s="20">
        <v>30382557.739999998</v>
      </c>
      <c r="O34" s="20">
        <v>29896098.41</v>
      </c>
      <c r="P34" s="20">
        <v>45473372.18</v>
      </c>
      <c r="Q34" s="20">
        <f>INDEX([1]cost_plan!$AN:$AN,MATCH(A34,[1]cost_plan!$B:$B,0))</f>
        <v>105752028.31999999</v>
      </c>
      <c r="R34" s="20">
        <f t="shared" si="0"/>
        <v>105752028.33</v>
      </c>
      <c r="S34" s="20">
        <v>105752028.31999999</v>
      </c>
      <c r="T34" s="20">
        <f t="shared" si="4"/>
        <v>-1.000000536441803E-2</v>
      </c>
      <c r="U34" s="38">
        <f t="shared" si="1"/>
        <v>0.40736589664498901</v>
      </c>
      <c r="V34" s="38">
        <f t="shared" si="2"/>
        <v>0.63042247443205768</v>
      </c>
      <c r="W34" t="s">
        <v>374</v>
      </c>
      <c r="X34" s="44">
        <v>0.1</v>
      </c>
      <c r="Y34" s="25">
        <v>0</v>
      </c>
      <c r="Z34" t="str">
        <f t="shared" si="3"/>
        <v/>
      </c>
      <c r="AA34" s="38" t="str">
        <f t="shared" si="5"/>
        <v/>
      </c>
      <c r="AB34" s="27"/>
      <c r="AC34" s="25">
        <f t="shared" si="6"/>
        <v>2.0200014114379883E-4</v>
      </c>
      <c r="AE34">
        <v>1</v>
      </c>
      <c r="AF34" s="40">
        <f t="shared" si="7"/>
        <v>2.0200014114379883E-4</v>
      </c>
      <c r="AG34" s="55" t="s">
        <v>376</v>
      </c>
    </row>
    <row r="35" spans="1:33" x14ac:dyDescent="0.25">
      <c r="A35" s="6" t="s">
        <v>57</v>
      </c>
      <c r="B35" s="6" t="s">
        <v>206</v>
      </c>
      <c r="C35" s="25">
        <v>3821090</v>
      </c>
      <c r="D35" s="25">
        <v>3759910</v>
      </c>
      <c r="E35" s="25">
        <v>5719000</v>
      </c>
      <c r="F35" s="25">
        <v>13300000</v>
      </c>
      <c r="G35" s="21">
        <v>3940938.09</v>
      </c>
      <c r="H35" s="21">
        <v>3877839.1799999997</v>
      </c>
      <c r="I35" s="21">
        <v>5898375.8300000001</v>
      </c>
      <c r="J35" s="21">
        <v>13717153.1</v>
      </c>
      <c r="K35" s="21"/>
      <c r="L35" s="21">
        <f t="shared" ref="L35:L40" si="8">J35-F35</f>
        <v>417153.09999999963</v>
      </c>
      <c r="M35" s="20"/>
      <c r="N35" s="20">
        <v>0</v>
      </c>
      <c r="O35" s="20">
        <v>0</v>
      </c>
      <c r="P35" s="20">
        <v>0</v>
      </c>
      <c r="Q35" s="20">
        <f>INDEX([1]cost_plan!$AN:$AN,MATCH(A35,[1]cost_plan!$B:$B,0))</f>
        <v>0</v>
      </c>
      <c r="R35" s="20">
        <f t="shared" si="0"/>
        <v>0</v>
      </c>
      <c r="S35" s="20"/>
      <c r="T35" s="20">
        <f t="shared" si="4"/>
        <v>0</v>
      </c>
      <c r="U35" s="38">
        <f t="shared" si="1"/>
        <v>0</v>
      </c>
      <c r="V35" s="38">
        <f t="shared" si="2"/>
        <v>0</v>
      </c>
      <c r="W35" t="s">
        <v>292</v>
      </c>
      <c r="X35" s="44">
        <v>0.1</v>
      </c>
      <c r="Y35" s="25">
        <v>0</v>
      </c>
      <c r="Z35" t="str">
        <f t="shared" si="3"/>
        <v/>
      </c>
      <c r="AA35" s="38" t="str">
        <f t="shared" si="5"/>
        <v/>
      </c>
      <c r="AB35" s="27"/>
      <c r="AC35" s="25">
        <f t="shared" si="6"/>
        <v>0</v>
      </c>
      <c r="AE35">
        <v>1</v>
      </c>
      <c r="AF35" s="40">
        <f t="shared" si="7"/>
        <v>0</v>
      </c>
    </row>
    <row r="36" spans="1:33" x14ac:dyDescent="0.25">
      <c r="A36" s="6" t="s">
        <v>77</v>
      </c>
      <c r="B36" s="6" t="s">
        <v>192</v>
      </c>
      <c r="C36" s="25">
        <v>10055500</v>
      </c>
      <c r="D36" s="25">
        <v>9894500</v>
      </c>
      <c r="E36" s="25">
        <v>15050000</v>
      </c>
      <c r="F36" s="25">
        <v>35000000</v>
      </c>
      <c r="G36" s="21">
        <v>10820840.390000001</v>
      </c>
      <c r="H36" s="21">
        <v>10647586.42</v>
      </c>
      <c r="I36" s="21">
        <v>16195479.869999999</v>
      </c>
      <c r="J36" s="21">
        <v>37663906.68</v>
      </c>
      <c r="K36" s="21"/>
      <c r="L36" s="21">
        <f t="shared" si="8"/>
        <v>2663906.6799999997</v>
      </c>
      <c r="M36" s="20">
        <v>1792507.1</v>
      </c>
      <c r="N36" s="20">
        <v>9543236.1600000001</v>
      </c>
      <c r="O36" s="20">
        <v>9390438.0899999999</v>
      </c>
      <c r="P36" s="20">
        <v>14283298.109999999</v>
      </c>
      <c r="Q36" s="20">
        <f>INDEX([1]cost_plan!$AN:$AN,MATCH(A36,[1]cost_plan!$B:$B,0))</f>
        <v>33216972.359999999</v>
      </c>
      <c r="R36" s="20">
        <f t="shared" si="0"/>
        <v>33216972.359999999</v>
      </c>
      <c r="S36" s="20">
        <v>33216972.359999999</v>
      </c>
      <c r="T36" s="20">
        <f t="shared" si="4"/>
        <v>0</v>
      </c>
      <c r="U36" s="38">
        <f t="shared" si="1"/>
        <v>0.94905635314285708</v>
      </c>
      <c r="V36" s="38">
        <f t="shared" si="2"/>
        <v>0.88193114543899986</v>
      </c>
      <c r="W36" t="s">
        <v>292</v>
      </c>
      <c r="X36" s="44">
        <v>0.1</v>
      </c>
      <c r="Y36" s="25">
        <v>0</v>
      </c>
      <c r="Z36" t="str">
        <f t="shared" si="3"/>
        <v/>
      </c>
      <c r="AA36" s="38" t="str">
        <f t="shared" si="5"/>
        <v/>
      </c>
      <c r="AB36" s="27"/>
      <c r="AC36" s="25">
        <f t="shared" si="6"/>
        <v>31424465.259999998</v>
      </c>
      <c r="AE36">
        <v>1</v>
      </c>
      <c r="AF36" s="40">
        <f t="shared" si="7"/>
        <v>31424465.259999998</v>
      </c>
    </row>
    <row r="37" spans="1:33" x14ac:dyDescent="0.25">
      <c r="A37" s="6" t="s">
        <v>75</v>
      </c>
      <c r="B37" s="6" t="s">
        <v>207</v>
      </c>
      <c r="C37" s="25">
        <v>6935444.9800000004</v>
      </c>
      <c r="D37" s="25">
        <v>6824400.6200000001</v>
      </c>
      <c r="E37" s="25">
        <v>10380234.4</v>
      </c>
      <c r="F37" s="25">
        <v>24140080</v>
      </c>
      <c r="G37" s="21">
        <v>7366394.9799999986</v>
      </c>
      <c r="H37" s="21">
        <v>7248450.6199999992</v>
      </c>
      <c r="I37" s="21">
        <v>11025234.4</v>
      </c>
      <c r="J37" s="21">
        <v>25640080</v>
      </c>
      <c r="K37" s="21"/>
      <c r="L37" s="21">
        <f t="shared" si="8"/>
        <v>1500000</v>
      </c>
      <c r="M37" s="20">
        <v>15081218.48</v>
      </c>
      <c r="N37" s="20">
        <v>5074005.21</v>
      </c>
      <c r="O37" s="20">
        <v>4992764.62</v>
      </c>
      <c r="P37" s="20">
        <v>7594229.8700000001</v>
      </c>
      <c r="Q37" s="20">
        <f>INDEX([1]cost_plan!$AN:$AN,MATCH(A37,[1]cost_plan!$B:$B,0))</f>
        <v>17660999.699999999</v>
      </c>
      <c r="R37" s="20">
        <f t="shared" si="0"/>
        <v>17660999.699999999</v>
      </c>
      <c r="S37" s="49">
        <v>19353192.300000001</v>
      </c>
      <c r="T37" s="20">
        <f t="shared" si="4"/>
        <v>1692192.6000000015</v>
      </c>
      <c r="U37" s="38">
        <f t="shared" si="1"/>
        <v>0.8017037350331897</v>
      </c>
      <c r="V37" s="38">
        <f t="shared" si="2"/>
        <v>0.75480233681018161</v>
      </c>
      <c r="W37" t="s">
        <v>292</v>
      </c>
      <c r="X37" s="44">
        <v>0.1</v>
      </c>
      <c r="Y37" s="25">
        <v>0</v>
      </c>
      <c r="Z37" t="str">
        <f t="shared" si="3"/>
        <v/>
      </c>
      <c r="AA37" s="38" t="str">
        <f t="shared" si="5"/>
        <v/>
      </c>
      <c r="AB37" s="27"/>
      <c r="AC37" s="25">
        <f t="shared" si="6"/>
        <v>4271973.82</v>
      </c>
      <c r="AE37">
        <v>1</v>
      </c>
      <c r="AF37" s="40">
        <f t="shared" si="7"/>
        <v>4271973.82</v>
      </c>
    </row>
    <row r="38" spans="1:33" x14ac:dyDescent="0.25">
      <c r="A38" s="16" t="s">
        <v>79</v>
      </c>
      <c r="B38" s="16" t="s">
        <v>208</v>
      </c>
      <c r="C38" s="21">
        <v>3217760</v>
      </c>
      <c r="D38" s="21">
        <v>3166240</v>
      </c>
      <c r="E38" s="21">
        <v>4816000</v>
      </c>
      <c r="F38" s="21">
        <v>11200000</v>
      </c>
      <c r="G38" s="21">
        <v>4105719.99</v>
      </c>
      <c r="H38" s="21">
        <v>4039982.7299999995</v>
      </c>
      <c r="I38" s="21">
        <v>6145003.8000000007</v>
      </c>
      <c r="J38" s="21">
        <v>14290706.52</v>
      </c>
      <c r="K38" s="21"/>
      <c r="L38" s="21">
        <f t="shared" si="8"/>
        <v>3090706.5199999996</v>
      </c>
      <c r="M38" s="20"/>
      <c r="N38" s="20">
        <v>3081261.11</v>
      </c>
      <c r="O38" s="20">
        <v>3031926.61</v>
      </c>
      <c r="P38" s="20">
        <v>4611703.01</v>
      </c>
      <c r="Q38" s="20">
        <f>INDEX([1]cost_plan!$AN:$AN,MATCH(A38,[1]cost_plan!$B:$B,0))</f>
        <v>10724890.73</v>
      </c>
      <c r="R38" s="20">
        <f t="shared" si="0"/>
        <v>10724890.73</v>
      </c>
      <c r="S38" s="20">
        <v>10724890.73</v>
      </c>
      <c r="T38" s="20">
        <f t="shared" si="4"/>
        <v>0</v>
      </c>
      <c r="U38" s="38">
        <f t="shared" si="1"/>
        <v>0.95757952946428571</v>
      </c>
      <c r="V38" s="38">
        <f t="shared" si="2"/>
        <v>0.75048009102911739</v>
      </c>
      <c r="W38" t="s">
        <v>374</v>
      </c>
      <c r="X38" s="44">
        <v>0.1</v>
      </c>
      <c r="Y38" s="25">
        <v>0</v>
      </c>
      <c r="Z38" t="str">
        <f t="shared" si="3"/>
        <v/>
      </c>
      <c r="AA38" s="38" t="str">
        <f t="shared" si="5"/>
        <v/>
      </c>
      <c r="AB38" s="27"/>
      <c r="AC38" s="25">
        <f t="shared" si="6"/>
        <v>10724890.73</v>
      </c>
      <c r="AE38">
        <v>1</v>
      </c>
      <c r="AF38" s="40">
        <f t="shared" si="7"/>
        <v>10724890.73</v>
      </c>
      <c r="AG38" s="55" t="s">
        <v>376</v>
      </c>
    </row>
    <row r="39" spans="1:33" x14ac:dyDescent="0.25">
      <c r="A39" s="6" t="s">
        <v>82</v>
      </c>
      <c r="B39" s="6" t="s">
        <v>209</v>
      </c>
      <c r="C39" s="25">
        <v>2295213.7000000002</v>
      </c>
      <c r="D39" s="25">
        <v>2258464.7200000002</v>
      </c>
      <c r="E39" s="25">
        <v>3435231.09</v>
      </c>
      <c r="F39" s="25">
        <v>7988909.5099999998</v>
      </c>
      <c r="G39" s="21">
        <v>2313717.4900000002</v>
      </c>
      <c r="H39" s="21">
        <v>2276672.2400000002</v>
      </c>
      <c r="I39" s="21">
        <v>3462925.58</v>
      </c>
      <c r="J39" s="21">
        <v>8053315.3100000005</v>
      </c>
      <c r="K39" s="21"/>
      <c r="L39" s="21">
        <f t="shared" si="8"/>
        <v>64405.800000000745</v>
      </c>
      <c r="M39" s="20">
        <v>28307573.760000005</v>
      </c>
      <c r="N39" s="20">
        <v>0</v>
      </c>
      <c r="O39" s="20">
        <v>0</v>
      </c>
      <c r="P39" s="20">
        <v>0</v>
      </c>
      <c r="Q39" s="20">
        <f>INDEX([1]cost_plan!$AN:$AN,MATCH(A39,[1]cost_plan!$B:$B,0))</f>
        <v>0</v>
      </c>
      <c r="R39" s="20">
        <f t="shared" si="0"/>
        <v>0</v>
      </c>
      <c r="S39" s="20"/>
      <c r="T39" s="20">
        <f t="shared" si="4"/>
        <v>0</v>
      </c>
      <c r="U39" s="38">
        <f t="shared" si="1"/>
        <v>0</v>
      </c>
      <c r="V39" s="38">
        <f t="shared" si="2"/>
        <v>0</v>
      </c>
      <c r="W39" t="s">
        <v>292</v>
      </c>
      <c r="X39" s="44">
        <v>0.1</v>
      </c>
      <c r="Y39" s="25">
        <v>0</v>
      </c>
      <c r="Z39" t="str">
        <f t="shared" si="3"/>
        <v/>
      </c>
      <c r="AA39" s="38" t="str">
        <f t="shared" si="5"/>
        <v/>
      </c>
      <c r="AB39" s="27"/>
      <c r="AC39" s="25">
        <f t="shared" si="6"/>
        <v>-28307573.760000005</v>
      </c>
      <c r="AE39">
        <v>1</v>
      </c>
      <c r="AF39" s="40">
        <f t="shared" si="7"/>
        <v>-28307573.760000005</v>
      </c>
    </row>
    <row r="40" spans="1:33" x14ac:dyDescent="0.25">
      <c r="A40" s="6" t="s">
        <v>85</v>
      </c>
      <c r="B40" s="6" t="s">
        <v>210</v>
      </c>
      <c r="C40" s="25">
        <v>22409400</v>
      </c>
      <c r="D40" s="25">
        <v>22050600</v>
      </c>
      <c r="E40" s="25">
        <v>33540000</v>
      </c>
      <c r="F40" s="25">
        <v>78000000</v>
      </c>
      <c r="G40" s="21">
        <v>26552062.93</v>
      </c>
      <c r="H40" s="21">
        <v>26126934.18</v>
      </c>
      <c r="I40" s="21">
        <v>39740296.060000002</v>
      </c>
      <c r="J40" s="21">
        <v>92419293.170000002</v>
      </c>
      <c r="K40" s="21"/>
      <c r="L40" s="21">
        <f t="shared" si="8"/>
        <v>14419293.170000002</v>
      </c>
      <c r="M40" s="20">
        <v>24536608.279999997</v>
      </c>
      <c r="N40" s="20">
        <v>12946831.91</v>
      </c>
      <c r="O40" s="20">
        <v>12739538.4</v>
      </c>
      <c r="P40" s="20">
        <v>19377437.260000002</v>
      </c>
      <c r="Q40" s="20">
        <f>INDEX([1]cost_plan!$AN:$AN,MATCH(A40,[1]cost_plan!$B:$B,0))</f>
        <v>45063807.57</v>
      </c>
      <c r="R40" s="20">
        <f t="shared" si="0"/>
        <v>45063807.570000008</v>
      </c>
      <c r="S40" s="20">
        <v>45063807.57</v>
      </c>
      <c r="T40" s="20">
        <f t="shared" si="4"/>
        <v>0</v>
      </c>
      <c r="U40" s="38">
        <f t="shared" si="1"/>
        <v>0.57774112269230771</v>
      </c>
      <c r="V40" s="38">
        <f t="shared" si="2"/>
        <v>0.48760173362403569</v>
      </c>
      <c r="W40" t="s">
        <v>292</v>
      </c>
      <c r="X40" s="44">
        <v>0.1</v>
      </c>
      <c r="Y40" s="25">
        <v>0</v>
      </c>
      <c r="Z40" t="str">
        <f t="shared" si="3"/>
        <v/>
      </c>
      <c r="AA40" s="38" t="str">
        <f t="shared" si="5"/>
        <v/>
      </c>
      <c r="AB40" s="27"/>
      <c r="AC40" s="25">
        <f t="shared" si="6"/>
        <v>20527199.290000003</v>
      </c>
      <c r="AE40">
        <v>1</v>
      </c>
      <c r="AF40" s="40">
        <f t="shared" si="7"/>
        <v>20527199.290000003</v>
      </c>
    </row>
    <row r="41" spans="1:33" x14ac:dyDescent="0.25">
      <c r="A41" s="6" t="s">
        <v>121</v>
      </c>
      <c r="B41" s="6" t="s">
        <v>211</v>
      </c>
      <c r="C41" s="25">
        <v>4272268.3099999996</v>
      </c>
      <c r="D41" s="25">
        <v>4203864.43</v>
      </c>
      <c r="E41" s="25">
        <v>6394275.5700000003</v>
      </c>
      <c r="F41" s="25">
        <v>14870408.309999999</v>
      </c>
      <c r="G41" s="21">
        <v>4272268.3099999996</v>
      </c>
      <c r="H41" s="21">
        <v>4203864.43</v>
      </c>
      <c r="I41" s="21">
        <v>6394275.5700000003</v>
      </c>
      <c r="J41" s="21">
        <v>14870408.309999999</v>
      </c>
      <c r="K41" s="21"/>
      <c r="L41" s="21"/>
      <c r="M41" s="20"/>
      <c r="N41" s="20">
        <v>0</v>
      </c>
      <c r="O41" s="20">
        <v>0</v>
      </c>
      <c r="P41" s="20">
        <v>0</v>
      </c>
      <c r="Q41" s="20">
        <f>INDEX([1]cost_plan!$AN:$AN,MATCH(A41,[1]cost_plan!$B:$B,0))</f>
        <v>0</v>
      </c>
      <c r="R41" s="20">
        <f t="shared" si="0"/>
        <v>0</v>
      </c>
      <c r="S41" s="20"/>
      <c r="T41" s="20">
        <f t="shared" si="4"/>
        <v>0</v>
      </c>
      <c r="U41" s="38">
        <f t="shared" si="1"/>
        <v>0</v>
      </c>
      <c r="V41" s="38">
        <f t="shared" si="2"/>
        <v>0</v>
      </c>
      <c r="W41" t="s">
        <v>292</v>
      </c>
      <c r="X41" s="44">
        <v>0.1</v>
      </c>
      <c r="Y41" s="25">
        <v>0</v>
      </c>
      <c r="Z41" t="str">
        <f t="shared" si="3"/>
        <v/>
      </c>
      <c r="AA41" s="38" t="str">
        <f t="shared" si="5"/>
        <v/>
      </c>
      <c r="AB41" s="27" t="str">
        <f t="shared" ref="AB41:AB43" si="9">IF(S41="","",30%*S41)</f>
        <v/>
      </c>
      <c r="AC41" s="25">
        <f t="shared" si="6"/>
        <v>0</v>
      </c>
      <c r="AE41">
        <v>1</v>
      </c>
      <c r="AF41" s="40">
        <f t="shared" si="7"/>
        <v>0</v>
      </c>
    </row>
    <row r="42" spans="1:33" x14ac:dyDescent="0.25">
      <c r="A42" s="6" t="s">
        <v>89</v>
      </c>
      <c r="B42" s="6" t="s">
        <v>212</v>
      </c>
      <c r="C42" s="25">
        <v>258570</v>
      </c>
      <c r="D42" s="25">
        <v>254430</v>
      </c>
      <c r="E42" s="25">
        <v>387000</v>
      </c>
      <c r="F42" s="25">
        <v>900000</v>
      </c>
      <c r="G42" s="21">
        <v>258570</v>
      </c>
      <c r="H42" s="21">
        <v>254430</v>
      </c>
      <c r="I42" s="21">
        <v>387000</v>
      </c>
      <c r="J42" s="21">
        <v>900000</v>
      </c>
      <c r="K42" s="21"/>
      <c r="L42" s="21"/>
      <c r="M42" s="20"/>
      <c r="N42" s="20">
        <v>0</v>
      </c>
      <c r="O42" s="20">
        <v>0</v>
      </c>
      <c r="P42" s="20">
        <v>0</v>
      </c>
      <c r="Q42" s="20">
        <f>INDEX([1]cost_plan!$AN:$AN,MATCH(A42,[1]cost_plan!$B:$B,0))</f>
        <v>0</v>
      </c>
      <c r="R42" s="20">
        <f t="shared" si="0"/>
        <v>0</v>
      </c>
      <c r="S42" s="20"/>
      <c r="T42" s="20">
        <f t="shared" si="4"/>
        <v>0</v>
      </c>
      <c r="U42" s="38">
        <f t="shared" si="1"/>
        <v>0</v>
      </c>
      <c r="V42" s="38">
        <f t="shared" si="2"/>
        <v>0</v>
      </c>
      <c r="W42" t="s">
        <v>292</v>
      </c>
      <c r="X42" s="44">
        <v>0.1</v>
      </c>
      <c r="Y42" s="25">
        <v>0</v>
      </c>
      <c r="Z42" t="str">
        <f t="shared" si="3"/>
        <v/>
      </c>
      <c r="AA42" s="38" t="str">
        <f t="shared" si="5"/>
        <v/>
      </c>
      <c r="AB42" s="27" t="str">
        <f t="shared" si="9"/>
        <v/>
      </c>
      <c r="AC42" s="25">
        <f t="shared" si="6"/>
        <v>0</v>
      </c>
      <c r="AE42">
        <v>1</v>
      </c>
      <c r="AF42" s="40">
        <f t="shared" si="7"/>
        <v>0</v>
      </c>
    </row>
    <row r="43" spans="1:33" x14ac:dyDescent="0.25">
      <c r="A43" s="6" t="s">
        <v>158</v>
      </c>
      <c r="B43" s="6" t="s">
        <v>213</v>
      </c>
      <c r="C43" s="25">
        <v>0</v>
      </c>
      <c r="D43" s="25">
        <v>0</v>
      </c>
      <c r="E43" s="25">
        <v>0</v>
      </c>
      <c r="F43" s="25">
        <v>0</v>
      </c>
      <c r="G43" s="21">
        <v>145643709.59999999</v>
      </c>
      <c r="H43" s="21">
        <v>143311788.03999999</v>
      </c>
      <c r="I43" s="21">
        <v>217983971.91</v>
      </c>
      <c r="J43" s="21">
        <v>506939469.54999995</v>
      </c>
      <c r="K43" s="21"/>
      <c r="L43" s="21">
        <f>J43-F43</f>
        <v>506939469.54999995</v>
      </c>
      <c r="M43" s="20"/>
      <c r="N43" s="20"/>
      <c r="O43" s="20"/>
      <c r="P43" s="20"/>
      <c r="Q43" s="20"/>
      <c r="R43" s="20"/>
      <c r="S43" s="20"/>
      <c r="T43" s="20">
        <f t="shared" si="4"/>
        <v>0</v>
      </c>
      <c r="U43" s="38">
        <f t="shared" si="1"/>
        <v>0</v>
      </c>
      <c r="V43" s="38">
        <f t="shared" si="2"/>
        <v>0</v>
      </c>
      <c r="W43" t="s">
        <v>362</v>
      </c>
      <c r="X43" s="44">
        <v>0.1</v>
      </c>
      <c r="Y43" s="25">
        <v>0</v>
      </c>
      <c r="Z43" t="str">
        <f t="shared" si="3"/>
        <v/>
      </c>
      <c r="AA43" s="38" t="str">
        <f t="shared" si="5"/>
        <v/>
      </c>
      <c r="AB43" s="27" t="str">
        <f t="shared" si="9"/>
        <v/>
      </c>
      <c r="AC43" s="25">
        <f t="shared" si="6"/>
        <v>0</v>
      </c>
      <c r="AE43">
        <v>1</v>
      </c>
      <c r="AF43" s="40">
        <f t="shared" si="7"/>
        <v>0</v>
      </c>
    </row>
    <row r="44" spans="1:33" x14ac:dyDescent="0.25">
      <c r="B44" t="s">
        <v>193</v>
      </c>
      <c r="C44" s="20">
        <f t="shared" ref="C44:M44" si="10">SUM(C2:C43)</f>
        <v>850454419.57999992</v>
      </c>
      <c r="D44" s="20">
        <f t="shared" si="10"/>
        <v>836837676.35000014</v>
      </c>
      <c r="E44" s="20">
        <f t="shared" si="10"/>
        <v>1272869475.8800001</v>
      </c>
      <c r="F44" s="20">
        <f t="shared" si="10"/>
        <v>2960161571.8100009</v>
      </c>
      <c r="G44" s="20">
        <f t="shared" si="10"/>
        <v>1023007542.8799998</v>
      </c>
      <c r="H44" s="20">
        <f t="shared" si="10"/>
        <v>1006628027.7599999</v>
      </c>
      <c r="I44" s="20">
        <f t="shared" si="10"/>
        <v>1531128588.3599997</v>
      </c>
      <c r="J44" s="20">
        <f t="shared" si="10"/>
        <v>3560764159</v>
      </c>
      <c r="K44" s="20"/>
      <c r="L44" s="20">
        <f>SUM(L2:L43)</f>
        <v>532596939.23999995</v>
      </c>
      <c r="M44" s="20">
        <f t="shared" si="10"/>
        <v>897678352.88979793</v>
      </c>
      <c r="N44" s="20">
        <f>SUM(N2:N43)</f>
        <v>348434135.71000004</v>
      </c>
      <c r="O44" s="20">
        <f>SUM(O2:O43)</f>
        <v>343189736.00999999</v>
      </c>
      <c r="P44" s="20">
        <f>SUM(P2:P43)</f>
        <v>524608090.29000002</v>
      </c>
      <c r="Q44" s="20"/>
      <c r="R44" s="20">
        <f>SUM(R2:R43)</f>
        <v>1216231962.01</v>
      </c>
      <c r="S44" s="20">
        <f>SUM(S2:S43)</f>
        <v>1225323050.21</v>
      </c>
      <c r="T44" s="20">
        <f>SUM(T2:T43)</f>
        <v>9091088.2000000067</v>
      </c>
      <c r="U44" s="38">
        <f t="shared" si="1"/>
        <v>0.41393789510643908</v>
      </c>
      <c r="V44" s="38">
        <f t="shared" si="2"/>
        <v>0.34411800262394182</v>
      </c>
      <c r="X44" s="36"/>
      <c r="AB44" s="20">
        <f>SUM(AB2:AB43)</f>
        <v>0</v>
      </c>
      <c r="AC44" s="20">
        <f>SUM(AC2:AC43)</f>
        <v>327644697.32020205</v>
      </c>
      <c r="AD44" s="20">
        <f>Risk0!F29</f>
        <v>657676183.76999998</v>
      </c>
      <c r="AE44" s="20"/>
      <c r="AF44" s="40">
        <f>SUM(AF2:AF43)+AD44</f>
        <v>985320881.09020209</v>
      </c>
    </row>
    <row r="45" spans="1:33" x14ac:dyDescent="0.25">
      <c r="F45" s="40"/>
      <c r="J45" s="40"/>
      <c r="S45" s="40"/>
    </row>
    <row r="46" spans="1:33" x14ac:dyDescent="0.25">
      <c r="F46" s="40"/>
      <c r="J46" s="40"/>
    </row>
    <row r="47" spans="1:33" x14ac:dyDescent="0.25">
      <c r="F47" s="20"/>
      <c r="J47" s="40"/>
    </row>
    <row r="48" spans="1:33" x14ac:dyDescent="0.25">
      <c r="F48" s="22"/>
    </row>
  </sheetData>
  <conditionalFormatting sqref="Z2:AA43">
    <cfRule type="cellIs" dxfId="4" priority="2" operator="lessThan">
      <formula>0</formula>
    </cfRule>
  </conditionalFormatting>
  <pageMargins left="0.7" right="0.7" top="0.75" bottom="0.75" header="0.3" footer="0.3"/>
  <pageSetup paperSize="9" orientation="portrait" horizontalDpi="300" verticalDpi="300" r:id="rId1"/>
  <ignoredErrors>
    <ignoredError sqref="R10:R42" formulaRange="1"/>
  </ignoredError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02388-9C69-4BB1-8F72-9BAD1C3FFE94}">
  <dimension ref="A1:K87"/>
  <sheetViews>
    <sheetView topLeftCell="A61" workbookViewId="0">
      <selection activeCell="H87" sqref="H87"/>
    </sheetView>
  </sheetViews>
  <sheetFormatPr defaultRowHeight="15" x14ac:dyDescent="0.25"/>
  <cols>
    <col min="1" max="1" width="10.7109375" style="39" bestFit="1" customWidth="1"/>
    <col min="3" max="3" width="18" bestFit="1" customWidth="1"/>
    <col min="4" max="4" width="19.5703125" style="20" customWidth="1"/>
    <col min="5" max="5" width="22" customWidth="1"/>
    <col min="6" max="6" width="24.5703125" style="20" bestFit="1" customWidth="1"/>
    <col min="7" max="7" width="15.28515625" bestFit="1" customWidth="1"/>
    <col min="8" max="8" width="16.85546875" bestFit="1" customWidth="1"/>
    <col min="9" max="9" width="11.5703125" customWidth="1"/>
  </cols>
  <sheetData>
    <row r="1" spans="1:11" x14ac:dyDescent="0.25">
      <c r="A1" s="39" t="s">
        <v>235</v>
      </c>
      <c r="B1" t="s">
        <v>236</v>
      </c>
      <c r="C1" t="s">
        <v>237</v>
      </c>
      <c r="D1" s="20" t="s">
        <v>238</v>
      </c>
      <c r="E1" t="s">
        <v>239</v>
      </c>
      <c r="F1" s="20" t="s">
        <v>240</v>
      </c>
      <c r="G1" t="s">
        <v>241</v>
      </c>
      <c r="H1" t="s">
        <v>242</v>
      </c>
      <c r="I1" t="s">
        <v>243</v>
      </c>
      <c r="J1" t="s">
        <v>244</v>
      </c>
      <c r="K1" t="s">
        <v>245</v>
      </c>
    </row>
    <row r="2" spans="1:11" x14ac:dyDescent="0.25">
      <c r="A2" s="39" t="s">
        <v>246</v>
      </c>
      <c r="B2">
        <v>2</v>
      </c>
      <c r="C2">
        <v>0.8</v>
      </c>
      <c r="D2" s="20">
        <f>C2*SUM('ContractPrice-CDE'!$C$2:$C$43)/100</f>
        <v>6803635.3566399999</v>
      </c>
      <c r="E2">
        <v>0.4</v>
      </c>
      <c r="F2" s="20">
        <f>E2*SUM('ContractPrice-CDE'!$C$2:$C$43)/100</f>
        <v>3401817.6783199999</v>
      </c>
      <c r="G2" s="40">
        <f>F2/SUM('ContractPrice-CDE'!$G$2:$G$43)*100</f>
        <v>0.33253104554274415</v>
      </c>
      <c r="H2" s="40">
        <f>G2*SUM('ContractPrice-CDE'!$G$2:$G$43)/100</f>
        <v>3401817.6783199999</v>
      </c>
      <c r="I2">
        <v>1</v>
      </c>
    </row>
    <row r="3" spans="1:11" x14ac:dyDescent="0.25">
      <c r="A3" s="39" t="s">
        <v>247</v>
      </c>
      <c r="B3">
        <v>4</v>
      </c>
      <c r="C3">
        <v>2</v>
      </c>
      <c r="D3" s="20">
        <f>C3*SUM('ContractPrice-CDE'!$C$2:$C$43)/100</f>
        <v>17009088.391599998</v>
      </c>
      <c r="E3">
        <v>0.8</v>
      </c>
      <c r="F3" s="20">
        <f>E3*SUM('ContractPrice-CDE'!$C$2:$C$43)/100</f>
        <v>6803635.3566399999</v>
      </c>
      <c r="G3" s="40">
        <f>F3/SUM('ContractPrice-CDE'!$G$2:$G$43)*100</f>
        <v>0.6650620910854883</v>
      </c>
      <c r="H3" s="40">
        <f>G3*SUM('ContractPrice-CDE'!$G$2:$G$43)/100</f>
        <v>6803635.3566399999</v>
      </c>
    </row>
    <row r="4" spans="1:11" x14ac:dyDescent="0.25">
      <c r="A4" s="39" t="s">
        <v>248</v>
      </c>
      <c r="B4">
        <v>6</v>
      </c>
      <c r="C4">
        <v>4.8</v>
      </c>
      <c r="D4" s="20">
        <f>C4*SUM('ContractPrice-CDE'!$C$2:$C$43)/100</f>
        <v>40821812.139839992</v>
      </c>
      <c r="E4">
        <v>1.2</v>
      </c>
      <c r="F4" s="20">
        <f>E4*SUM('ContractPrice-CDE'!$C$2:$C$43)/100</f>
        <v>10205453.034959998</v>
      </c>
      <c r="G4" s="40">
        <f>F4/SUM('ContractPrice-CDE'!$G$2:$G$43)*100</f>
        <v>0.99759313662823224</v>
      </c>
      <c r="H4" s="40">
        <f>G4*SUM('ContractPrice-CDE'!$G$2:$G$43)/100</f>
        <v>10205453.034959996</v>
      </c>
    </row>
    <row r="5" spans="1:11" x14ac:dyDescent="0.25">
      <c r="A5" s="39" t="s">
        <v>249</v>
      </c>
      <c r="B5">
        <v>8</v>
      </c>
      <c r="C5">
        <v>6.7</v>
      </c>
      <c r="D5" s="20">
        <f>C5*SUM('ContractPrice-CDE'!$C$2:$C$43)/100</f>
        <v>56980446.11186</v>
      </c>
      <c r="E5">
        <v>1.6</v>
      </c>
      <c r="F5" s="20">
        <f>E5*SUM('ContractPrice-CDE'!$C$2:$C$43)/100</f>
        <v>13607270.71328</v>
      </c>
      <c r="G5" s="40">
        <f>F5/SUM('ContractPrice-CDE'!$G$2:$G$43)*100</f>
        <v>1.3301241821709766</v>
      </c>
      <c r="H5" s="40">
        <f>G5*SUM('ContractPrice-CDE'!$G$2:$G$43)/100</f>
        <v>13607270.71328</v>
      </c>
    </row>
    <row r="6" spans="1:11" x14ac:dyDescent="0.25">
      <c r="A6" s="39" t="s">
        <v>250</v>
      </c>
      <c r="B6">
        <v>10</v>
      </c>
      <c r="C6">
        <v>8.5</v>
      </c>
      <c r="D6" s="20">
        <f>C6*SUM('ContractPrice-CDE'!$C$2:$C$43)/100</f>
        <v>72288625.664299995</v>
      </c>
      <c r="E6">
        <v>2.1</v>
      </c>
      <c r="F6" s="20">
        <f>E6*SUM('ContractPrice-CDE'!$C$2:$C$43)/100</f>
        <v>17859542.811179999</v>
      </c>
      <c r="G6" s="40">
        <f>F6/SUM('ContractPrice-CDE'!$G$2:$G$43)*100</f>
        <v>1.745787989099407</v>
      </c>
      <c r="H6" s="40">
        <f>G6*SUM('ContractPrice-CDE'!$G$2:$G$43)/100</f>
        <v>17859542.811180003</v>
      </c>
    </row>
    <row r="7" spans="1:11" x14ac:dyDescent="0.25">
      <c r="A7" s="39" t="s">
        <v>251</v>
      </c>
      <c r="B7">
        <v>12</v>
      </c>
      <c r="C7">
        <v>13.4</v>
      </c>
      <c r="D7" s="20">
        <f>C7*SUM('ContractPrice-CDE'!$C$2:$C$43)/100</f>
        <v>113960892.22372</v>
      </c>
      <c r="E7">
        <v>3.7</v>
      </c>
      <c r="F7" s="20">
        <f>E7*SUM('ContractPrice-CDE'!$C$2:$C$43)/100</f>
        <v>31466813.524460003</v>
      </c>
      <c r="G7" s="40">
        <f>F7/SUM('ContractPrice-CDE'!$G$2:$G$43)*100</f>
        <v>3.0759121712703839</v>
      </c>
      <c r="H7" s="40">
        <f>G7*SUM('ContractPrice-CDE'!$G$2:$G$43)/100</f>
        <v>31466813.524460007</v>
      </c>
    </row>
    <row r="8" spans="1:11" x14ac:dyDescent="0.25">
      <c r="A8" s="39" t="s">
        <v>252</v>
      </c>
      <c r="B8">
        <v>14</v>
      </c>
      <c r="C8">
        <v>17.5</v>
      </c>
      <c r="D8" s="20">
        <f>C8*SUM('ContractPrice-CDE'!$C$2:$C$43)/100</f>
        <v>148829523.42649996</v>
      </c>
      <c r="E8">
        <v>6.8</v>
      </c>
      <c r="F8" s="20">
        <f>E8*SUM('ContractPrice-CDE'!$C$2:$C$43)/100</f>
        <v>57830900.53143999</v>
      </c>
      <c r="G8" s="40">
        <f>F8/SUM('ContractPrice-CDE'!$G$2:$G$43)*100</f>
        <v>5.6530277742266497</v>
      </c>
      <c r="H8" s="40">
        <f>G8*SUM('ContractPrice-CDE'!$G$2:$G$43)/100</f>
        <v>57830900.53143999</v>
      </c>
    </row>
    <row r="9" spans="1:11" x14ac:dyDescent="0.25">
      <c r="A9" s="39" t="s">
        <v>253</v>
      </c>
      <c r="B9">
        <v>16</v>
      </c>
      <c r="C9">
        <v>22.9</v>
      </c>
      <c r="D9" s="20">
        <f>C9*SUM('ContractPrice-CDE'!$C$2:$C$43)/100</f>
        <v>194754062.08381996</v>
      </c>
      <c r="E9">
        <v>11.1</v>
      </c>
      <c r="F9" s="20">
        <f>E9*SUM('ContractPrice-CDE'!$C$2:$C$43)/100</f>
        <v>94400440.573379993</v>
      </c>
      <c r="G9" s="40">
        <f>F9/SUM('ContractPrice-CDE'!$G$2:$G$43)*100</f>
        <v>9.2277365138111502</v>
      </c>
      <c r="H9" s="40">
        <f>G9*SUM('ContractPrice-CDE'!$G$2:$G$43)/100</f>
        <v>94400440.573379993</v>
      </c>
    </row>
    <row r="10" spans="1:11" x14ac:dyDescent="0.25">
      <c r="A10" s="39" t="s">
        <v>254</v>
      </c>
      <c r="B10">
        <v>18</v>
      </c>
      <c r="C10">
        <v>26.5</v>
      </c>
      <c r="D10" s="20">
        <f>C10*SUM('ContractPrice-CDE'!$C$2:$C$43)/100</f>
        <v>225370421.18869999</v>
      </c>
      <c r="E10">
        <v>13.8</v>
      </c>
      <c r="F10" s="20">
        <f>E10*SUM('ContractPrice-CDE'!$C$2:$C$43)/100</f>
        <v>117362709.90204</v>
      </c>
      <c r="G10" s="40">
        <f>F10/SUM('ContractPrice-CDE'!$G$2:$G$43)*100</f>
        <v>11.472321071224673</v>
      </c>
      <c r="H10" s="40">
        <f>G10*SUM('ContractPrice-CDE'!$G$2:$G$43)/100</f>
        <v>117362709.90204</v>
      </c>
    </row>
    <row r="11" spans="1:11" x14ac:dyDescent="0.25">
      <c r="A11" s="39" t="s">
        <v>255</v>
      </c>
      <c r="B11">
        <v>20</v>
      </c>
      <c r="C11">
        <v>29.4</v>
      </c>
      <c r="D11" s="20">
        <f>C11*SUM('ContractPrice-CDE'!$C$2:$C$43)/100</f>
        <v>250033599.35651997</v>
      </c>
      <c r="E11">
        <v>14.2</v>
      </c>
      <c r="F11" s="20">
        <f>E11*SUM('ContractPrice-CDE'!$C$2:$C$43)/100</f>
        <v>120764527.58035998</v>
      </c>
      <c r="G11" s="40">
        <f>F11/SUM('ContractPrice-CDE'!$G$2:$G$43)*100</f>
        <v>11.804852116767416</v>
      </c>
      <c r="H11" s="40">
        <f>G11*SUM('ContractPrice-CDE'!$G$2:$G$43)/100</f>
        <v>120764527.58035998</v>
      </c>
    </row>
    <row r="12" spans="1:11" x14ac:dyDescent="0.25">
      <c r="A12" s="39" t="s">
        <v>256</v>
      </c>
      <c r="B12">
        <v>22</v>
      </c>
      <c r="C12">
        <v>33.200000000000003</v>
      </c>
      <c r="D12" s="20">
        <f>C12*SUM('ContractPrice-CDE'!$C$2:$C$43)/100</f>
        <v>282350867.30056</v>
      </c>
      <c r="E12">
        <v>16.8</v>
      </c>
      <c r="F12" s="20">
        <f>E12*SUM('ContractPrice-CDE'!$C$2:$C$43)/100</f>
        <v>142876342.48943999</v>
      </c>
      <c r="G12" s="40">
        <f>F12/SUM('ContractPrice-CDE'!$G$2:$G$43)*100</f>
        <v>13.966303912795256</v>
      </c>
      <c r="H12" s="40">
        <f>G12*SUM('ContractPrice-CDE'!$G$2:$G$43)/100</f>
        <v>142876342.48944002</v>
      </c>
    </row>
    <row r="13" spans="1:11" x14ac:dyDescent="0.25">
      <c r="A13" s="39" t="s">
        <v>257</v>
      </c>
      <c r="B13">
        <v>24</v>
      </c>
      <c r="C13">
        <v>37</v>
      </c>
      <c r="D13" s="20">
        <f>C13*SUM('ContractPrice-CDE'!$C$2:$C$43)/100</f>
        <v>314668135.2446</v>
      </c>
      <c r="E13">
        <v>17.5</v>
      </c>
      <c r="F13" s="20">
        <f>E13*SUM('ContractPrice-CDE'!$C$2:$C$43)/100</f>
        <v>148829523.42649996</v>
      </c>
      <c r="G13" s="40">
        <f>F13/SUM('ContractPrice-CDE'!$G$2:$G$43)*100</f>
        <v>14.548233242495053</v>
      </c>
      <c r="H13" s="40">
        <f>G13*SUM('ContractPrice-CDE'!$G$2:$G$43)/100</f>
        <v>148829523.42649996</v>
      </c>
    </row>
    <row r="14" spans="1:11" x14ac:dyDescent="0.25">
      <c r="A14" s="39" t="s">
        <v>258</v>
      </c>
      <c r="B14">
        <v>26</v>
      </c>
      <c r="C14">
        <v>41.1</v>
      </c>
      <c r="D14" s="20">
        <f>C14*SUM('ContractPrice-CDE'!$C$2:$C$43)/100</f>
        <v>349536766.44738001</v>
      </c>
      <c r="E14">
        <v>18.2</v>
      </c>
      <c r="F14" s="20">
        <f>E14*SUM('ContractPrice-CDE'!$C$2:$C$43)/100</f>
        <v>154782704.36355996</v>
      </c>
      <c r="G14" s="40">
        <f>F14/SUM('ContractPrice-CDE'!$G$2:$G$43)*100</f>
        <v>15.130162572194855</v>
      </c>
      <c r="H14" s="40">
        <f>G14*SUM('ContractPrice-CDE'!$G$2:$G$43)/100</f>
        <v>154782704.36355996</v>
      </c>
    </row>
    <row r="15" spans="1:11" x14ac:dyDescent="0.25">
      <c r="A15" s="39" t="s">
        <v>259</v>
      </c>
      <c r="B15">
        <v>28</v>
      </c>
      <c r="C15">
        <v>46.7</v>
      </c>
      <c r="D15" s="20">
        <f>C15*SUM('ContractPrice-CDE'!$C$2:$C$43)/100</f>
        <v>397162213.94385999</v>
      </c>
      <c r="E15">
        <v>18.8</v>
      </c>
      <c r="F15" s="20">
        <f>E15*SUM('ContractPrice-CDE'!$C$2:$C$43)/100</f>
        <v>159885430.88104001</v>
      </c>
      <c r="G15" s="40">
        <f>F15/SUM('ContractPrice-CDE'!$G$2:$G$43)*100</f>
        <v>15.628959140508977</v>
      </c>
      <c r="H15" s="40">
        <f>G15*SUM('ContractPrice-CDE'!$G$2:$G$43)/100</f>
        <v>159885430.88104001</v>
      </c>
    </row>
    <row r="16" spans="1:11" x14ac:dyDescent="0.25">
      <c r="A16" s="39" t="s">
        <v>260</v>
      </c>
      <c r="B16">
        <v>30</v>
      </c>
      <c r="C16">
        <v>54.2</v>
      </c>
      <c r="D16" s="20">
        <f>C16*SUM('ContractPrice-CDE'!$C$2:$C$43)/100</f>
        <v>460946295.41236001</v>
      </c>
      <c r="E16">
        <v>19.399999999999999</v>
      </c>
      <c r="F16" s="20">
        <f>E16*SUM('ContractPrice-CDE'!$C$2:$C$43)/100</f>
        <v>164988157.39851996</v>
      </c>
      <c r="G16" s="40">
        <f>F16/SUM('ContractPrice-CDE'!$G$2:$G$43)*100</f>
        <v>16.127755708823088</v>
      </c>
      <c r="H16" s="40">
        <f>G16*SUM('ContractPrice-CDE'!$G$2:$G$43)/100</f>
        <v>164988157.39851996</v>
      </c>
    </row>
    <row r="17" spans="1:8" x14ac:dyDescent="0.25">
      <c r="A17" s="39" t="s">
        <v>261</v>
      </c>
      <c r="B17">
        <v>32</v>
      </c>
      <c r="C17">
        <v>61.1</v>
      </c>
      <c r="D17" s="20">
        <f>C17*SUM('ContractPrice-CDE'!$C$2:$C$43)/100</f>
        <v>519627650.36337996</v>
      </c>
      <c r="E17">
        <v>19.399999999999999</v>
      </c>
      <c r="F17" s="20">
        <f>E17*SUM('ContractPrice-CDE'!$C$2:$C$43)/100</f>
        <v>164988157.39851996</v>
      </c>
      <c r="G17" s="40">
        <f>F17/SUM('ContractPrice-CDE'!$G$2:$G$43)*100</f>
        <v>16.127755708823088</v>
      </c>
      <c r="H17" s="40">
        <f>G17*SUM('ContractPrice-CDE'!$G$2:$G$43)/100</f>
        <v>164988157.39851996</v>
      </c>
    </row>
    <row r="18" spans="1:8" x14ac:dyDescent="0.25">
      <c r="A18" s="39" t="s">
        <v>262</v>
      </c>
      <c r="B18">
        <v>34</v>
      </c>
      <c r="C18">
        <v>67.2</v>
      </c>
      <c r="D18" s="20">
        <f>C18*SUM('ContractPrice-CDE'!$C$2:$C$43)/100</f>
        <v>571505369.95775998</v>
      </c>
      <c r="E18">
        <v>19.5</v>
      </c>
      <c r="F18" s="20">
        <f>E18*SUM('ContractPrice-CDE'!$C$2:$C$43)/100</f>
        <v>165838611.81809998</v>
      </c>
      <c r="G18" s="40">
        <f>F18/SUM('ContractPrice-CDE'!$G$2:$G$43)*100</f>
        <v>16.210888470208776</v>
      </c>
      <c r="H18" s="40">
        <f>G18*SUM('ContractPrice-CDE'!$G$2:$G$43)/100</f>
        <v>165838611.81809998</v>
      </c>
    </row>
    <row r="19" spans="1:8" x14ac:dyDescent="0.25">
      <c r="A19" s="39" t="s">
        <v>263</v>
      </c>
      <c r="B19">
        <v>36</v>
      </c>
      <c r="C19">
        <v>73.900000000000006</v>
      </c>
      <c r="D19" s="20">
        <f>C19*SUM('ContractPrice-CDE'!$C$2:$C$43)/100</f>
        <v>628485816.06962001</v>
      </c>
      <c r="E19">
        <v>19.899999999999999</v>
      </c>
      <c r="F19" s="20">
        <f>E19*SUM('ContractPrice-CDE'!$C$2:$C$43)/100</f>
        <v>169240429.49641997</v>
      </c>
      <c r="G19" s="40">
        <f>F19/SUM('ContractPrice-CDE'!$G$2:$G$43)*100</f>
        <v>16.543419515751516</v>
      </c>
      <c r="H19" s="40">
        <f>G19*SUM('ContractPrice-CDE'!$G$2:$G$43)/100</f>
        <v>169240429.49641994</v>
      </c>
    </row>
    <row r="20" spans="1:8" x14ac:dyDescent="0.25">
      <c r="A20" s="39" t="s">
        <v>264</v>
      </c>
      <c r="B20">
        <v>38</v>
      </c>
      <c r="C20">
        <v>80.5</v>
      </c>
      <c r="D20" s="20">
        <f>C20*SUM('ContractPrice-CDE'!$C$2:$C$43)/100</f>
        <v>684615807.76189995</v>
      </c>
      <c r="E20">
        <v>20.399999999999999</v>
      </c>
      <c r="F20" s="20">
        <f>E20*SUM('ContractPrice-CDE'!$C$2:$C$43)/100</f>
        <v>173492701.59431994</v>
      </c>
      <c r="G20" s="40">
        <f>F20/SUM('ContractPrice-CDE'!$G$2:$G$43)*100</f>
        <v>16.959083322679945</v>
      </c>
      <c r="H20" s="40">
        <f>G20*SUM('ContractPrice-CDE'!$G$2:$G$43)/100</f>
        <v>173492701.59431991</v>
      </c>
    </row>
    <row r="21" spans="1:8" x14ac:dyDescent="0.25">
      <c r="A21" s="39" t="s">
        <v>265</v>
      </c>
      <c r="B21">
        <v>40</v>
      </c>
      <c r="C21">
        <v>86</v>
      </c>
      <c r="D21" s="20">
        <f>C21*SUM('ContractPrice-CDE'!$C$2:$C$43)/100</f>
        <v>731390800.83879995</v>
      </c>
      <c r="E21">
        <v>20.6</v>
      </c>
      <c r="F21" s="20">
        <f>E21*SUM('ContractPrice-CDE'!$C$2:$C$43)/100</f>
        <v>175193610.43347999</v>
      </c>
      <c r="G21" s="40">
        <f>F21/SUM('ContractPrice-CDE'!$G$2:$G$43)*100</f>
        <v>17.125348845451324</v>
      </c>
      <c r="H21" s="40">
        <f>G21*SUM('ContractPrice-CDE'!$G$2:$G$43)/100</f>
        <v>175193610.43347999</v>
      </c>
    </row>
    <row r="22" spans="1:8" x14ac:dyDescent="0.25">
      <c r="A22" s="39" t="s">
        <v>266</v>
      </c>
      <c r="B22">
        <v>42</v>
      </c>
      <c r="C22">
        <v>92.1</v>
      </c>
      <c r="D22" s="20">
        <f>C22*SUM('ContractPrice-CDE'!$C$2:$C$43)/100</f>
        <v>783268520.43317997</v>
      </c>
      <c r="E22">
        <v>20.8</v>
      </c>
      <c r="F22" s="20">
        <f>E22*SUM('ContractPrice-CDE'!$C$2:$C$43)/100</f>
        <v>176894519.27263999</v>
      </c>
      <c r="G22" s="40">
        <f>F22/SUM('ContractPrice-CDE'!$G$2:$G$43)*100</f>
        <v>17.291614368222696</v>
      </c>
      <c r="H22" s="40">
        <f>G22*SUM('ContractPrice-CDE'!$G$2:$G$43)/100</f>
        <v>176894519.27263999</v>
      </c>
    </row>
    <row r="23" spans="1:8" x14ac:dyDescent="0.25">
      <c r="A23" s="39" t="s">
        <v>267</v>
      </c>
      <c r="B23">
        <v>44</v>
      </c>
      <c r="C23">
        <v>94.8</v>
      </c>
      <c r="D23" s="20">
        <f>C23*SUM('ContractPrice-CDE'!$C$2:$C$43)/100</f>
        <v>806230789.76183987</v>
      </c>
      <c r="E23">
        <v>21</v>
      </c>
      <c r="F23" s="20">
        <f>E23*SUM('ContractPrice-CDE'!$C$2:$C$43)/100</f>
        <v>178595428.11180001</v>
      </c>
      <c r="G23" s="40">
        <f>F23/SUM('ContractPrice-CDE'!$G$2:$G$43)*100</f>
        <v>17.457879890994072</v>
      </c>
      <c r="H23" s="40">
        <f>G23*SUM('ContractPrice-CDE'!$G$2:$G$43)/100</f>
        <v>178595428.11180004</v>
      </c>
    </row>
    <row r="24" spans="1:8" x14ac:dyDescent="0.25">
      <c r="A24" s="39" t="s">
        <v>268</v>
      </c>
      <c r="B24">
        <v>46</v>
      </c>
      <c r="C24">
        <v>96.7</v>
      </c>
      <c r="D24" s="20">
        <f>C24*SUM('ContractPrice-CDE'!$C$2:$C$43)/100</f>
        <v>822389423.73386002</v>
      </c>
      <c r="E24">
        <v>21.2</v>
      </c>
      <c r="F24" s="20">
        <f>E24*SUM('ContractPrice-CDE'!$C$2:$C$43)/100</f>
        <v>180296336.95095998</v>
      </c>
      <c r="G24" s="40">
        <f>F24/SUM('ContractPrice-CDE'!$G$2:$G$43)*100</f>
        <v>17.624145413765437</v>
      </c>
      <c r="H24" s="40">
        <f>G24*SUM('ContractPrice-CDE'!$G$2:$G$43)/100</f>
        <v>180296336.95095998</v>
      </c>
    </row>
    <row r="25" spans="1:8" x14ac:dyDescent="0.25">
      <c r="A25" s="39" t="s">
        <v>269</v>
      </c>
      <c r="B25">
        <v>48</v>
      </c>
      <c r="C25">
        <v>98.2</v>
      </c>
      <c r="D25" s="20">
        <f>C25*SUM('ContractPrice-CDE'!$C$2:$C$43)/100</f>
        <v>835146240.02756</v>
      </c>
      <c r="E25">
        <v>21.2</v>
      </c>
      <c r="F25" s="20">
        <f>E25*SUM('ContractPrice-CDE'!$C$2:$C$43)/100</f>
        <v>180296336.95095998</v>
      </c>
      <c r="G25" s="40">
        <f>F25/SUM('ContractPrice-CDE'!$G$2:$G$43)*100</f>
        <v>17.624145413765437</v>
      </c>
      <c r="H25" s="40">
        <f>G25*SUM('ContractPrice-CDE'!$G$2:$G$43)/100</f>
        <v>180296336.95095998</v>
      </c>
    </row>
    <row r="26" spans="1:8" x14ac:dyDescent="0.25">
      <c r="A26" s="39" t="s">
        <v>270</v>
      </c>
      <c r="B26">
        <v>50</v>
      </c>
      <c r="C26">
        <v>99.4</v>
      </c>
      <c r="D26" s="20">
        <f>C26*SUM('ContractPrice-CDE'!$C$2:$C$43)/100</f>
        <v>845351693.06252003</v>
      </c>
      <c r="E26">
        <v>21.2</v>
      </c>
      <c r="F26" s="20">
        <f>E26*SUM('ContractPrice-CDE'!$C$2:$C$43)/100</f>
        <v>180296336.95095998</v>
      </c>
      <c r="G26" s="40">
        <f>F26/SUM('ContractPrice-CDE'!$G$2:$G$43)*100</f>
        <v>17.624145413765437</v>
      </c>
      <c r="H26" s="40">
        <f>G26*SUM('ContractPrice-CDE'!$G$2:$G$43)/100</f>
        <v>180296336.95095998</v>
      </c>
    </row>
    <row r="27" spans="1:8" s="6" customFormat="1" x14ac:dyDescent="0.25">
      <c r="A27" s="41" t="s">
        <v>271</v>
      </c>
      <c r="B27" s="6">
        <v>52</v>
      </c>
      <c r="C27" s="6">
        <v>100</v>
      </c>
      <c r="D27" s="25">
        <f>C27*SUM('ContractPrice-CDE'!$C$2:$C$43)/100</f>
        <v>850454419.58000004</v>
      </c>
      <c r="E27" s="6">
        <v>21.2</v>
      </c>
      <c r="F27" s="25">
        <f>E27*SUM('ContractPrice-CDE'!$C$2:$C$43)/100</f>
        <v>180296336.95095998</v>
      </c>
      <c r="G27" s="42">
        <f>F27/SUM('ContractPrice-CDE'!$G$2:$G$43)*100</f>
        <v>17.624145413765437</v>
      </c>
      <c r="H27" s="42">
        <f>G27*SUM('ContractPrice-CDE'!$G$2:$G$43)/100</f>
        <v>180296336.95095998</v>
      </c>
    </row>
    <row r="28" spans="1:8" x14ac:dyDescent="0.25">
      <c r="A28" s="39" t="s">
        <v>272</v>
      </c>
      <c r="B28">
        <v>54</v>
      </c>
      <c r="C28">
        <v>100</v>
      </c>
      <c r="D28" s="20">
        <f>C28*SUM('ContractPrice-CDE'!$C$2:$C$43)/100</f>
        <v>850454419.58000004</v>
      </c>
      <c r="E28">
        <v>21.2</v>
      </c>
      <c r="F28" s="20">
        <f>E28*SUM('ContractPrice-CDE'!$C$2:$C$43)/100</f>
        <v>180296336.95095998</v>
      </c>
      <c r="G28" s="40">
        <f>F28/SUM('ContractPrice-CDE'!$G$2:$G$43)*100</f>
        <v>17.624145413765437</v>
      </c>
      <c r="H28" s="40">
        <f>G28*SUM('ContractPrice-CDE'!$G$2:$G$43)/100</f>
        <v>180296336.95095998</v>
      </c>
    </row>
    <row r="29" spans="1:8" x14ac:dyDescent="0.25">
      <c r="A29" s="39" t="s">
        <v>273</v>
      </c>
      <c r="B29">
        <v>56</v>
      </c>
      <c r="C29">
        <v>100</v>
      </c>
      <c r="D29" s="20">
        <f>C29*SUM('ContractPrice-CDE'!$C$2:$C$43)/100</f>
        <v>850454419.58000004</v>
      </c>
      <c r="E29">
        <v>21.2</v>
      </c>
      <c r="F29" s="20">
        <f>E29*SUM('ContractPrice-CDE'!$C$2:$C$43)/100</f>
        <v>180296336.95095998</v>
      </c>
      <c r="G29" s="40">
        <f>F29/SUM('ContractPrice-CDE'!$G$2:$G$43)*100</f>
        <v>17.624145413765437</v>
      </c>
      <c r="H29" s="40">
        <f>G29*SUM('ContractPrice-CDE'!$G$2:$G$43)/100</f>
        <v>180296336.95095998</v>
      </c>
    </row>
    <row r="30" spans="1:8" x14ac:dyDescent="0.25">
      <c r="A30" s="39" t="s">
        <v>274</v>
      </c>
      <c r="B30">
        <v>58</v>
      </c>
      <c r="C30">
        <v>100</v>
      </c>
      <c r="D30" s="20">
        <f>C30*SUM('ContractPrice-CDE'!$C$2:$C$43)/100</f>
        <v>850454419.58000004</v>
      </c>
      <c r="E30">
        <v>21.9</v>
      </c>
      <c r="F30" s="20">
        <f>E30*SUM('ContractPrice-CDE'!$C$2:$C$43)/100</f>
        <v>186249517.88801998</v>
      </c>
      <c r="G30" s="40">
        <f>F30/SUM('ContractPrice-CDE'!$G$2:$G$43)*100</f>
        <v>18.206074743465241</v>
      </c>
      <c r="H30" s="40">
        <f>G30*SUM('ContractPrice-CDE'!$G$2:$G$43)/100</f>
        <v>186249517.88801998</v>
      </c>
    </row>
    <row r="31" spans="1:8" x14ac:dyDescent="0.25">
      <c r="A31" s="39" t="s">
        <v>275</v>
      </c>
      <c r="B31">
        <v>60</v>
      </c>
      <c r="C31">
        <v>100</v>
      </c>
      <c r="D31" s="20">
        <f>C31*SUM('ContractPrice-CDE'!$C$2:$C$43)/100</f>
        <v>850454419.58000004</v>
      </c>
      <c r="E31">
        <v>22.5</v>
      </c>
      <c r="F31" s="20">
        <f>E31*SUM('ContractPrice-CDE'!$C$2:$C$43)/100</f>
        <v>191352244.40549999</v>
      </c>
      <c r="G31" s="40">
        <f>F31/SUM('ContractPrice-CDE'!$G$2:$G$43)*100</f>
        <v>18.704871311779357</v>
      </c>
      <c r="H31" s="40">
        <f>G31*SUM('ContractPrice-CDE'!$G$2:$G$43)/100</f>
        <v>191352244.40549999</v>
      </c>
    </row>
    <row r="32" spans="1:8" x14ac:dyDescent="0.25">
      <c r="A32" s="39" t="s">
        <v>276</v>
      </c>
      <c r="B32">
        <v>62</v>
      </c>
      <c r="C32">
        <v>100</v>
      </c>
      <c r="D32" s="20">
        <f>C32*SUM('ContractPrice-CDE'!$C$2:$C$43)/100</f>
        <v>850454419.58000004</v>
      </c>
      <c r="E32">
        <v>23.6</v>
      </c>
      <c r="F32" s="20">
        <f>E32*SUM('ContractPrice-CDE'!$C$2:$C$43)/100</f>
        <v>200707243.02088001</v>
      </c>
      <c r="G32" s="40">
        <f>F32/SUM('ContractPrice-CDE'!$G$2:$G$43)*100</f>
        <v>19.619331687021909</v>
      </c>
      <c r="H32" s="40">
        <f>G32*SUM('ContractPrice-CDE'!$G$2:$G$43)/100</f>
        <v>200707243.02088001</v>
      </c>
    </row>
    <row r="33" spans="1:9" x14ac:dyDescent="0.25">
      <c r="A33" s="39" t="s">
        <v>277</v>
      </c>
      <c r="B33">
        <v>64</v>
      </c>
      <c r="C33">
        <v>100</v>
      </c>
      <c r="D33" s="20">
        <f>C33*SUM('ContractPrice-CDE'!$C$2:$C$43)/100</f>
        <v>850454419.58000004</v>
      </c>
      <c r="E33">
        <v>23.7</v>
      </c>
      <c r="F33" s="20">
        <f>E33*SUM('ContractPrice-CDE'!$C$2:$C$43)/100</f>
        <v>201557697.44045997</v>
      </c>
      <c r="G33" s="40">
        <f>F33/SUM('ContractPrice-CDE'!$G$2:$G$43)*100</f>
        <v>19.702464448407589</v>
      </c>
      <c r="H33" s="40">
        <f>G33*SUM('ContractPrice-CDE'!$G$2:$G$43)/100</f>
        <v>201557697.44045997</v>
      </c>
    </row>
    <row r="34" spans="1:9" x14ac:dyDescent="0.25">
      <c r="A34" s="39" t="s">
        <v>278</v>
      </c>
      <c r="B34">
        <v>66</v>
      </c>
      <c r="C34">
        <v>100</v>
      </c>
      <c r="D34" s="20">
        <f>C34*SUM('ContractPrice-CDE'!$C$2:$C$43)/100</f>
        <v>850454419.58000004</v>
      </c>
      <c r="E34">
        <v>23.7</v>
      </c>
      <c r="F34" s="20">
        <f>E34*SUM('ContractPrice-CDE'!$C$2:$C$43)/100</f>
        <v>201557697.44045997</v>
      </c>
      <c r="G34" s="40">
        <f>F34/SUM('ContractPrice-CDE'!$G$2:$G$43)*100</f>
        <v>19.702464448407589</v>
      </c>
      <c r="H34" s="40">
        <f>G34*SUM('ContractPrice-CDE'!$G$2:$G$43)/100</f>
        <v>201557697.44045997</v>
      </c>
    </row>
    <row r="35" spans="1:9" x14ac:dyDescent="0.25">
      <c r="A35" s="39" t="s">
        <v>279</v>
      </c>
      <c r="B35">
        <v>68</v>
      </c>
      <c r="C35">
        <v>100</v>
      </c>
      <c r="D35" s="20">
        <f>C35*SUM('ContractPrice-CDE'!$C$2:$C$43)/100</f>
        <v>850454419.58000004</v>
      </c>
      <c r="E35">
        <v>23.7</v>
      </c>
      <c r="F35" s="20">
        <f>E35*SUM('ContractPrice-CDE'!$C$2:$C$43)/100</f>
        <v>201557697.44045997</v>
      </c>
      <c r="G35" s="40">
        <f>F35/SUM('ContractPrice-CDE'!$G$2:$G$43)*100</f>
        <v>19.702464448407589</v>
      </c>
      <c r="H35" s="40">
        <f>G35*SUM('ContractPrice-CDE'!$G$2:$G$43)/100</f>
        <v>201557697.44045997</v>
      </c>
    </row>
    <row r="36" spans="1:9" x14ac:dyDescent="0.25">
      <c r="A36" s="39" t="s">
        <v>280</v>
      </c>
      <c r="B36">
        <v>70</v>
      </c>
      <c r="C36">
        <v>100</v>
      </c>
      <c r="D36" s="20">
        <f>C36*SUM('ContractPrice-CDE'!$C$2:$C$43)/100</f>
        <v>850454419.58000004</v>
      </c>
      <c r="E36">
        <v>24.1</v>
      </c>
      <c r="F36" s="20">
        <f>E36*SUM('ContractPrice-CDE'!$C$2:$C$43)/100</f>
        <v>204959515.11877999</v>
      </c>
      <c r="G36" s="40">
        <f>F36/SUM('ContractPrice-CDE'!$G$2:$G$43)*100</f>
        <v>20.034995493950333</v>
      </c>
      <c r="H36" s="40">
        <f>G36*SUM('ContractPrice-CDE'!$G$2:$G$43)/100</f>
        <v>204959515.11877999</v>
      </c>
    </row>
    <row r="37" spans="1:9" x14ac:dyDescent="0.25">
      <c r="A37" s="39" t="s">
        <v>281</v>
      </c>
      <c r="B37">
        <v>72</v>
      </c>
      <c r="C37">
        <v>100</v>
      </c>
      <c r="D37" s="20">
        <f>C37*SUM('ContractPrice-CDE'!$C$2:$C$43)/100</f>
        <v>850454419.58000004</v>
      </c>
      <c r="E37">
        <v>24.1</v>
      </c>
      <c r="F37" s="20">
        <f>E37*SUM('ContractPrice-CDE'!$C$2:$C$43)/100</f>
        <v>204959515.11877999</v>
      </c>
      <c r="G37" s="40">
        <f>F37/SUM('ContractPrice-CDE'!$G$2:$G$43)*100</f>
        <v>20.034995493950333</v>
      </c>
      <c r="H37" s="40">
        <f>G37*SUM('ContractPrice-CDE'!$G$2:$G$43)/100</f>
        <v>204959515.11877999</v>
      </c>
    </row>
    <row r="38" spans="1:9" x14ac:dyDescent="0.25">
      <c r="A38" s="39" t="s">
        <v>282</v>
      </c>
      <c r="B38">
        <v>74</v>
      </c>
      <c r="C38">
        <v>100</v>
      </c>
      <c r="D38" s="20">
        <f>C38*SUM('ContractPrice-CDE'!$C$2:$C$43)/100</f>
        <v>850454419.58000004</v>
      </c>
      <c r="E38">
        <v>24.1</v>
      </c>
      <c r="F38" s="20">
        <f>E38*SUM('ContractPrice-CDE'!$C$2:$C$43)/100</f>
        <v>204959515.11877999</v>
      </c>
      <c r="G38" s="40">
        <f>F38/SUM('ContractPrice-CDE'!$G$2:$G$43)*100</f>
        <v>20.034995493950333</v>
      </c>
      <c r="H38" s="40">
        <f>G38*SUM('ContractPrice-CDE'!$G$2:$G$43)/100</f>
        <v>204959515.11877999</v>
      </c>
    </row>
    <row r="39" spans="1:9" x14ac:dyDescent="0.25">
      <c r="A39" s="39" t="s">
        <v>283</v>
      </c>
      <c r="B39">
        <v>76</v>
      </c>
      <c r="C39">
        <v>100</v>
      </c>
      <c r="D39" s="20">
        <f>C39*SUM('ContractPrice-CDE'!$C$2:$C$43)/100</f>
        <v>850454419.58000004</v>
      </c>
      <c r="E39">
        <v>24.1</v>
      </c>
      <c r="F39" s="20">
        <f>E39*SUM('ContractPrice-CDE'!$C$2:$C$43)/100</f>
        <v>204959515.11877999</v>
      </c>
      <c r="G39" s="40">
        <f>F39/SUM('ContractPrice-CDE'!$G$2:$G$43)*100</f>
        <v>20.034995493950333</v>
      </c>
      <c r="H39" s="40">
        <f>G39*SUM('ContractPrice-CDE'!$G$2:$G$43)/100</f>
        <v>204959515.11877999</v>
      </c>
    </row>
    <row r="40" spans="1:9" x14ac:dyDescent="0.25">
      <c r="A40" s="39" t="s">
        <v>284</v>
      </c>
      <c r="B40">
        <v>78</v>
      </c>
      <c r="C40">
        <v>100</v>
      </c>
      <c r="D40" s="20">
        <f>C40*SUM('ContractPrice-CDE'!$C$2:$C$43)/100</f>
        <v>850454419.58000004</v>
      </c>
      <c r="E40">
        <v>24.7</v>
      </c>
      <c r="F40" s="20">
        <f>E40*SUM('ContractPrice-CDE'!$C$2:$C$43)/100</f>
        <v>210062241.63625994</v>
      </c>
      <c r="G40" s="40">
        <f>F40/SUM('ContractPrice-CDE'!$G$2:$G$43)*100</f>
        <v>20.533792062264446</v>
      </c>
      <c r="H40" s="40">
        <f>G40*SUM('ContractPrice-CDE'!$G$2:$G$43)/100</f>
        <v>210062241.63625994</v>
      </c>
    </row>
    <row r="41" spans="1:9" x14ac:dyDescent="0.25">
      <c r="A41" s="39" t="s">
        <v>285</v>
      </c>
      <c r="B41">
        <v>80</v>
      </c>
      <c r="C41">
        <v>100</v>
      </c>
      <c r="D41" s="20">
        <f>C41*SUM('ContractPrice-CDE'!$C$2:$C$43)/100</f>
        <v>850454419.58000004</v>
      </c>
      <c r="E41">
        <v>24.7</v>
      </c>
      <c r="F41" s="20">
        <f>E41*SUM('ContractPrice-CDE'!$C$2:$C$43)/100</f>
        <v>210062241.63625994</v>
      </c>
      <c r="G41" s="40">
        <f>F41/SUM('ContractPrice-CDE'!$G$2:$G$43)*100</f>
        <v>20.533792062264446</v>
      </c>
      <c r="H41" s="40">
        <f>G41*SUM('ContractPrice-CDE'!$G$2:$G$43)/100</f>
        <v>210062241.63625994</v>
      </c>
    </row>
    <row r="42" spans="1:9" s="6" customFormat="1" x14ac:dyDescent="0.25">
      <c r="A42" s="41" t="s">
        <v>286</v>
      </c>
      <c r="B42" s="6">
        <v>82</v>
      </c>
      <c r="C42" s="6">
        <v>100</v>
      </c>
      <c r="D42" s="25">
        <f>C42*SUM('ContractPrice-CDE'!$C$2:$C$43)/100</f>
        <v>850454419.58000004</v>
      </c>
      <c r="E42" s="6">
        <v>24.7</v>
      </c>
      <c r="F42" s="25">
        <f>E42*SUM('ContractPrice-CDE'!$C$2:$C$43)/100</f>
        <v>210062241.63625994</v>
      </c>
      <c r="G42" s="42">
        <f>F42/SUM('ContractPrice-CDE'!$G$2:$G$43)*100</f>
        <v>20.533792062264446</v>
      </c>
      <c r="H42" s="42">
        <f>G42*SUM('ContractPrice-CDE'!$G$2:$G$43)/100</f>
        <v>210062241.63625994</v>
      </c>
      <c r="I42" s="6">
        <v>1.7659157319496819</v>
      </c>
    </row>
    <row r="43" spans="1:9" x14ac:dyDescent="0.25">
      <c r="A43" s="39">
        <v>43860</v>
      </c>
      <c r="B43">
        <v>84</v>
      </c>
      <c r="C43">
        <v>100</v>
      </c>
      <c r="D43" s="20">
        <f>C43*SUM('ContractPrice-CDE'!$C$2:$C$43)/100</f>
        <v>850454419.58000004</v>
      </c>
      <c r="E43">
        <v>26.373333333333335</v>
      </c>
      <c r="F43" s="20">
        <f>E43*SUM('ContractPrice-CDE'!$C$2:$C$43)/100</f>
        <v>224293178.92389867</v>
      </c>
      <c r="G43" s="40">
        <f t="shared" ref="G43:G87" si="0">G42+$I$42</f>
        <v>22.299707794214129</v>
      </c>
      <c r="H43" s="40">
        <f>G43*SUM('ContractPrice-CDE'!$G$2:$G$43)/100</f>
        <v>228127692.77500975</v>
      </c>
    </row>
    <row r="44" spans="1:9" x14ac:dyDescent="0.25">
      <c r="A44" s="39">
        <v>43875</v>
      </c>
      <c r="B44">
        <v>86</v>
      </c>
      <c r="C44">
        <v>100</v>
      </c>
      <c r="D44" s="20">
        <f>C44*SUM('ContractPrice-CDE'!$C$2:$C$43)/100</f>
        <v>850454419.58000004</v>
      </c>
      <c r="E44">
        <v>28.04666666666667</v>
      </c>
      <c r="F44" s="20">
        <f>E44*SUM('ContractPrice-CDE'!$C$2:$C$43)/100</f>
        <v>238524116.21153736</v>
      </c>
      <c r="G44" s="40">
        <f t="shared" si="0"/>
        <v>24.065623526163812</v>
      </c>
      <c r="H44" s="40">
        <f>G44*SUM('ContractPrice-CDE'!$G$2:$G$43)/100</f>
        <v>246193143.91375959</v>
      </c>
    </row>
    <row r="45" spans="1:9" x14ac:dyDescent="0.25">
      <c r="A45" s="39">
        <v>43890</v>
      </c>
      <c r="B45">
        <v>88</v>
      </c>
      <c r="C45">
        <v>100</v>
      </c>
      <c r="D45" s="20">
        <f>C45*SUM('ContractPrice-CDE'!$C$2:$C$43)/100</f>
        <v>850454419.58000004</v>
      </c>
      <c r="E45">
        <v>29.720000000000006</v>
      </c>
      <c r="F45" s="20">
        <f>E45*SUM('ContractPrice-CDE'!$C$2:$C$43)/100</f>
        <v>252755053.49917603</v>
      </c>
      <c r="G45" s="40">
        <f t="shared" si="0"/>
        <v>25.831539258113494</v>
      </c>
      <c r="H45" s="40">
        <f>G45*SUM('ContractPrice-CDE'!$G$2:$G$43)/100</f>
        <v>264258595.0525094</v>
      </c>
    </row>
    <row r="46" spans="1:9" x14ac:dyDescent="0.25">
      <c r="A46" s="39">
        <v>43905</v>
      </c>
      <c r="B46">
        <v>90</v>
      </c>
      <c r="C46">
        <v>100</v>
      </c>
      <c r="D46" s="20">
        <f>C46*SUM('ContractPrice-CDE'!$C$2:$C$43)/100</f>
        <v>850454419.58000004</v>
      </c>
      <c r="E46">
        <v>31.393333333333342</v>
      </c>
      <c r="F46" s="20">
        <f>E46*SUM('ContractPrice-CDE'!$C$2:$C$43)/100</f>
        <v>266985990.78681472</v>
      </c>
      <c r="G46" s="40">
        <f t="shared" si="0"/>
        <v>27.597454990063177</v>
      </c>
      <c r="H46" s="40">
        <f>G46*SUM('ContractPrice-CDE'!$G$2:$G$43)/100</f>
        <v>282324046.19125921</v>
      </c>
    </row>
    <row r="47" spans="1:9" x14ac:dyDescent="0.25">
      <c r="A47" s="39">
        <v>43920</v>
      </c>
      <c r="B47">
        <v>92</v>
      </c>
      <c r="C47">
        <v>100</v>
      </c>
      <c r="D47" s="20">
        <f>C47*SUM('ContractPrice-CDE'!$C$2:$C$43)/100</f>
        <v>850454419.58000004</v>
      </c>
      <c r="E47">
        <v>33.066666666666677</v>
      </c>
      <c r="F47" s="20">
        <f>E47*SUM('ContractPrice-CDE'!$C$2:$C$43)/100</f>
        <v>281216928.07445341</v>
      </c>
      <c r="G47" s="40">
        <f t="shared" si="0"/>
        <v>29.36337072201286</v>
      </c>
      <c r="H47" s="40">
        <f>G47*SUM('ContractPrice-CDE'!$G$2:$G$43)/100</f>
        <v>300389497.33000898</v>
      </c>
    </row>
    <row r="48" spans="1:9" x14ac:dyDescent="0.25">
      <c r="A48" s="39">
        <v>43936</v>
      </c>
      <c r="B48">
        <v>94</v>
      </c>
      <c r="C48">
        <v>100</v>
      </c>
      <c r="D48" s="20">
        <f>C48*SUM('ContractPrice-CDE'!$C$2:$C$43)/100</f>
        <v>850454419.58000004</v>
      </c>
      <c r="E48">
        <v>34.740000000000009</v>
      </c>
      <c r="F48" s="20">
        <f>E48*SUM('ContractPrice-CDE'!$C$2:$C$43)/100</f>
        <v>295447865.36209208</v>
      </c>
      <c r="G48" s="40">
        <f t="shared" si="0"/>
        <v>31.129286453962543</v>
      </c>
      <c r="H48" s="40">
        <f>G48*SUM('ContractPrice-CDE'!$G$2:$G$43)/100</f>
        <v>318454948.46875882</v>
      </c>
    </row>
    <row r="49" spans="1:8" x14ac:dyDescent="0.25">
      <c r="A49" s="39">
        <v>43951</v>
      </c>
      <c r="B49">
        <v>96</v>
      </c>
      <c r="C49">
        <v>100</v>
      </c>
      <c r="D49" s="20">
        <f>C49*SUM('ContractPrice-CDE'!$C$2:$C$43)/100</f>
        <v>850454419.58000004</v>
      </c>
      <c r="E49">
        <v>36.413333333333341</v>
      </c>
      <c r="F49" s="20">
        <f>E49*SUM('ContractPrice-CDE'!$C$2:$C$43)/100</f>
        <v>309678802.64973074</v>
      </c>
      <c r="G49" s="40">
        <f t="shared" si="0"/>
        <v>32.895202185912225</v>
      </c>
      <c r="H49" s="40">
        <f>G49*SUM('ContractPrice-CDE'!$G$2:$G$43)/100</f>
        <v>336520399.6075086</v>
      </c>
    </row>
    <row r="50" spans="1:8" x14ac:dyDescent="0.25">
      <c r="A50" s="39">
        <v>43966</v>
      </c>
      <c r="B50">
        <v>98</v>
      </c>
      <c r="C50">
        <v>100</v>
      </c>
      <c r="D50" s="20">
        <f>C50*SUM('ContractPrice-CDE'!$C$2:$C$43)/100</f>
        <v>850454419.58000004</v>
      </c>
      <c r="E50">
        <v>38.086666666666673</v>
      </c>
      <c r="F50" s="20">
        <f>E50*SUM('ContractPrice-CDE'!$C$2:$C$43)/100</f>
        <v>323909739.93736935</v>
      </c>
      <c r="G50" s="40">
        <f t="shared" si="0"/>
        <v>34.661117917861908</v>
      </c>
      <c r="H50" s="40">
        <f>G50*SUM('ContractPrice-CDE'!$G$2:$G$43)/100</f>
        <v>354585850.7462585</v>
      </c>
    </row>
    <row r="51" spans="1:8" s="6" customFormat="1" x14ac:dyDescent="0.25">
      <c r="A51" s="41">
        <v>43981</v>
      </c>
      <c r="B51" s="6">
        <v>100</v>
      </c>
      <c r="C51" s="6">
        <v>100</v>
      </c>
      <c r="D51" s="25">
        <f>C51*SUM('ContractPrice-CDE'!$C$2:$C$43)/100</f>
        <v>850454419.58000004</v>
      </c>
      <c r="E51" s="6">
        <v>39.760000000000005</v>
      </c>
      <c r="F51" s="25">
        <f>E51*SUM('ContractPrice-CDE'!$C$2:$C$43)/100</f>
        <v>338140677.22500801</v>
      </c>
      <c r="G51" s="40">
        <f t="shared" si="0"/>
        <v>36.427033649811591</v>
      </c>
      <c r="H51" s="40">
        <f>G51*SUM('ContractPrice-CDE'!$G$2:$G$43)/100</f>
        <v>372651301.88500822</v>
      </c>
    </row>
    <row r="52" spans="1:8" x14ac:dyDescent="0.25">
      <c r="A52" s="39">
        <v>43997</v>
      </c>
      <c r="B52">
        <v>102</v>
      </c>
      <c r="C52">
        <v>100</v>
      </c>
      <c r="D52" s="20">
        <f>C52*SUM('ContractPrice-CDE'!$C$2:$C$43)/100</f>
        <v>850454419.58000004</v>
      </c>
      <c r="E52">
        <v>41.433333333333337</v>
      </c>
      <c r="F52" s="20">
        <f>E52*SUM('ContractPrice-CDE'!$C$2:$C$43)/100</f>
        <v>352371614.51264662</v>
      </c>
      <c r="G52" s="40">
        <f t="shared" si="0"/>
        <v>38.192949381761274</v>
      </c>
      <c r="H52" s="40">
        <f>G52*SUM('ContractPrice-CDE'!$G$2:$G$43)/100</f>
        <v>390716753.02375811</v>
      </c>
    </row>
    <row r="53" spans="1:8" x14ac:dyDescent="0.25">
      <c r="A53" s="39">
        <v>44012</v>
      </c>
      <c r="B53">
        <v>104</v>
      </c>
      <c r="C53">
        <v>100</v>
      </c>
      <c r="D53" s="20">
        <f>C53*SUM('ContractPrice-CDE'!$C$2:$C$43)/100</f>
        <v>850454419.58000004</v>
      </c>
      <c r="E53">
        <v>43.106666666666669</v>
      </c>
      <c r="F53" s="20">
        <f>E53*SUM('ContractPrice-CDE'!$C$2:$C$43)/100</f>
        <v>366602551.80028534</v>
      </c>
      <c r="G53" s="40">
        <f t="shared" si="0"/>
        <v>39.958865113710957</v>
      </c>
      <c r="H53" s="40">
        <f>G53*SUM('ContractPrice-CDE'!$G$2:$G$43)/100</f>
        <v>408782204.16250783</v>
      </c>
    </row>
    <row r="54" spans="1:8" x14ac:dyDescent="0.25">
      <c r="A54" s="39">
        <v>44027</v>
      </c>
      <c r="B54">
        <v>106</v>
      </c>
      <c r="C54">
        <v>100</v>
      </c>
      <c r="D54" s="20">
        <f>C54*SUM('ContractPrice-CDE'!$C$2:$C$43)/100</f>
        <v>850454419.58000004</v>
      </c>
      <c r="E54">
        <v>44.78</v>
      </c>
      <c r="F54" s="20">
        <f>E54*SUM('ContractPrice-CDE'!$C$2:$C$43)/100</f>
        <v>380833489.08792394</v>
      </c>
      <c r="G54" s="40">
        <f t="shared" si="0"/>
        <v>41.724780845660639</v>
      </c>
      <c r="H54" s="40">
        <f>G54*SUM('ContractPrice-CDE'!$G$2:$G$43)/100</f>
        <v>426847655.30125773</v>
      </c>
    </row>
    <row r="55" spans="1:8" x14ac:dyDescent="0.25">
      <c r="A55" s="39">
        <v>44042</v>
      </c>
      <c r="B55">
        <v>108</v>
      </c>
      <c r="C55">
        <v>100</v>
      </c>
      <c r="D55" s="20">
        <f>C55*SUM('ContractPrice-CDE'!$C$2:$C$43)/100</f>
        <v>850454419.58000004</v>
      </c>
      <c r="E55">
        <v>46.453333333333333</v>
      </c>
      <c r="F55" s="20">
        <f>E55*SUM('ContractPrice-CDE'!$C$2:$C$43)/100</f>
        <v>395064426.37556261</v>
      </c>
      <c r="G55" s="40">
        <f t="shared" si="0"/>
        <v>43.490696577610322</v>
      </c>
      <c r="H55" s="40">
        <f>G55*SUM('ContractPrice-CDE'!$G$2:$G$43)/100</f>
        <v>444913106.44000745</v>
      </c>
    </row>
    <row r="56" spans="1:8" x14ac:dyDescent="0.25">
      <c r="A56" s="39">
        <v>44058</v>
      </c>
      <c r="B56">
        <v>110</v>
      </c>
      <c r="C56">
        <v>100</v>
      </c>
      <c r="D56" s="20">
        <f>C56*SUM('ContractPrice-CDE'!$C$2:$C$43)/100</f>
        <v>850454419.58000004</v>
      </c>
      <c r="E56">
        <v>48.126666666666665</v>
      </c>
      <c r="F56" s="20">
        <f>E56*SUM('ContractPrice-CDE'!$C$2:$C$43)/100</f>
        <v>409295363.66320127</v>
      </c>
      <c r="G56" s="40">
        <f t="shared" si="0"/>
        <v>45.256612309560005</v>
      </c>
      <c r="H56" s="40">
        <f>G56*SUM('ContractPrice-CDE'!$G$2:$G$43)/100</f>
        <v>462978557.57875735</v>
      </c>
    </row>
    <row r="57" spans="1:8" x14ac:dyDescent="0.25">
      <c r="A57" s="39">
        <v>44073</v>
      </c>
      <c r="B57">
        <v>112</v>
      </c>
      <c r="C57">
        <v>100</v>
      </c>
      <c r="D57" s="20">
        <f>C57*SUM('ContractPrice-CDE'!$C$2:$C$43)/100</f>
        <v>850454419.58000004</v>
      </c>
      <c r="E57">
        <v>49.8</v>
      </c>
      <c r="F57" s="20">
        <f>E57*SUM('ContractPrice-CDE'!$C$2:$C$43)/100</f>
        <v>423526300.95083994</v>
      </c>
      <c r="G57" s="40">
        <f t="shared" si="0"/>
        <v>47.022528041509688</v>
      </c>
      <c r="H57" s="40">
        <f>G57*SUM('ContractPrice-CDE'!$G$2:$G$43)/100</f>
        <v>481044008.71750712</v>
      </c>
    </row>
    <row r="58" spans="1:8" x14ac:dyDescent="0.25">
      <c r="A58" s="39">
        <v>44089</v>
      </c>
      <c r="B58">
        <v>114</v>
      </c>
      <c r="C58">
        <v>100</v>
      </c>
      <c r="D58" s="20">
        <f>C58*SUM('ContractPrice-CDE'!$C$2:$C$43)/100</f>
        <v>850454419.58000004</v>
      </c>
      <c r="E58">
        <v>51.473333333333329</v>
      </c>
      <c r="F58" s="20">
        <f>E58*SUM('ContractPrice-CDE'!$C$2:$C$43)/100</f>
        <v>437757238.2384786</v>
      </c>
      <c r="G58" s="40">
        <f t="shared" si="0"/>
        <v>48.78844377345937</v>
      </c>
      <c r="H58" s="40">
        <f>G58*SUM('ContractPrice-CDE'!$G$2:$G$43)/100</f>
        <v>499109459.85625696</v>
      </c>
    </row>
    <row r="59" spans="1:8" x14ac:dyDescent="0.25">
      <c r="A59" s="39">
        <v>44104</v>
      </c>
      <c r="B59">
        <v>116</v>
      </c>
      <c r="C59">
        <v>100</v>
      </c>
      <c r="D59" s="20">
        <f>C59*SUM('ContractPrice-CDE'!$C$2:$C$43)/100</f>
        <v>850454419.58000004</v>
      </c>
      <c r="E59">
        <v>53.146666666666661</v>
      </c>
      <c r="F59" s="20">
        <f>E59*SUM('ContractPrice-CDE'!$C$2:$C$43)/100</f>
        <v>451988175.52611727</v>
      </c>
      <c r="G59" s="40">
        <f t="shared" si="0"/>
        <v>50.554359505409053</v>
      </c>
      <c r="H59" s="40">
        <f>G59*SUM('ContractPrice-CDE'!$G$2:$G$43)/100</f>
        <v>517174910.99500674</v>
      </c>
    </row>
    <row r="60" spans="1:8" x14ac:dyDescent="0.25">
      <c r="A60" s="39">
        <v>44119</v>
      </c>
      <c r="B60">
        <v>118</v>
      </c>
      <c r="C60">
        <v>100</v>
      </c>
      <c r="D60" s="20">
        <f>C60*SUM('ContractPrice-CDE'!$C$2:$C$43)/100</f>
        <v>850454419.58000004</v>
      </c>
      <c r="E60">
        <v>54.819999999999993</v>
      </c>
      <c r="F60" s="20">
        <f>E60*SUM('ContractPrice-CDE'!$C$2:$C$43)/100</f>
        <v>466219112.81375587</v>
      </c>
      <c r="G60" s="40">
        <f t="shared" si="0"/>
        <v>52.320275237358736</v>
      </c>
      <c r="H60" s="40">
        <f>G60*SUM('ContractPrice-CDE'!$G$2:$G$43)/100</f>
        <v>535240362.13375658</v>
      </c>
    </row>
    <row r="61" spans="1:8" x14ac:dyDescent="0.25">
      <c r="A61" s="39">
        <v>44134</v>
      </c>
      <c r="B61">
        <v>120</v>
      </c>
      <c r="C61">
        <v>100</v>
      </c>
      <c r="D61" s="20">
        <f>C61*SUM('ContractPrice-CDE'!$C$2:$C$43)/100</f>
        <v>850454419.58000004</v>
      </c>
      <c r="E61">
        <v>56.493333333333325</v>
      </c>
      <c r="F61" s="20">
        <f>E61*SUM('ContractPrice-CDE'!$C$2:$C$43)/100</f>
        <v>480450050.10139459</v>
      </c>
      <c r="G61" s="40">
        <f t="shared" si="0"/>
        <v>54.086190969308419</v>
      </c>
      <c r="H61" s="40">
        <f>G61*SUM('ContractPrice-CDE'!$G$2:$G$43)/100</f>
        <v>553305813.27250636</v>
      </c>
    </row>
    <row r="62" spans="1:8" x14ac:dyDescent="0.25">
      <c r="A62" s="39">
        <v>44150</v>
      </c>
      <c r="B62">
        <v>122</v>
      </c>
      <c r="C62">
        <v>100</v>
      </c>
      <c r="D62" s="20">
        <f>C62*SUM('ContractPrice-CDE'!$C$2:$C$43)/100</f>
        <v>850454419.58000004</v>
      </c>
      <c r="E62">
        <v>58.166666666666657</v>
      </c>
      <c r="F62" s="20">
        <f>E62*SUM('ContractPrice-CDE'!$C$2:$C$43)/100</f>
        <v>494680987.3890332</v>
      </c>
      <c r="G62" s="40">
        <f t="shared" si="0"/>
        <v>55.852106701258101</v>
      </c>
      <c r="H62" s="40">
        <f>G62*SUM('ContractPrice-CDE'!$G$2:$G$43)/100</f>
        <v>571371264.41125619</v>
      </c>
    </row>
    <row r="63" spans="1:8" x14ac:dyDescent="0.25">
      <c r="A63" s="39">
        <v>44165</v>
      </c>
      <c r="B63">
        <v>124</v>
      </c>
      <c r="C63">
        <v>100</v>
      </c>
      <c r="D63" s="20">
        <f>C63*SUM('ContractPrice-CDE'!$C$2:$C$43)/100</f>
        <v>850454419.58000004</v>
      </c>
      <c r="E63">
        <v>59.839999999999989</v>
      </c>
      <c r="F63" s="20">
        <f>E63*SUM('ContractPrice-CDE'!$C$2:$C$43)/100</f>
        <v>508911924.6766718</v>
      </c>
      <c r="G63" s="40">
        <f t="shared" si="0"/>
        <v>57.618022433207784</v>
      </c>
      <c r="H63" s="40">
        <f>G63*SUM('ContractPrice-CDE'!$G$2:$G$43)/100</f>
        <v>589436715.55000603</v>
      </c>
    </row>
    <row r="64" spans="1:8" x14ac:dyDescent="0.25">
      <c r="A64" s="39">
        <v>44180</v>
      </c>
      <c r="B64">
        <v>126</v>
      </c>
      <c r="C64">
        <v>100</v>
      </c>
      <c r="D64" s="20">
        <f>C64*SUM('ContractPrice-CDE'!$C$2:$C$43)/100</f>
        <v>850454419.58000004</v>
      </c>
      <c r="E64">
        <v>61.513333333333321</v>
      </c>
      <c r="F64" s="20">
        <f>E64*SUM('ContractPrice-CDE'!$C$2:$C$43)/100</f>
        <v>523142861.96431053</v>
      </c>
      <c r="G64" s="40">
        <f t="shared" si="0"/>
        <v>59.383938165157467</v>
      </c>
      <c r="H64" s="40">
        <f>G64*SUM('ContractPrice-CDE'!$G$2:$G$43)/100</f>
        <v>607502166.68875575</v>
      </c>
    </row>
    <row r="65" spans="1:8" x14ac:dyDescent="0.25">
      <c r="A65" s="39">
        <v>44195</v>
      </c>
      <c r="B65">
        <v>128</v>
      </c>
      <c r="C65">
        <v>100</v>
      </c>
      <c r="D65" s="20">
        <f>C65*SUM('ContractPrice-CDE'!$C$2:$C$43)/100</f>
        <v>850454419.58000004</v>
      </c>
      <c r="E65">
        <v>63.186666666666653</v>
      </c>
      <c r="F65" s="20">
        <f>E65*SUM('ContractPrice-CDE'!$C$2:$C$43)/100</f>
        <v>537373799.25194919</v>
      </c>
      <c r="G65" s="40">
        <f t="shared" si="0"/>
        <v>61.14985389710715</v>
      </c>
      <c r="H65" s="40">
        <f>G65*SUM('ContractPrice-CDE'!$G$2:$G$43)/100</f>
        <v>625567617.82750559</v>
      </c>
    </row>
    <row r="66" spans="1:8" x14ac:dyDescent="0.25">
      <c r="A66" s="39">
        <v>44211</v>
      </c>
      <c r="B66">
        <v>130</v>
      </c>
      <c r="C66">
        <v>100</v>
      </c>
      <c r="D66" s="20">
        <f>C66*SUM('ContractPrice-CDE'!$C$2:$C$43)/100</f>
        <v>850454419.58000004</v>
      </c>
      <c r="E66">
        <v>64.859999999999985</v>
      </c>
      <c r="F66" s="20">
        <f>E66*SUM('ContractPrice-CDE'!$C$2:$C$43)/100</f>
        <v>551604736.53958786</v>
      </c>
      <c r="G66" s="40">
        <f t="shared" si="0"/>
        <v>62.915769629056832</v>
      </c>
      <c r="H66" s="40">
        <f>G66*SUM('ContractPrice-CDE'!$G$2:$G$43)/100</f>
        <v>643633068.96625543</v>
      </c>
    </row>
    <row r="67" spans="1:8" x14ac:dyDescent="0.25">
      <c r="A67" s="39">
        <v>44226</v>
      </c>
      <c r="B67">
        <v>132</v>
      </c>
      <c r="C67">
        <v>100</v>
      </c>
      <c r="D67" s="20">
        <f>C67*SUM('ContractPrice-CDE'!$C$2:$C$43)/100</f>
        <v>850454419.58000004</v>
      </c>
      <c r="E67">
        <v>66.533333333333317</v>
      </c>
      <c r="F67" s="20">
        <f>E67*SUM('ContractPrice-CDE'!$C$2:$C$43)/100</f>
        <v>565835673.82722652</v>
      </c>
      <c r="G67" s="40">
        <f t="shared" si="0"/>
        <v>64.681685361006515</v>
      </c>
      <c r="H67" s="40">
        <f>G67*SUM('ContractPrice-CDE'!$G$2:$G$43)/100</f>
        <v>661698520.10500526</v>
      </c>
    </row>
    <row r="68" spans="1:8" x14ac:dyDescent="0.25">
      <c r="A68" s="39">
        <v>44242</v>
      </c>
      <c r="B68">
        <v>134</v>
      </c>
      <c r="C68">
        <v>100</v>
      </c>
      <c r="D68" s="20">
        <f>C68*SUM('ContractPrice-CDE'!$C$2:$C$43)/100</f>
        <v>850454419.58000004</v>
      </c>
      <c r="E68">
        <v>68.206666666666649</v>
      </c>
      <c r="F68" s="20">
        <f>E68*SUM('ContractPrice-CDE'!$C$2:$C$43)/100</f>
        <v>580066611.11486506</v>
      </c>
      <c r="G68" s="40">
        <f t="shared" si="0"/>
        <v>66.447601092956191</v>
      </c>
      <c r="H68" s="40">
        <f>G68*SUM('ContractPrice-CDE'!$G$2:$G$43)/100</f>
        <v>679763971.24375498</v>
      </c>
    </row>
    <row r="69" spans="1:8" x14ac:dyDescent="0.25">
      <c r="A69" s="39">
        <v>44255</v>
      </c>
      <c r="B69">
        <v>136</v>
      </c>
      <c r="C69">
        <v>100</v>
      </c>
      <c r="D69" s="20">
        <f>C69*SUM('ContractPrice-CDE'!$C$2:$C$43)/100</f>
        <v>850454419.58000004</v>
      </c>
      <c r="E69">
        <v>69.879999999999981</v>
      </c>
      <c r="F69" s="20">
        <f>E69*SUM('ContractPrice-CDE'!$C$2:$C$43)/100</f>
        <v>594297548.40250385</v>
      </c>
      <c r="G69" s="40">
        <f t="shared" si="0"/>
        <v>68.213516824905867</v>
      </c>
      <c r="H69" s="40">
        <f>G69*SUM('ContractPrice-CDE'!$G$2:$G$43)/100</f>
        <v>697829422.3825047</v>
      </c>
    </row>
    <row r="70" spans="1:8" x14ac:dyDescent="0.25">
      <c r="A70" s="39">
        <v>44270</v>
      </c>
      <c r="B70">
        <v>138</v>
      </c>
      <c r="C70">
        <v>100</v>
      </c>
      <c r="D70" s="20">
        <f>C70*SUM('ContractPrice-CDE'!$C$2:$C$43)/100</f>
        <v>850454419.58000004</v>
      </c>
      <c r="E70">
        <v>71.553333333333313</v>
      </c>
      <c r="F70" s="20">
        <f>E70*SUM('ContractPrice-CDE'!$C$2:$C$43)/100</f>
        <v>608528485.69014239</v>
      </c>
      <c r="G70" s="40">
        <f t="shared" si="0"/>
        <v>69.979432556855542</v>
      </c>
      <c r="H70" s="40">
        <f>G70*SUM('ContractPrice-CDE'!$G$2:$G$43)/100</f>
        <v>715894873.52125442</v>
      </c>
    </row>
    <row r="71" spans="1:8" x14ac:dyDescent="0.25">
      <c r="A71" s="39">
        <v>44285</v>
      </c>
      <c r="B71">
        <v>140</v>
      </c>
      <c r="C71">
        <v>100</v>
      </c>
      <c r="D71" s="20">
        <f>C71*SUM('ContractPrice-CDE'!$C$2:$C$43)/100</f>
        <v>850454419.58000004</v>
      </c>
      <c r="E71">
        <v>73.226666666666645</v>
      </c>
      <c r="F71" s="20">
        <f>E71*SUM('ContractPrice-CDE'!$C$2:$C$43)/100</f>
        <v>622759422.97778106</v>
      </c>
      <c r="G71" s="40">
        <f t="shared" si="0"/>
        <v>71.745348288805218</v>
      </c>
      <c r="H71" s="40">
        <f>G71*SUM('ContractPrice-CDE'!$G$2:$G$43)/100</f>
        <v>733960324.66000426</v>
      </c>
    </row>
    <row r="72" spans="1:8" x14ac:dyDescent="0.25">
      <c r="A72" s="39">
        <v>44301</v>
      </c>
      <c r="B72">
        <v>142</v>
      </c>
      <c r="C72">
        <v>100</v>
      </c>
      <c r="D72" s="20">
        <f>C72*SUM('ContractPrice-CDE'!$C$2:$C$43)/100</f>
        <v>850454419.58000004</v>
      </c>
      <c r="E72">
        <v>74.899999999999977</v>
      </c>
      <c r="F72" s="20">
        <f>E72*SUM('ContractPrice-CDE'!$C$2:$C$43)/100</f>
        <v>636990360.26541972</v>
      </c>
      <c r="G72" s="40">
        <f t="shared" si="0"/>
        <v>73.511264020754894</v>
      </c>
      <c r="H72" s="40">
        <f>G72*SUM('ContractPrice-CDE'!$G$2:$G$43)/100</f>
        <v>752025775.79875398</v>
      </c>
    </row>
    <row r="73" spans="1:8" x14ac:dyDescent="0.25">
      <c r="A73" s="39">
        <v>44316</v>
      </c>
      <c r="B73">
        <v>144</v>
      </c>
      <c r="C73">
        <v>100</v>
      </c>
      <c r="D73" s="20">
        <f>C73*SUM('ContractPrice-CDE'!$C$2:$C$43)/100</f>
        <v>850454419.58000004</v>
      </c>
      <c r="E73">
        <v>76.573333333333309</v>
      </c>
      <c r="F73" s="20">
        <f>E73*SUM('ContractPrice-CDE'!$C$2:$C$43)/100</f>
        <v>651221297.55305839</v>
      </c>
      <c r="G73" s="40">
        <f t="shared" si="0"/>
        <v>75.277179752704569</v>
      </c>
      <c r="H73" s="40">
        <f>G73*SUM('ContractPrice-CDE'!$G$2:$G$43)/100</f>
        <v>770091226.9375037</v>
      </c>
    </row>
    <row r="74" spans="1:8" x14ac:dyDescent="0.25">
      <c r="A74" s="39">
        <v>44331</v>
      </c>
      <c r="B74">
        <v>146</v>
      </c>
      <c r="C74">
        <v>100</v>
      </c>
      <c r="D74" s="20">
        <f>C74*SUM('ContractPrice-CDE'!$C$2:$C$43)/100</f>
        <v>850454419.58000004</v>
      </c>
      <c r="E74">
        <v>78.246666666666641</v>
      </c>
      <c r="F74" s="20">
        <f>E74*SUM('ContractPrice-CDE'!$C$2:$C$43)/100</f>
        <v>665452234.84069705</v>
      </c>
      <c r="G74" s="40">
        <f t="shared" si="0"/>
        <v>77.043095484654245</v>
      </c>
      <c r="H74" s="40">
        <f>G74*SUM('ContractPrice-CDE'!$G$2:$G$43)/100</f>
        <v>788156678.07625341</v>
      </c>
    </row>
    <row r="75" spans="1:8" x14ac:dyDescent="0.25">
      <c r="A75" s="39">
        <v>44346</v>
      </c>
      <c r="B75">
        <v>148</v>
      </c>
      <c r="C75">
        <v>100</v>
      </c>
      <c r="D75" s="20">
        <f>C75*SUM('ContractPrice-CDE'!$C$2:$C$43)/100</f>
        <v>850454419.58000004</v>
      </c>
      <c r="E75">
        <v>79.919999999999973</v>
      </c>
      <c r="F75" s="20">
        <f>E75*SUM('ContractPrice-CDE'!$C$2:$C$43)/100</f>
        <v>679683172.12833571</v>
      </c>
      <c r="G75" s="40">
        <f t="shared" si="0"/>
        <v>78.809011216603921</v>
      </c>
      <c r="H75" s="40">
        <f>G75*SUM('ContractPrice-CDE'!$G$2:$G$43)/100</f>
        <v>806222129.21500325</v>
      </c>
    </row>
    <row r="76" spans="1:8" x14ac:dyDescent="0.25">
      <c r="A76" s="39">
        <v>44362</v>
      </c>
      <c r="B76">
        <v>150</v>
      </c>
      <c r="C76">
        <v>100</v>
      </c>
      <c r="D76" s="20">
        <f>C76*SUM('ContractPrice-CDE'!$C$2:$C$43)/100</f>
        <v>850454419.58000004</v>
      </c>
      <c r="E76">
        <v>81.593333333333305</v>
      </c>
      <c r="F76" s="20">
        <f>E76*SUM('ContractPrice-CDE'!$C$2:$C$43)/100</f>
        <v>693914109.41597438</v>
      </c>
      <c r="G76" s="40">
        <f t="shared" si="0"/>
        <v>80.574926948553596</v>
      </c>
      <c r="H76" s="40">
        <f>G76*SUM('ContractPrice-CDE'!$G$2:$G$43)/100</f>
        <v>824287580.35375285</v>
      </c>
    </row>
    <row r="77" spans="1:8" x14ac:dyDescent="0.25">
      <c r="A77" s="39">
        <v>44377</v>
      </c>
      <c r="B77">
        <v>152</v>
      </c>
      <c r="C77">
        <v>100</v>
      </c>
      <c r="D77" s="20">
        <f>C77*SUM('ContractPrice-CDE'!$C$2:$C$43)/100</f>
        <v>850454419.58000004</v>
      </c>
      <c r="E77">
        <v>83.266666666666637</v>
      </c>
      <c r="F77" s="20">
        <f>E77*SUM('ContractPrice-CDE'!$C$2:$C$43)/100</f>
        <v>708145046.70361292</v>
      </c>
      <c r="G77" s="40">
        <f t="shared" si="0"/>
        <v>82.340842680503272</v>
      </c>
      <c r="H77" s="40">
        <f>G77*SUM('ContractPrice-CDE'!$G$2:$G$43)/100</f>
        <v>842353031.49250257</v>
      </c>
    </row>
    <row r="78" spans="1:8" x14ac:dyDescent="0.25">
      <c r="A78" s="39">
        <v>44392</v>
      </c>
      <c r="B78">
        <v>154</v>
      </c>
      <c r="C78">
        <v>100</v>
      </c>
      <c r="D78" s="20">
        <f>C78*SUM('ContractPrice-CDE'!$C$2:$C$43)/100</f>
        <v>850454419.58000004</v>
      </c>
      <c r="E78">
        <v>84.939999999999969</v>
      </c>
      <c r="F78" s="20">
        <f>E78*SUM('ContractPrice-CDE'!$C$2:$C$43)/100</f>
        <v>722375983.99125171</v>
      </c>
      <c r="G78" s="40">
        <f t="shared" si="0"/>
        <v>84.106758412452947</v>
      </c>
      <c r="H78" s="40">
        <f>G78*SUM('ContractPrice-CDE'!$G$2:$G$43)/100</f>
        <v>860418482.63125241</v>
      </c>
    </row>
    <row r="79" spans="1:8" x14ac:dyDescent="0.25">
      <c r="A79" s="39">
        <v>44407</v>
      </c>
      <c r="B79">
        <v>156</v>
      </c>
      <c r="C79">
        <v>100</v>
      </c>
      <c r="D79" s="20">
        <f>C79*SUM('ContractPrice-CDE'!$C$2:$C$43)/100</f>
        <v>850454419.58000004</v>
      </c>
      <c r="E79">
        <v>86.613333333333301</v>
      </c>
      <c r="F79" s="20">
        <f>E79*SUM('ContractPrice-CDE'!$C$2:$C$43)/100</f>
        <v>736606921.27889037</v>
      </c>
      <c r="G79" s="40">
        <f t="shared" si="0"/>
        <v>85.872674144402623</v>
      </c>
      <c r="H79" s="40">
        <f>G79*SUM('ContractPrice-CDE'!$G$2:$G$43)/100</f>
        <v>878483933.77000213</v>
      </c>
    </row>
    <row r="80" spans="1:8" x14ac:dyDescent="0.25">
      <c r="A80" s="39">
        <v>44423</v>
      </c>
      <c r="B80">
        <v>158</v>
      </c>
      <c r="C80">
        <v>100</v>
      </c>
      <c r="D80" s="20">
        <f>C80*SUM('ContractPrice-CDE'!$C$2:$C$43)/100</f>
        <v>850454419.58000004</v>
      </c>
      <c r="E80">
        <v>88.286666666666633</v>
      </c>
      <c r="F80" s="20">
        <f>E80*SUM('ContractPrice-CDE'!$C$2:$C$43)/100</f>
        <v>750837858.56652892</v>
      </c>
      <c r="G80" s="40">
        <f t="shared" si="0"/>
        <v>87.638589876352299</v>
      </c>
      <c r="H80" s="40">
        <f>G80*SUM('ContractPrice-CDE'!$G$2:$G$43)/100</f>
        <v>896549384.90875185</v>
      </c>
    </row>
    <row r="81" spans="1:8" x14ac:dyDescent="0.25">
      <c r="A81" s="39">
        <v>44438</v>
      </c>
      <c r="B81">
        <v>160</v>
      </c>
      <c r="C81">
        <v>100</v>
      </c>
      <c r="D81" s="20">
        <f>C81*SUM('ContractPrice-CDE'!$C$2:$C$43)/100</f>
        <v>850454419.58000004</v>
      </c>
      <c r="E81">
        <v>89.959999999999965</v>
      </c>
      <c r="F81" s="20">
        <f>E81*SUM('ContractPrice-CDE'!$C$2:$C$43)/100</f>
        <v>765068795.85416758</v>
      </c>
      <c r="G81" s="40">
        <f t="shared" si="0"/>
        <v>89.404505608301974</v>
      </c>
      <c r="H81" s="40">
        <f>G81*SUM('ContractPrice-CDE'!$G$2:$G$43)/100</f>
        <v>914614836.04750168</v>
      </c>
    </row>
    <row r="82" spans="1:8" x14ac:dyDescent="0.25">
      <c r="A82" s="39">
        <v>44454</v>
      </c>
      <c r="B82">
        <v>162</v>
      </c>
      <c r="C82">
        <v>100</v>
      </c>
      <c r="D82" s="20">
        <f>C82*SUM('ContractPrice-CDE'!$C$2:$C$43)/100</f>
        <v>850454419.58000004</v>
      </c>
      <c r="E82">
        <v>91.633333333333297</v>
      </c>
      <c r="F82" s="20">
        <f>E82*SUM('ContractPrice-CDE'!$C$2:$C$43)/100</f>
        <v>779299733.14180636</v>
      </c>
      <c r="G82" s="40">
        <f t="shared" si="0"/>
        <v>91.17042134025165</v>
      </c>
      <c r="H82" s="40">
        <f>G82*SUM('ContractPrice-CDE'!$G$2:$G$43)/100</f>
        <v>932680287.1862514</v>
      </c>
    </row>
    <row r="83" spans="1:8" x14ac:dyDescent="0.25">
      <c r="A83" s="39">
        <v>44469</v>
      </c>
      <c r="B83">
        <v>164</v>
      </c>
      <c r="C83">
        <v>100</v>
      </c>
      <c r="D83" s="20">
        <f>C83*SUM('ContractPrice-CDE'!$C$2:$C$43)/100</f>
        <v>850454419.58000004</v>
      </c>
      <c r="E83">
        <v>93.306666666666629</v>
      </c>
      <c r="F83" s="20">
        <f>E83*SUM('ContractPrice-CDE'!$C$2:$C$43)/100</f>
        <v>793530670.42944491</v>
      </c>
      <c r="G83" s="40">
        <f t="shared" si="0"/>
        <v>92.936337072201326</v>
      </c>
      <c r="H83" s="40">
        <f>G83*SUM('ContractPrice-CDE'!$G$2:$G$43)/100</f>
        <v>950745738.32500112</v>
      </c>
    </row>
    <row r="84" spans="1:8" x14ac:dyDescent="0.25">
      <c r="A84" s="39">
        <v>44484</v>
      </c>
      <c r="B84">
        <v>166</v>
      </c>
      <c r="C84">
        <v>100</v>
      </c>
      <c r="D84" s="20">
        <f>C84*SUM('ContractPrice-CDE'!$C$2:$C$43)/100</f>
        <v>850454419.58000004</v>
      </c>
      <c r="E84">
        <v>94.979999999999961</v>
      </c>
      <c r="F84" s="20">
        <f>E84*SUM('ContractPrice-CDE'!$C$2:$C$43)/100</f>
        <v>807761607.71708357</v>
      </c>
      <c r="G84" s="40">
        <f t="shared" si="0"/>
        <v>94.702252804151001</v>
      </c>
      <c r="H84" s="40">
        <f>G84*SUM('ContractPrice-CDE'!$G$2:$G$43)/100</f>
        <v>968811189.46375072</v>
      </c>
    </row>
    <row r="85" spans="1:8" x14ac:dyDescent="0.25">
      <c r="A85" s="39">
        <v>44499</v>
      </c>
      <c r="B85">
        <v>168</v>
      </c>
      <c r="C85">
        <v>100</v>
      </c>
      <c r="D85" s="20">
        <f>C85*SUM('ContractPrice-CDE'!$C$2:$C$43)/100</f>
        <v>850454419.58000004</v>
      </c>
      <c r="E85">
        <v>96.653333333333293</v>
      </c>
      <c r="F85" s="20">
        <f>E85*SUM('ContractPrice-CDE'!$C$2:$C$43)/100</f>
        <v>821992545.00472224</v>
      </c>
      <c r="G85" s="40">
        <f t="shared" si="0"/>
        <v>96.468168536100677</v>
      </c>
      <c r="H85" s="40">
        <f>G85*SUM('ContractPrice-CDE'!$G$2:$G$43)/100</f>
        <v>986876640.60250056</v>
      </c>
    </row>
    <row r="86" spans="1:8" x14ac:dyDescent="0.25">
      <c r="A86" s="39">
        <v>44515</v>
      </c>
      <c r="B86">
        <v>170</v>
      </c>
      <c r="C86">
        <v>100</v>
      </c>
      <c r="D86" s="20">
        <f>C86*SUM('ContractPrice-CDE'!$C$2:$C$43)/100</f>
        <v>850454419.58000004</v>
      </c>
      <c r="E86">
        <v>98.326666666666625</v>
      </c>
      <c r="F86" s="20">
        <f>E86*SUM('ContractPrice-CDE'!$C$2:$C$43)/100</f>
        <v>836223482.29236078</v>
      </c>
      <c r="G86" s="40">
        <f t="shared" si="0"/>
        <v>98.234084268050353</v>
      </c>
      <c r="H86" s="40">
        <f>G86*SUM('ContractPrice-CDE'!$G$2:$G$43)/100</f>
        <v>1004942091.7412503</v>
      </c>
    </row>
    <row r="87" spans="1:8" x14ac:dyDescent="0.25">
      <c r="A87" s="39">
        <v>44530</v>
      </c>
      <c r="B87">
        <v>172</v>
      </c>
      <c r="C87">
        <v>100</v>
      </c>
      <c r="D87" s="20">
        <f>C87*SUM('ContractPrice-CDE'!$C$2:$C$43)/100</f>
        <v>850454419.58000004</v>
      </c>
      <c r="E87">
        <v>99.999999999999957</v>
      </c>
      <c r="F87" s="20">
        <f>E87*SUM('ContractPrice-CDE'!$C$2:$C$43)/100</f>
        <v>850454419.57999957</v>
      </c>
      <c r="G87" s="40">
        <f t="shared" si="0"/>
        <v>100.00000000000003</v>
      </c>
      <c r="H87" s="40">
        <f>G87*SUM('ContractPrice-CDE'!$G$2:$G$43)/100</f>
        <v>1023007542.88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27ECE-EC2C-4A7D-AE31-C72C3219D86C}">
  <dimension ref="A1:K87"/>
  <sheetViews>
    <sheetView workbookViewId="0">
      <selection activeCell="M2" sqref="M2"/>
    </sheetView>
  </sheetViews>
  <sheetFormatPr defaultRowHeight="15" x14ac:dyDescent="0.25"/>
  <cols>
    <col min="1" max="1" width="10.7109375" style="39" bestFit="1" customWidth="1"/>
    <col min="3" max="3" width="18" bestFit="1" customWidth="1"/>
    <col min="4" max="4" width="19.5703125" style="20" customWidth="1"/>
    <col min="5" max="5" width="22" customWidth="1"/>
    <col min="6" max="6" width="24.5703125" style="20" bestFit="1" customWidth="1"/>
    <col min="7" max="7" width="15.28515625" bestFit="1" customWidth="1"/>
    <col min="8" max="8" width="16.85546875" bestFit="1" customWidth="1"/>
    <col min="9" max="9" width="11.5703125" customWidth="1"/>
  </cols>
  <sheetData>
    <row r="1" spans="1:11" x14ac:dyDescent="0.25">
      <c r="A1" s="39" t="s">
        <v>235</v>
      </c>
      <c r="B1" t="s">
        <v>236</v>
      </c>
      <c r="C1" t="s">
        <v>237</v>
      </c>
      <c r="D1" s="20" t="s">
        <v>238</v>
      </c>
      <c r="E1" t="s">
        <v>239</v>
      </c>
      <c r="F1" s="20" t="s">
        <v>240</v>
      </c>
      <c r="G1" t="s">
        <v>241</v>
      </c>
      <c r="H1" t="s">
        <v>242</v>
      </c>
      <c r="I1" t="s">
        <v>243</v>
      </c>
      <c r="J1" t="s">
        <v>244</v>
      </c>
      <c r="K1" t="s">
        <v>245</v>
      </c>
    </row>
    <row r="2" spans="1:11" x14ac:dyDescent="0.25">
      <c r="A2" s="39" t="s">
        <v>246</v>
      </c>
      <c r="B2">
        <v>2</v>
      </c>
      <c r="C2">
        <v>0.8</v>
      </c>
      <c r="D2" s="20">
        <f>C2*SUM('ContractPrice-CDE'!$D$2:$D$43)/100</f>
        <v>6694701.4108000016</v>
      </c>
      <c r="E2">
        <v>0.3</v>
      </c>
      <c r="F2" s="20">
        <f>E2*SUM('ContractPrice-CDE'!$D$2:$D$43)/100</f>
        <v>2510513.0290500005</v>
      </c>
      <c r="G2" s="40">
        <f>F2/SUM('ContractPrice-CDE'!$G$2:$G$43)*100</f>
        <v>0.24540513376688633</v>
      </c>
      <c r="H2" s="40">
        <f>G2*SUM('ContractPrice-CDE'!$H$2:$H$43)/100</f>
        <v>2470316.8580593974</v>
      </c>
      <c r="I2">
        <v>1</v>
      </c>
    </row>
    <row r="3" spans="1:11" x14ac:dyDescent="0.25">
      <c r="A3" s="39" t="s">
        <v>247</v>
      </c>
      <c r="B3">
        <v>4</v>
      </c>
      <c r="C3">
        <v>2</v>
      </c>
      <c r="D3" s="20">
        <f>C3*SUM('ContractPrice-CDE'!$D$2:$D$43)/100</f>
        <v>16736753.527000003</v>
      </c>
      <c r="E3">
        <v>0.6</v>
      </c>
      <c r="F3" s="20">
        <f>E3*SUM('ContractPrice-CDE'!$D$2:$D$43)/100</f>
        <v>5021026.058100001</v>
      </c>
      <c r="G3" s="40">
        <f>F3/SUM('ContractPrice-CDE'!$G$2:$G$43)*100</f>
        <v>0.49081026753377266</v>
      </c>
      <c r="H3" s="40">
        <f>G3*SUM('ContractPrice-CDE'!$H$2:$H$43)/100</f>
        <v>4940633.7161187949</v>
      </c>
    </row>
    <row r="4" spans="1:11" x14ac:dyDescent="0.25">
      <c r="A4" s="39" t="s">
        <v>248</v>
      </c>
      <c r="B4">
        <v>6</v>
      </c>
      <c r="C4">
        <v>4.8</v>
      </c>
      <c r="D4" s="20">
        <f>C4*SUM('ContractPrice-CDE'!$D$2:$D$43)/100</f>
        <v>40168208.464800008</v>
      </c>
      <c r="E4">
        <v>1</v>
      </c>
      <c r="F4" s="20">
        <f>E4*SUM('ContractPrice-CDE'!$D$2:$D$43)/100</f>
        <v>8368376.7635000013</v>
      </c>
      <c r="G4" s="40">
        <f>F4/SUM('ContractPrice-CDE'!$G$2:$G$43)*100</f>
        <v>0.81801711255628773</v>
      </c>
      <c r="H4" s="40">
        <f>G4*SUM('ContractPrice-CDE'!$H$2:$H$43)/100</f>
        <v>8234389.5268646572</v>
      </c>
    </row>
    <row r="5" spans="1:11" x14ac:dyDescent="0.25">
      <c r="A5" s="39" t="s">
        <v>249</v>
      </c>
      <c r="B5">
        <v>8</v>
      </c>
      <c r="C5">
        <v>6.7</v>
      </c>
      <c r="D5" s="20">
        <f>C5*SUM('ContractPrice-CDE'!$D$2:$D$43)/100</f>
        <v>56068124.315450013</v>
      </c>
      <c r="E5">
        <v>1.4</v>
      </c>
      <c r="F5" s="20">
        <f>E5*SUM('ContractPrice-CDE'!$D$2:$D$43)/100</f>
        <v>11715727.468900001</v>
      </c>
      <c r="G5" s="40">
        <f>F5/SUM('ContractPrice-CDE'!$G$2:$G$43)*100</f>
        <v>1.1452239575788028</v>
      </c>
      <c r="H5" s="40">
        <f>G5*SUM('ContractPrice-CDE'!$H$2:$H$43)/100</f>
        <v>11528145.33761052</v>
      </c>
    </row>
    <row r="6" spans="1:11" x14ac:dyDescent="0.25">
      <c r="A6" s="39" t="s">
        <v>250</v>
      </c>
      <c r="B6">
        <v>10</v>
      </c>
      <c r="C6">
        <v>8.5</v>
      </c>
      <c r="D6" s="20">
        <f>C6*SUM('ContractPrice-CDE'!$D$2:$D$43)/100</f>
        <v>71131202.489750013</v>
      </c>
      <c r="E6">
        <v>2</v>
      </c>
      <c r="F6" s="20">
        <f>E6*SUM('ContractPrice-CDE'!$D$2:$D$43)/100</f>
        <v>16736753.527000003</v>
      </c>
      <c r="G6" s="40">
        <f>F6/SUM('ContractPrice-CDE'!$G$2:$G$43)*100</f>
        <v>1.6360342251125755</v>
      </c>
      <c r="H6" s="40">
        <f>G6*SUM('ContractPrice-CDE'!$H$2:$H$43)/100</f>
        <v>16468779.053729314</v>
      </c>
    </row>
    <row r="7" spans="1:11" x14ac:dyDescent="0.25">
      <c r="A7" s="39" t="s">
        <v>251</v>
      </c>
      <c r="B7">
        <v>12</v>
      </c>
      <c r="C7">
        <v>12.4</v>
      </c>
      <c r="D7" s="20">
        <f>C7*SUM('ContractPrice-CDE'!$D$2:$D$43)/100</f>
        <v>103767871.86740002</v>
      </c>
      <c r="E7">
        <v>3.2</v>
      </c>
      <c r="F7" s="20">
        <f>E7*SUM('ContractPrice-CDE'!$D$2:$D$43)/100</f>
        <v>26778805.643200006</v>
      </c>
      <c r="G7" s="40">
        <f>F7/SUM('ContractPrice-CDE'!$G$2:$G$43)*100</f>
        <v>2.617654760180121</v>
      </c>
      <c r="H7" s="40">
        <f>G7*SUM('ContractPrice-CDE'!$H$2:$H$43)/100</f>
        <v>26350046.485966906</v>
      </c>
    </row>
    <row r="8" spans="1:11" x14ac:dyDescent="0.25">
      <c r="A8" s="39" t="s">
        <v>252</v>
      </c>
      <c r="B8">
        <v>14</v>
      </c>
      <c r="C8">
        <v>16.5</v>
      </c>
      <c r="D8" s="20">
        <f>C8*SUM('ContractPrice-CDE'!$D$2:$D$43)/100</f>
        <v>138078216.59775001</v>
      </c>
      <c r="E8">
        <v>6.7</v>
      </c>
      <c r="F8" s="20">
        <f>E8*SUM('ContractPrice-CDE'!$D$2:$D$43)/100</f>
        <v>56068124.315450013</v>
      </c>
      <c r="G8" s="40">
        <f>F8/SUM('ContractPrice-CDE'!$G$2:$G$43)*100</f>
        <v>5.4807146541271283</v>
      </c>
      <c r="H8" s="40">
        <f>G8*SUM('ContractPrice-CDE'!$H$2:$H$43)/100</f>
        <v>55170409.829993211</v>
      </c>
    </row>
    <row r="9" spans="1:11" x14ac:dyDescent="0.25">
      <c r="A9" s="39" t="s">
        <v>253</v>
      </c>
      <c r="B9">
        <v>16</v>
      </c>
      <c r="C9">
        <v>22.3</v>
      </c>
      <c r="D9" s="20">
        <f>C9*SUM('ContractPrice-CDE'!$D$2:$D$43)/100</f>
        <v>186614801.82605004</v>
      </c>
      <c r="E9">
        <v>10.6</v>
      </c>
      <c r="F9" s="20">
        <f>E9*SUM('ContractPrice-CDE'!$D$2:$D$43)/100</f>
        <v>88704793.69310002</v>
      </c>
      <c r="G9" s="40">
        <f>F9/SUM('ContractPrice-CDE'!$G$2:$G$43)*100</f>
        <v>8.6709813930966515</v>
      </c>
      <c r="H9" s="40">
        <f>G9*SUM('ContractPrice-CDE'!$H$2:$H$43)/100</f>
        <v>87284528.984765381</v>
      </c>
    </row>
    <row r="10" spans="1:11" x14ac:dyDescent="0.25">
      <c r="A10" s="39" t="s">
        <v>254</v>
      </c>
      <c r="B10">
        <v>18</v>
      </c>
      <c r="C10">
        <v>26.5</v>
      </c>
      <c r="D10" s="20">
        <f>C10*SUM('ContractPrice-CDE'!$D$2:$D$43)/100</f>
        <v>221761984.23275006</v>
      </c>
      <c r="E10">
        <v>13.2</v>
      </c>
      <c r="F10" s="20">
        <f>E10*SUM('ContractPrice-CDE'!$D$2:$D$43)/100</f>
        <v>110462573.27820002</v>
      </c>
      <c r="G10" s="40">
        <f>F10/SUM('ContractPrice-CDE'!$G$2:$G$43)*100</f>
        <v>10.797825885742999</v>
      </c>
      <c r="H10" s="40">
        <f>G10*SUM('ContractPrice-CDE'!$H$2:$H$43)/100</f>
        <v>108693941.75461347</v>
      </c>
    </row>
    <row r="11" spans="1:11" x14ac:dyDescent="0.25">
      <c r="A11" s="39" t="s">
        <v>255</v>
      </c>
      <c r="B11">
        <v>20</v>
      </c>
      <c r="C11">
        <v>29.4</v>
      </c>
      <c r="D11" s="20">
        <f>C11*SUM('ContractPrice-CDE'!$D$2:$D$43)/100</f>
        <v>246030276.84690002</v>
      </c>
      <c r="E11">
        <v>14</v>
      </c>
      <c r="F11" s="20">
        <f>E11*SUM('ContractPrice-CDE'!$D$2:$D$43)/100</f>
        <v>117157274.68900001</v>
      </c>
      <c r="G11" s="40">
        <f>F11/SUM('ContractPrice-CDE'!$G$2:$G$43)*100</f>
        <v>11.452239575788028</v>
      </c>
      <c r="H11" s="40">
        <f>G11*SUM('ContractPrice-CDE'!$H$2:$H$43)/100</f>
        <v>115281453.37610519</v>
      </c>
    </row>
    <row r="12" spans="1:11" x14ac:dyDescent="0.25">
      <c r="A12" s="39" t="s">
        <v>256</v>
      </c>
      <c r="B12">
        <v>22</v>
      </c>
      <c r="C12">
        <v>33.200000000000003</v>
      </c>
      <c r="D12" s="20">
        <f>C12*SUM('ContractPrice-CDE'!$D$2:$D$43)/100</f>
        <v>277830108.54820007</v>
      </c>
      <c r="E12">
        <v>15.2</v>
      </c>
      <c r="F12" s="20">
        <f>E12*SUM('ContractPrice-CDE'!$D$2:$D$43)/100</f>
        <v>127199326.80520003</v>
      </c>
      <c r="G12" s="40">
        <f>F12/SUM('ContractPrice-CDE'!$G$2:$G$43)*100</f>
        <v>12.433860110855575</v>
      </c>
      <c r="H12" s="40">
        <f>G12*SUM('ContractPrice-CDE'!$H$2:$H$43)/100</f>
        <v>125162720.8083428</v>
      </c>
    </row>
    <row r="13" spans="1:11" x14ac:dyDescent="0.25">
      <c r="A13" s="39" t="s">
        <v>257</v>
      </c>
      <c r="B13">
        <v>24</v>
      </c>
      <c r="C13">
        <v>37</v>
      </c>
      <c r="D13" s="20">
        <f>C13*SUM('ContractPrice-CDE'!$D$2:$D$43)/100</f>
        <v>309629940.24950004</v>
      </c>
      <c r="E13">
        <v>16.600000000000001</v>
      </c>
      <c r="F13" s="20">
        <f>E13*SUM('ContractPrice-CDE'!$D$2:$D$43)/100</f>
        <v>138915054.27410004</v>
      </c>
      <c r="G13" s="40">
        <f>F13/SUM('ContractPrice-CDE'!$G$2:$G$43)*100</f>
        <v>13.579084068434376</v>
      </c>
      <c r="H13" s="40">
        <f>G13*SUM('ContractPrice-CDE'!$H$2:$H$43)/100</f>
        <v>136690866.1459533</v>
      </c>
    </row>
    <row r="14" spans="1:11" x14ac:dyDescent="0.25">
      <c r="A14" s="39" t="s">
        <v>258</v>
      </c>
      <c r="B14">
        <v>26</v>
      </c>
      <c r="C14">
        <v>41.1</v>
      </c>
      <c r="D14" s="20">
        <f>C14*SUM('ContractPrice-CDE'!$D$2:$D$43)/100</f>
        <v>343940284.97985005</v>
      </c>
      <c r="E14">
        <v>17.399999999999999</v>
      </c>
      <c r="F14" s="20">
        <f>E14*SUM('ContractPrice-CDE'!$D$2:$D$43)/100</f>
        <v>145609755.68490002</v>
      </c>
      <c r="G14" s="40">
        <f>F14/SUM('ContractPrice-CDE'!$G$2:$G$43)*100</f>
        <v>14.233497758479407</v>
      </c>
      <c r="H14" s="40">
        <f>G14*SUM('ContractPrice-CDE'!$H$2:$H$43)/100</f>
        <v>143278377.76744506</v>
      </c>
    </row>
    <row r="15" spans="1:11" x14ac:dyDescent="0.25">
      <c r="A15" s="39" t="s">
        <v>259</v>
      </c>
      <c r="B15">
        <v>28</v>
      </c>
      <c r="C15">
        <v>46.7</v>
      </c>
      <c r="D15" s="20">
        <f>C15*SUM('ContractPrice-CDE'!$D$2:$D$43)/100</f>
        <v>390803194.85545003</v>
      </c>
      <c r="E15">
        <v>17.8</v>
      </c>
      <c r="F15" s="20">
        <f>E15*SUM('ContractPrice-CDE'!$D$2:$D$43)/100</f>
        <v>148957106.39030004</v>
      </c>
      <c r="G15" s="40">
        <f>F15/SUM('ContractPrice-CDE'!$G$2:$G$43)*100</f>
        <v>14.560704603501923</v>
      </c>
      <c r="H15" s="40">
        <f>G15*SUM('ContractPrice-CDE'!$H$2:$H$43)/100</f>
        <v>146572133.57819092</v>
      </c>
    </row>
    <row r="16" spans="1:11" x14ac:dyDescent="0.25">
      <c r="A16" s="39" t="s">
        <v>260</v>
      </c>
      <c r="B16">
        <v>30</v>
      </c>
      <c r="C16">
        <v>54.2</v>
      </c>
      <c r="D16" s="20">
        <f>C16*SUM('ContractPrice-CDE'!$D$2:$D$43)/100</f>
        <v>453566020.58170015</v>
      </c>
      <c r="E16">
        <v>18.3</v>
      </c>
      <c r="F16" s="20">
        <f>E16*SUM('ContractPrice-CDE'!$D$2:$D$43)/100</f>
        <v>153141294.77205002</v>
      </c>
      <c r="G16" s="40">
        <f>F16/SUM('ContractPrice-CDE'!$G$2:$G$43)*100</f>
        <v>14.969713159780065</v>
      </c>
      <c r="H16" s="40">
        <f>G16*SUM('ContractPrice-CDE'!$H$2:$H$43)/100</f>
        <v>150689328.34162322</v>
      </c>
    </row>
    <row r="17" spans="1:8" x14ac:dyDescent="0.25">
      <c r="A17" s="39" t="s">
        <v>261</v>
      </c>
      <c r="B17">
        <v>32</v>
      </c>
      <c r="C17">
        <v>61.1</v>
      </c>
      <c r="D17" s="20">
        <f>C17*SUM('ContractPrice-CDE'!$D$2:$D$43)/100</f>
        <v>511307820.24985009</v>
      </c>
      <c r="E17">
        <v>18.3</v>
      </c>
      <c r="F17" s="20">
        <f>E17*SUM('ContractPrice-CDE'!$D$2:$D$43)/100</f>
        <v>153141294.77205002</v>
      </c>
      <c r="G17" s="40">
        <f>F17/SUM('ContractPrice-CDE'!$G$2:$G$43)*100</f>
        <v>14.969713159780065</v>
      </c>
      <c r="H17" s="40">
        <f>G17*SUM('ContractPrice-CDE'!$H$2:$H$43)/100</f>
        <v>150689328.34162322</v>
      </c>
    </row>
    <row r="18" spans="1:8" x14ac:dyDescent="0.25">
      <c r="A18" s="39" t="s">
        <v>262</v>
      </c>
      <c r="B18">
        <v>34</v>
      </c>
      <c r="C18">
        <v>67.2</v>
      </c>
      <c r="D18" s="20">
        <f>C18*SUM('ContractPrice-CDE'!$D$2:$D$43)/100</f>
        <v>562354918.50720012</v>
      </c>
      <c r="E18">
        <v>18.399999999999999</v>
      </c>
      <c r="F18" s="20">
        <f>E18*SUM('ContractPrice-CDE'!$D$2:$D$43)/100</f>
        <v>153978132.44840002</v>
      </c>
      <c r="G18" s="40">
        <f>F18/SUM('ContractPrice-CDE'!$G$2:$G$43)*100</f>
        <v>15.051514871035696</v>
      </c>
      <c r="H18" s="40">
        <f>G18*SUM('ContractPrice-CDE'!$H$2:$H$43)/100</f>
        <v>151512767.29430971</v>
      </c>
    </row>
    <row r="19" spans="1:8" x14ac:dyDescent="0.25">
      <c r="A19" s="39" t="s">
        <v>263</v>
      </c>
      <c r="B19">
        <v>36</v>
      </c>
      <c r="C19">
        <v>73.900000000000006</v>
      </c>
      <c r="D19" s="20">
        <f>C19*SUM('ContractPrice-CDE'!$D$2:$D$43)/100</f>
        <v>618423042.82265019</v>
      </c>
      <c r="E19">
        <v>18.8</v>
      </c>
      <c r="F19" s="20">
        <f>E19*SUM('ContractPrice-CDE'!$D$2:$D$43)/100</f>
        <v>157325483.15380004</v>
      </c>
      <c r="G19" s="40">
        <f>F19/SUM('ContractPrice-CDE'!$G$2:$G$43)*100</f>
        <v>15.378721716058211</v>
      </c>
      <c r="H19" s="40">
        <f>G19*SUM('ContractPrice-CDE'!$H$2:$H$43)/100</f>
        <v>154806523.10505557</v>
      </c>
    </row>
    <row r="20" spans="1:8" x14ac:dyDescent="0.25">
      <c r="A20" s="39" t="s">
        <v>264</v>
      </c>
      <c r="B20">
        <v>38</v>
      </c>
      <c r="C20">
        <v>80.5</v>
      </c>
      <c r="D20" s="20">
        <f>C20*SUM('ContractPrice-CDE'!$D$2:$D$43)/100</f>
        <v>673654329.46175015</v>
      </c>
      <c r="E20">
        <v>20</v>
      </c>
      <c r="F20" s="20">
        <f>E20*SUM('ContractPrice-CDE'!$D$2:$D$43)/100</f>
        <v>167367535.27000004</v>
      </c>
      <c r="G20" s="40">
        <f>F20/SUM('ContractPrice-CDE'!$G$2:$G$43)*100</f>
        <v>16.360342251125758</v>
      </c>
      <c r="H20" s="40">
        <f>G20*SUM('ContractPrice-CDE'!$H$2:$H$43)/100</f>
        <v>164687790.5372932</v>
      </c>
    </row>
    <row r="21" spans="1:8" x14ac:dyDescent="0.25">
      <c r="A21" s="39" t="s">
        <v>265</v>
      </c>
      <c r="B21">
        <v>40</v>
      </c>
      <c r="C21">
        <v>86</v>
      </c>
      <c r="D21" s="20">
        <f>C21*SUM('ContractPrice-CDE'!$D$2:$D$43)/100</f>
        <v>719680401.66100001</v>
      </c>
      <c r="E21">
        <v>20.100000000000001</v>
      </c>
      <c r="F21" s="20">
        <f>E21*SUM('ContractPrice-CDE'!$D$2:$D$43)/100</f>
        <v>168204372.94635004</v>
      </c>
      <c r="G21" s="40">
        <f>F21/SUM('ContractPrice-CDE'!$G$2:$G$43)*100</f>
        <v>16.442143962381383</v>
      </c>
      <c r="H21" s="40">
        <f>G21*SUM('ContractPrice-CDE'!$H$2:$H$43)/100</f>
        <v>165511229.48997962</v>
      </c>
    </row>
    <row r="22" spans="1:8" x14ac:dyDescent="0.25">
      <c r="A22" s="39" t="s">
        <v>266</v>
      </c>
      <c r="B22">
        <v>42</v>
      </c>
      <c r="C22">
        <v>92.1</v>
      </c>
      <c r="D22" s="20">
        <f>C22*SUM('ContractPrice-CDE'!$D$2:$D$43)/100</f>
        <v>770727499.9183501</v>
      </c>
      <c r="E22">
        <v>20.399999999999999</v>
      </c>
      <c r="F22" s="20">
        <f>E22*SUM('ContractPrice-CDE'!$D$2:$D$43)/100</f>
        <v>170714885.9754</v>
      </c>
      <c r="G22" s="40">
        <f>F22/SUM('ContractPrice-CDE'!$G$2:$G$43)*100</f>
        <v>16.687549096148267</v>
      </c>
      <c r="H22" s="40">
        <f>G22*SUM('ContractPrice-CDE'!$H$2:$H$43)/100</f>
        <v>167981546.34803897</v>
      </c>
    </row>
    <row r="23" spans="1:8" x14ac:dyDescent="0.25">
      <c r="A23" s="39" t="s">
        <v>267</v>
      </c>
      <c r="B23">
        <v>44</v>
      </c>
      <c r="C23">
        <v>94.8</v>
      </c>
      <c r="D23" s="20">
        <f>C23*SUM('ContractPrice-CDE'!$D$2:$D$43)/100</f>
        <v>793322117.17980015</v>
      </c>
      <c r="E23">
        <v>20.9</v>
      </c>
      <c r="F23" s="20">
        <f>E23*SUM('ContractPrice-CDE'!$D$2:$D$43)/100</f>
        <v>174899074.35714999</v>
      </c>
      <c r="G23" s="40">
        <f>F23/SUM('ContractPrice-CDE'!$G$2:$G$43)*100</f>
        <v>17.096557652426412</v>
      </c>
      <c r="H23" s="40">
        <f>G23*SUM('ContractPrice-CDE'!$H$2:$H$43)/100</f>
        <v>172098741.11147133</v>
      </c>
    </row>
    <row r="24" spans="1:8" x14ac:dyDescent="0.25">
      <c r="A24" s="39" t="s">
        <v>268</v>
      </c>
      <c r="B24">
        <v>46</v>
      </c>
      <c r="C24">
        <v>96.7</v>
      </c>
      <c r="D24" s="20">
        <f>C24*SUM('ContractPrice-CDE'!$D$2:$D$43)/100</f>
        <v>809222033.03045011</v>
      </c>
      <c r="E24">
        <v>21.1</v>
      </c>
      <c r="F24" s="20">
        <f>E24*SUM('ContractPrice-CDE'!$D$2:$D$43)/100</f>
        <v>176572749.70985004</v>
      </c>
      <c r="G24" s="40">
        <f>F24/SUM('ContractPrice-CDE'!$G$2:$G$43)*100</f>
        <v>17.260161074937674</v>
      </c>
      <c r="H24" s="40">
        <f>G24*SUM('ContractPrice-CDE'!$H$2:$H$43)/100</f>
        <v>173745619.0168443</v>
      </c>
    </row>
    <row r="25" spans="1:8" x14ac:dyDescent="0.25">
      <c r="A25" s="39" t="s">
        <v>269</v>
      </c>
      <c r="B25">
        <v>48</v>
      </c>
      <c r="C25">
        <v>98.2</v>
      </c>
      <c r="D25" s="20">
        <f>C25*SUM('ContractPrice-CDE'!$D$2:$D$43)/100</f>
        <v>821774598.17570019</v>
      </c>
      <c r="E25">
        <v>21.1</v>
      </c>
      <c r="F25" s="20">
        <f>E25*SUM('ContractPrice-CDE'!$D$2:$D$43)/100</f>
        <v>176572749.70985004</v>
      </c>
      <c r="G25" s="40">
        <f>F25/SUM('ContractPrice-CDE'!$G$2:$G$43)*100</f>
        <v>17.260161074937674</v>
      </c>
      <c r="H25" s="40">
        <f>G25*SUM('ContractPrice-CDE'!$H$2:$H$43)/100</f>
        <v>173745619.0168443</v>
      </c>
    </row>
    <row r="26" spans="1:8" x14ac:dyDescent="0.25">
      <c r="A26" s="39" t="s">
        <v>270</v>
      </c>
      <c r="B26">
        <v>50</v>
      </c>
      <c r="C26">
        <v>99.4</v>
      </c>
      <c r="D26" s="20">
        <f>C26*SUM('ContractPrice-CDE'!$D$2:$D$43)/100</f>
        <v>831816650.29190016</v>
      </c>
      <c r="E26">
        <v>21.2</v>
      </c>
      <c r="F26" s="20">
        <f>E26*SUM('ContractPrice-CDE'!$D$2:$D$43)/100</f>
        <v>177409587.38620004</v>
      </c>
      <c r="G26" s="40">
        <f>F26/SUM('ContractPrice-CDE'!$G$2:$G$43)*100</f>
        <v>17.341962786193303</v>
      </c>
      <c r="H26" s="40">
        <f>G26*SUM('ContractPrice-CDE'!$H$2:$H$43)/100</f>
        <v>174569057.96953076</v>
      </c>
    </row>
    <row r="27" spans="1:8" s="6" customFormat="1" x14ac:dyDescent="0.25">
      <c r="A27" s="41" t="s">
        <v>271</v>
      </c>
      <c r="B27" s="6">
        <v>52</v>
      </c>
      <c r="C27" s="6">
        <v>100</v>
      </c>
      <c r="D27" s="20">
        <f>C27*SUM('ContractPrice-CDE'!$D$2:$D$43)/100</f>
        <v>836837676.35000014</v>
      </c>
      <c r="E27" s="6">
        <v>21.2</v>
      </c>
      <c r="F27" s="20">
        <f>E27*SUM('ContractPrice-CDE'!$D$2:$D$43)/100</f>
        <v>177409587.38620004</v>
      </c>
      <c r="G27" s="42">
        <f>F27/SUM('ContractPrice-CDE'!$G$2:$G$43)*100</f>
        <v>17.341962786193303</v>
      </c>
      <c r="H27" s="40">
        <f>G27*SUM('ContractPrice-CDE'!$H$2:$H$43)/100</f>
        <v>174569057.96953076</v>
      </c>
    </row>
    <row r="28" spans="1:8" x14ac:dyDescent="0.25">
      <c r="A28" s="39" t="s">
        <v>272</v>
      </c>
      <c r="B28">
        <v>54</v>
      </c>
      <c r="C28">
        <v>100</v>
      </c>
      <c r="D28" s="20">
        <f>C28*SUM('ContractPrice-CDE'!$D$2:$D$43)/100</f>
        <v>836837676.35000014</v>
      </c>
      <c r="E28">
        <v>21.2</v>
      </c>
      <c r="F28" s="20">
        <f>E28*SUM('ContractPrice-CDE'!$D$2:$D$43)/100</f>
        <v>177409587.38620004</v>
      </c>
      <c r="G28" s="40">
        <f>F28/SUM('ContractPrice-CDE'!$G$2:$G$43)*100</f>
        <v>17.341962786193303</v>
      </c>
      <c r="H28" s="40">
        <f>G28*SUM('ContractPrice-CDE'!$H$2:$H$43)/100</f>
        <v>174569057.96953076</v>
      </c>
    </row>
    <row r="29" spans="1:8" x14ac:dyDescent="0.25">
      <c r="A29" s="39" t="s">
        <v>273</v>
      </c>
      <c r="B29">
        <v>56</v>
      </c>
      <c r="C29">
        <v>100</v>
      </c>
      <c r="D29" s="20">
        <f>C29*SUM('ContractPrice-CDE'!$D$2:$D$43)/100</f>
        <v>836837676.35000014</v>
      </c>
      <c r="E29">
        <v>21.2</v>
      </c>
      <c r="F29" s="20">
        <f>E29*SUM('ContractPrice-CDE'!$D$2:$D$43)/100</f>
        <v>177409587.38620004</v>
      </c>
      <c r="G29" s="40">
        <f>F29/SUM('ContractPrice-CDE'!$G$2:$G$43)*100</f>
        <v>17.341962786193303</v>
      </c>
      <c r="H29" s="40">
        <f>G29*SUM('ContractPrice-CDE'!$H$2:$H$43)/100</f>
        <v>174569057.96953076</v>
      </c>
    </row>
    <row r="30" spans="1:8" x14ac:dyDescent="0.25">
      <c r="A30" s="39" t="s">
        <v>274</v>
      </c>
      <c r="B30">
        <v>58</v>
      </c>
      <c r="C30">
        <v>100</v>
      </c>
      <c r="D30" s="20">
        <f>C30*SUM('ContractPrice-CDE'!$D$2:$D$43)/100</f>
        <v>836837676.35000014</v>
      </c>
      <c r="E30">
        <v>21.4</v>
      </c>
      <c r="F30" s="20">
        <f>E30*SUM('ContractPrice-CDE'!$D$2:$D$43)/100</f>
        <v>179083262.73890004</v>
      </c>
      <c r="G30" s="40">
        <f>F30/SUM('ContractPrice-CDE'!$G$2:$G$43)*100</f>
        <v>17.505566208704558</v>
      </c>
      <c r="H30" s="40">
        <f>G30*SUM('ContractPrice-CDE'!$H$2:$H$43)/100</f>
        <v>176215935.87490368</v>
      </c>
    </row>
    <row r="31" spans="1:8" x14ac:dyDescent="0.25">
      <c r="A31" s="39" t="s">
        <v>275</v>
      </c>
      <c r="B31">
        <v>60</v>
      </c>
      <c r="C31">
        <v>100</v>
      </c>
      <c r="D31" s="20">
        <f>C31*SUM('ContractPrice-CDE'!$D$2:$D$43)/100</f>
        <v>836837676.35000014</v>
      </c>
      <c r="E31">
        <v>22</v>
      </c>
      <c r="F31" s="20">
        <f>E31*SUM('ContractPrice-CDE'!$D$2:$D$43)/100</f>
        <v>184104288.79700005</v>
      </c>
      <c r="G31" s="40">
        <f>F31/SUM('ContractPrice-CDE'!$G$2:$G$43)*100</f>
        <v>17.996376476238332</v>
      </c>
      <c r="H31" s="40">
        <f>G31*SUM('ContractPrice-CDE'!$H$2:$H$43)/100</f>
        <v>181156569.59102249</v>
      </c>
    </row>
    <row r="32" spans="1:8" x14ac:dyDescent="0.25">
      <c r="A32" s="39" t="s">
        <v>276</v>
      </c>
      <c r="B32">
        <v>62</v>
      </c>
      <c r="C32">
        <v>100</v>
      </c>
      <c r="D32" s="20">
        <f>C32*SUM('ContractPrice-CDE'!$D$2:$D$43)/100</f>
        <v>836837676.35000014</v>
      </c>
      <c r="E32">
        <v>22.9</v>
      </c>
      <c r="F32" s="20">
        <f>E32*SUM('ContractPrice-CDE'!$D$2:$D$43)/100</f>
        <v>191635827.88415</v>
      </c>
      <c r="G32" s="40">
        <f>F32/SUM('ContractPrice-CDE'!$G$2:$G$43)*100</f>
        <v>18.732591877538987</v>
      </c>
      <c r="H32" s="40">
        <f>G32*SUM('ContractPrice-CDE'!$H$2:$H$43)/100</f>
        <v>188567520.16520062</v>
      </c>
    </row>
    <row r="33" spans="1:9" x14ac:dyDescent="0.25">
      <c r="A33" s="39" t="s">
        <v>277</v>
      </c>
      <c r="B33">
        <v>64</v>
      </c>
      <c r="C33">
        <v>100</v>
      </c>
      <c r="D33" s="20">
        <f>C33*SUM('ContractPrice-CDE'!$D$2:$D$43)/100</f>
        <v>836837676.35000014</v>
      </c>
      <c r="E33">
        <v>23.1</v>
      </c>
      <c r="F33" s="20">
        <f>E33*SUM('ContractPrice-CDE'!$D$2:$D$43)/100</f>
        <v>193309503.23685005</v>
      </c>
      <c r="G33" s="40">
        <f>F33/SUM('ContractPrice-CDE'!$G$2:$G$43)*100</f>
        <v>18.896195300050252</v>
      </c>
      <c r="H33" s="40">
        <f>G33*SUM('ContractPrice-CDE'!$H$2:$H$43)/100</f>
        <v>190214398.07057366</v>
      </c>
    </row>
    <row r="34" spans="1:9" x14ac:dyDescent="0.25">
      <c r="A34" s="39" t="s">
        <v>278</v>
      </c>
      <c r="B34">
        <v>66</v>
      </c>
      <c r="C34">
        <v>100</v>
      </c>
      <c r="D34" s="20">
        <f>C34*SUM('ContractPrice-CDE'!$D$2:$D$43)/100</f>
        <v>836837676.35000014</v>
      </c>
      <c r="E34">
        <v>23.7</v>
      </c>
      <c r="F34" s="20">
        <f>E34*SUM('ContractPrice-CDE'!$D$2:$D$43)/100</f>
        <v>198330529.29495004</v>
      </c>
      <c r="G34" s="40">
        <f>F34/SUM('ContractPrice-CDE'!$G$2:$G$43)*100</f>
        <v>19.387005567584019</v>
      </c>
      <c r="H34" s="40">
        <f>G34*SUM('ContractPrice-CDE'!$H$2:$H$43)/100</f>
        <v>195155031.78669238</v>
      </c>
    </row>
    <row r="35" spans="1:9" x14ac:dyDescent="0.25">
      <c r="A35" s="39" t="s">
        <v>279</v>
      </c>
      <c r="B35">
        <v>68</v>
      </c>
      <c r="C35">
        <v>100</v>
      </c>
      <c r="D35" s="20">
        <f>C35*SUM('ContractPrice-CDE'!$D$2:$D$43)/100</f>
        <v>836837676.35000014</v>
      </c>
      <c r="E35">
        <v>23.7</v>
      </c>
      <c r="F35" s="20">
        <f>E35*SUM('ContractPrice-CDE'!$D$2:$D$43)/100</f>
        <v>198330529.29495004</v>
      </c>
      <c r="G35" s="40">
        <f>F35/SUM('ContractPrice-CDE'!$G$2:$G$43)*100</f>
        <v>19.387005567584019</v>
      </c>
      <c r="H35" s="40">
        <f>G35*SUM('ContractPrice-CDE'!$H$2:$H$43)/100</f>
        <v>195155031.78669238</v>
      </c>
    </row>
    <row r="36" spans="1:9" x14ac:dyDescent="0.25">
      <c r="A36" s="39" t="s">
        <v>280</v>
      </c>
      <c r="B36">
        <v>70</v>
      </c>
      <c r="C36">
        <v>100</v>
      </c>
      <c r="D36" s="20">
        <f>C36*SUM('ContractPrice-CDE'!$D$2:$D$43)/100</f>
        <v>836837676.35000014</v>
      </c>
      <c r="E36">
        <v>23.7</v>
      </c>
      <c r="F36" s="20">
        <f>E36*SUM('ContractPrice-CDE'!$D$2:$D$43)/100</f>
        <v>198330529.29495004</v>
      </c>
      <c r="G36" s="40">
        <f>F36/SUM('ContractPrice-CDE'!$G$2:$G$43)*100</f>
        <v>19.387005567584019</v>
      </c>
      <c r="H36" s="40">
        <f>G36*SUM('ContractPrice-CDE'!$H$2:$H$43)/100</f>
        <v>195155031.78669238</v>
      </c>
    </row>
    <row r="37" spans="1:9" x14ac:dyDescent="0.25">
      <c r="A37" s="39" t="s">
        <v>281</v>
      </c>
      <c r="B37">
        <v>72</v>
      </c>
      <c r="C37">
        <v>100</v>
      </c>
      <c r="D37" s="20">
        <f>C37*SUM('ContractPrice-CDE'!$D$2:$D$43)/100</f>
        <v>836837676.35000014</v>
      </c>
      <c r="E37">
        <v>23.7</v>
      </c>
      <c r="F37" s="20">
        <f>E37*SUM('ContractPrice-CDE'!$D$2:$D$43)/100</f>
        <v>198330529.29495004</v>
      </c>
      <c r="G37" s="40">
        <f>F37/SUM('ContractPrice-CDE'!$G$2:$G$43)*100</f>
        <v>19.387005567584019</v>
      </c>
      <c r="H37" s="40">
        <f>G37*SUM('ContractPrice-CDE'!$H$2:$H$43)/100</f>
        <v>195155031.78669238</v>
      </c>
    </row>
    <row r="38" spans="1:9" x14ac:dyDescent="0.25">
      <c r="A38" s="39" t="s">
        <v>282</v>
      </c>
      <c r="B38">
        <v>74</v>
      </c>
      <c r="C38">
        <v>100</v>
      </c>
      <c r="D38" s="20">
        <f>C38*SUM('ContractPrice-CDE'!$D$2:$D$43)/100</f>
        <v>836837676.35000014</v>
      </c>
      <c r="E38">
        <v>23.9</v>
      </c>
      <c r="F38" s="20">
        <f>E38*SUM('ContractPrice-CDE'!$D$2:$D$43)/100</f>
        <v>200004204.64765003</v>
      </c>
      <c r="G38" s="40">
        <f>F38/SUM('ContractPrice-CDE'!$G$2:$G$43)*100</f>
        <v>19.550608990095277</v>
      </c>
      <c r="H38" s="40">
        <f>G38*SUM('ContractPrice-CDE'!$H$2:$H$43)/100</f>
        <v>196801909.69206533</v>
      </c>
    </row>
    <row r="39" spans="1:9" x14ac:dyDescent="0.25">
      <c r="A39" s="39" t="s">
        <v>283</v>
      </c>
      <c r="B39">
        <v>76</v>
      </c>
      <c r="C39">
        <v>100</v>
      </c>
      <c r="D39" s="20">
        <f>C39*SUM('ContractPrice-CDE'!$D$2:$D$43)/100</f>
        <v>836837676.35000014</v>
      </c>
      <c r="E39">
        <v>23.9</v>
      </c>
      <c r="F39" s="20">
        <f>E39*SUM('ContractPrice-CDE'!$D$2:$D$43)/100</f>
        <v>200004204.64765003</v>
      </c>
      <c r="G39" s="40">
        <f>F39/SUM('ContractPrice-CDE'!$G$2:$G$43)*100</f>
        <v>19.550608990095277</v>
      </c>
      <c r="H39" s="40">
        <f>G39*SUM('ContractPrice-CDE'!$H$2:$H$43)/100</f>
        <v>196801909.69206533</v>
      </c>
    </row>
    <row r="40" spans="1:9" x14ac:dyDescent="0.25">
      <c r="A40" s="39" t="s">
        <v>284</v>
      </c>
      <c r="B40">
        <v>78</v>
      </c>
      <c r="C40">
        <v>100</v>
      </c>
      <c r="D40" s="20">
        <f>C40*SUM('ContractPrice-CDE'!$D$2:$D$43)/100</f>
        <v>836837676.35000014</v>
      </c>
      <c r="E40">
        <v>23.9</v>
      </c>
      <c r="F40" s="20">
        <f>E40*SUM('ContractPrice-CDE'!$D$2:$D$43)/100</f>
        <v>200004204.64765003</v>
      </c>
      <c r="G40" s="40">
        <f>F40/SUM('ContractPrice-CDE'!$G$2:$G$43)*100</f>
        <v>19.550608990095277</v>
      </c>
      <c r="H40" s="40">
        <f>G40*SUM('ContractPrice-CDE'!$H$2:$H$43)/100</f>
        <v>196801909.69206533</v>
      </c>
    </row>
    <row r="41" spans="1:9" x14ac:dyDescent="0.25">
      <c r="A41" s="39" t="s">
        <v>285</v>
      </c>
      <c r="B41">
        <v>80</v>
      </c>
      <c r="C41">
        <v>100</v>
      </c>
      <c r="D41" s="20">
        <f>C41*SUM('ContractPrice-CDE'!$D$2:$D$43)/100</f>
        <v>836837676.35000014</v>
      </c>
      <c r="E41">
        <v>23.9</v>
      </c>
      <c r="F41" s="20">
        <f>E41*SUM('ContractPrice-CDE'!$D$2:$D$43)/100</f>
        <v>200004204.64765003</v>
      </c>
      <c r="G41" s="40">
        <f>F41/SUM('ContractPrice-CDE'!$G$2:$G$43)*100</f>
        <v>19.550608990095277</v>
      </c>
      <c r="H41" s="40">
        <f>G41*SUM('ContractPrice-CDE'!$H$2:$H$43)/100</f>
        <v>196801909.69206533</v>
      </c>
    </row>
    <row r="42" spans="1:9" s="6" customFormat="1" x14ac:dyDescent="0.25">
      <c r="A42" s="41" t="s">
        <v>286</v>
      </c>
      <c r="B42" s="6">
        <v>82</v>
      </c>
      <c r="C42" s="6">
        <v>100</v>
      </c>
      <c r="D42" s="20">
        <f>C42*SUM('ContractPrice-CDE'!$D$2:$D$43)/100</f>
        <v>836837676.35000014</v>
      </c>
      <c r="E42" s="6">
        <v>23.9</v>
      </c>
      <c r="F42" s="20">
        <f>E42*SUM('ContractPrice-CDE'!$D$2:$D$43)/100</f>
        <v>200004204.64765003</v>
      </c>
      <c r="G42" s="42">
        <f>F42/SUM('ContractPrice-CDE'!$G$2:$G$43)*100</f>
        <v>19.550608990095277</v>
      </c>
      <c r="H42" s="40">
        <f>G42*SUM('ContractPrice-CDE'!$H$2:$H$43)/100</f>
        <v>196801909.69206533</v>
      </c>
      <c r="I42" s="6">
        <v>1.7877642446645523</v>
      </c>
    </row>
    <row r="43" spans="1:9" x14ac:dyDescent="0.25">
      <c r="A43" s="39">
        <v>43860</v>
      </c>
      <c r="B43">
        <v>84</v>
      </c>
      <c r="C43">
        <v>100</v>
      </c>
      <c r="D43" s="20">
        <f>C43*SUM('ContractPrice-CDE'!$D$2:$D$43)/100</f>
        <v>836837676.35000014</v>
      </c>
      <c r="E43">
        <v>25.591111111111111</v>
      </c>
      <c r="F43" s="20">
        <f>E43*SUM('ContractPrice-CDE'!$D$2:$D$43)/100</f>
        <v>214156059.57436892</v>
      </c>
      <c r="G43" s="40">
        <f t="shared" ref="G43:G87" si="0">G42+$I$42</f>
        <v>21.338373234759828</v>
      </c>
      <c r="H43" s="40">
        <f>G43*SUM('ContractPrice-CDE'!$H$2:$H$43)/100</f>
        <v>214798045.64913055</v>
      </c>
    </row>
    <row r="44" spans="1:9" x14ac:dyDescent="0.25">
      <c r="A44" s="39">
        <v>43875</v>
      </c>
      <c r="B44">
        <v>86</v>
      </c>
      <c r="C44">
        <v>100</v>
      </c>
      <c r="D44" s="20">
        <f>C44*SUM('ContractPrice-CDE'!$D$2:$D$43)/100</f>
        <v>836837676.35000014</v>
      </c>
      <c r="E44">
        <v>27.282222222222224</v>
      </c>
      <c r="F44" s="20">
        <f>E44*SUM('ContractPrice-CDE'!$D$2:$D$43)/100</f>
        <v>228307914.50108784</v>
      </c>
      <c r="G44" s="40">
        <f t="shared" si="0"/>
        <v>23.126137479424379</v>
      </c>
      <c r="H44" s="40">
        <f>G44*SUM('ContractPrice-CDE'!$H$2:$H$43)/100</f>
        <v>232794181.60619581</v>
      </c>
    </row>
    <row r="45" spans="1:9" x14ac:dyDescent="0.25">
      <c r="A45" s="39">
        <v>43890</v>
      </c>
      <c r="B45">
        <v>88</v>
      </c>
      <c r="C45">
        <v>100</v>
      </c>
      <c r="D45" s="20">
        <f>C45*SUM('ContractPrice-CDE'!$D$2:$D$43)/100</f>
        <v>836837676.35000014</v>
      </c>
      <c r="E45">
        <v>28.973333333333336</v>
      </c>
      <c r="F45" s="20">
        <f>E45*SUM('ContractPrice-CDE'!$D$2:$D$43)/100</f>
        <v>242459769.42780674</v>
      </c>
      <c r="G45" s="40">
        <f t="shared" si="0"/>
        <v>24.91390172408893</v>
      </c>
      <c r="H45" s="40">
        <f>G45*SUM('ContractPrice-CDE'!$H$2:$H$43)/100</f>
        <v>250790317.563261</v>
      </c>
    </row>
    <row r="46" spans="1:9" x14ac:dyDescent="0.25">
      <c r="A46" s="39">
        <v>43905</v>
      </c>
      <c r="B46">
        <v>90</v>
      </c>
      <c r="C46">
        <v>100</v>
      </c>
      <c r="D46" s="20">
        <f>C46*SUM('ContractPrice-CDE'!$D$2:$D$43)/100</f>
        <v>836837676.35000014</v>
      </c>
      <c r="E46">
        <v>30.664444444444449</v>
      </c>
      <c r="F46" s="20">
        <f>E46*SUM('ContractPrice-CDE'!$D$2:$D$43)/100</f>
        <v>256611624.35452566</v>
      </c>
      <c r="G46" s="40">
        <f t="shared" si="0"/>
        <v>26.701665968753481</v>
      </c>
      <c r="H46" s="40">
        <f>G46*SUM('ContractPrice-CDE'!$H$2:$H$43)/100</f>
        <v>268786453.52032626</v>
      </c>
    </row>
    <row r="47" spans="1:9" x14ac:dyDescent="0.25">
      <c r="A47" s="39">
        <v>43920</v>
      </c>
      <c r="B47">
        <v>92</v>
      </c>
      <c r="C47">
        <v>100</v>
      </c>
      <c r="D47" s="20">
        <f>C47*SUM('ContractPrice-CDE'!$D$2:$D$43)/100</f>
        <v>836837676.35000014</v>
      </c>
      <c r="E47">
        <v>32.355555555555561</v>
      </c>
      <c r="F47" s="20">
        <f>E47*SUM('ContractPrice-CDE'!$D$2:$D$43)/100</f>
        <v>270763479.28124452</v>
      </c>
      <c r="G47" s="40">
        <f t="shared" si="0"/>
        <v>28.489430213418032</v>
      </c>
      <c r="H47" s="40">
        <f>G47*SUM('ContractPrice-CDE'!$H$2:$H$43)/100</f>
        <v>286782589.47739148</v>
      </c>
    </row>
    <row r="48" spans="1:9" x14ac:dyDescent="0.25">
      <c r="A48" s="39">
        <v>43936</v>
      </c>
      <c r="B48">
        <v>94</v>
      </c>
      <c r="C48">
        <v>100</v>
      </c>
      <c r="D48" s="20">
        <f>C48*SUM('ContractPrice-CDE'!$D$2:$D$43)/100</f>
        <v>836837676.35000014</v>
      </c>
      <c r="E48">
        <v>34.046666666666674</v>
      </c>
      <c r="F48" s="20">
        <f>E48*SUM('ContractPrice-CDE'!$D$2:$D$43)/100</f>
        <v>284915334.20796347</v>
      </c>
      <c r="G48" s="40">
        <f t="shared" si="0"/>
        <v>30.277194458082583</v>
      </c>
      <c r="H48" s="40">
        <f>G48*SUM('ContractPrice-CDE'!$H$2:$H$43)/100</f>
        <v>304778725.43445665</v>
      </c>
    </row>
    <row r="49" spans="1:8" x14ac:dyDescent="0.25">
      <c r="A49" s="39">
        <v>43951</v>
      </c>
      <c r="B49">
        <v>96</v>
      </c>
      <c r="C49">
        <v>100</v>
      </c>
      <c r="D49" s="20">
        <f>C49*SUM('ContractPrice-CDE'!$D$2:$D$43)/100</f>
        <v>836837676.35000014</v>
      </c>
      <c r="E49">
        <v>35.737777777777787</v>
      </c>
      <c r="F49" s="20">
        <f>E49*SUM('ContractPrice-CDE'!$D$2:$D$43)/100</f>
        <v>299067189.13468236</v>
      </c>
      <c r="G49" s="40">
        <f t="shared" si="0"/>
        <v>32.064958702747134</v>
      </c>
      <c r="H49" s="40">
        <f>G49*SUM('ContractPrice-CDE'!$H$2:$H$43)/100</f>
        <v>322774861.39152193</v>
      </c>
    </row>
    <row r="50" spans="1:8" x14ac:dyDescent="0.25">
      <c r="A50" s="39">
        <v>43966</v>
      </c>
      <c r="B50">
        <v>98</v>
      </c>
      <c r="C50">
        <v>100</v>
      </c>
      <c r="D50" s="20">
        <f>C50*SUM('ContractPrice-CDE'!$D$2:$D$43)/100</f>
        <v>836837676.35000014</v>
      </c>
      <c r="E50">
        <v>37.428888888888899</v>
      </c>
      <c r="F50" s="20">
        <f>E50*SUM('ContractPrice-CDE'!$D$2:$D$43)/100</f>
        <v>313219044.06140125</v>
      </c>
      <c r="G50" s="40">
        <f t="shared" si="0"/>
        <v>33.852722947411685</v>
      </c>
      <c r="H50" s="40">
        <f>G50*SUM('ContractPrice-CDE'!$H$2:$H$43)/100</f>
        <v>340770997.34858716</v>
      </c>
    </row>
    <row r="51" spans="1:8" s="6" customFormat="1" x14ac:dyDescent="0.25">
      <c r="A51" s="41">
        <v>43981</v>
      </c>
      <c r="B51" s="6">
        <v>100</v>
      </c>
      <c r="C51" s="6">
        <v>100</v>
      </c>
      <c r="D51" s="20">
        <f>C51*SUM('ContractPrice-CDE'!$D$2:$D$43)/100</f>
        <v>836837676.35000014</v>
      </c>
      <c r="E51" s="6">
        <v>39.120000000000012</v>
      </c>
      <c r="F51" s="20">
        <f>E51*SUM('ContractPrice-CDE'!$D$2:$D$43)/100</f>
        <v>327370898.98812014</v>
      </c>
      <c r="G51" s="40">
        <f t="shared" si="0"/>
        <v>35.640487192076236</v>
      </c>
      <c r="H51" s="40">
        <f>G51*SUM('ContractPrice-CDE'!$H$2:$H$43)/100</f>
        <v>358767133.30565238</v>
      </c>
    </row>
    <row r="52" spans="1:8" x14ac:dyDescent="0.25">
      <c r="A52" s="39">
        <v>43997</v>
      </c>
      <c r="B52">
        <v>102</v>
      </c>
      <c r="C52">
        <v>100</v>
      </c>
      <c r="D52" s="20">
        <f>C52*SUM('ContractPrice-CDE'!$D$2:$D$43)/100</f>
        <v>836837676.35000014</v>
      </c>
      <c r="E52">
        <v>40.811111111111124</v>
      </c>
      <c r="F52" s="20">
        <f>E52*SUM('ContractPrice-CDE'!$D$2:$D$43)/100</f>
        <v>341522753.91483903</v>
      </c>
      <c r="G52" s="40">
        <f t="shared" si="0"/>
        <v>37.428251436740787</v>
      </c>
      <c r="H52" s="40">
        <f>G52*SUM('ContractPrice-CDE'!$H$2:$H$43)/100</f>
        <v>376763269.2627176</v>
      </c>
    </row>
    <row r="53" spans="1:8" x14ac:dyDescent="0.25">
      <c r="A53" s="39">
        <v>44012</v>
      </c>
      <c r="B53">
        <v>104</v>
      </c>
      <c r="C53">
        <v>100</v>
      </c>
      <c r="D53" s="20">
        <f>C53*SUM('ContractPrice-CDE'!$D$2:$D$43)/100</f>
        <v>836837676.35000014</v>
      </c>
      <c r="E53">
        <v>42.502222222222237</v>
      </c>
      <c r="F53" s="20">
        <f>E53*SUM('ContractPrice-CDE'!$D$2:$D$43)/100</f>
        <v>355674608.84155792</v>
      </c>
      <c r="G53" s="40">
        <f t="shared" si="0"/>
        <v>39.216015681405338</v>
      </c>
      <c r="H53" s="40">
        <f>G53*SUM('ContractPrice-CDE'!$H$2:$H$43)/100</f>
        <v>394759405.21978277</v>
      </c>
    </row>
    <row r="54" spans="1:8" x14ac:dyDescent="0.25">
      <c r="A54" s="39">
        <v>44027</v>
      </c>
      <c r="B54">
        <v>106</v>
      </c>
      <c r="C54">
        <v>100</v>
      </c>
      <c r="D54" s="20">
        <f>C54*SUM('ContractPrice-CDE'!$D$2:$D$43)/100</f>
        <v>836837676.35000014</v>
      </c>
      <c r="E54">
        <v>44.193333333333349</v>
      </c>
      <c r="F54" s="20">
        <f>E54*SUM('ContractPrice-CDE'!$D$2:$D$43)/100</f>
        <v>369826463.76827693</v>
      </c>
      <c r="G54" s="40">
        <f t="shared" si="0"/>
        <v>41.003779926069889</v>
      </c>
      <c r="H54" s="40">
        <f>G54*SUM('ContractPrice-CDE'!$H$2:$H$43)/100</f>
        <v>412755541.17684805</v>
      </c>
    </row>
    <row r="55" spans="1:8" x14ac:dyDescent="0.25">
      <c r="A55" s="39">
        <v>44042</v>
      </c>
      <c r="B55">
        <v>108</v>
      </c>
      <c r="C55">
        <v>100</v>
      </c>
      <c r="D55" s="20">
        <f>C55*SUM('ContractPrice-CDE'!$D$2:$D$43)/100</f>
        <v>836837676.35000014</v>
      </c>
      <c r="E55">
        <v>45.884444444444462</v>
      </c>
      <c r="F55" s="20">
        <f>E55*SUM('ContractPrice-CDE'!$D$2:$D$43)/100</f>
        <v>383978318.69499582</v>
      </c>
      <c r="G55" s="40">
        <f t="shared" si="0"/>
        <v>42.79154417073444</v>
      </c>
      <c r="H55" s="40">
        <f>G55*SUM('ContractPrice-CDE'!$H$2:$H$43)/100</f>
        <v>430751677.13391328</v>
      </c>
    </row>
    <row r="56" spans="1:8" x14ac:dyDescent="0.25">
      <c r="A56" s="39">
        <v>44058</v>
      </c>
      <c r="B56">
        <v>110</v>
      </c>
      <c r="C56">
        <v>100</v>
      </c>
      <c r="D56" s="20">
        <f>C56*SUM('ContractPrice-CDE'!$D$2:$D$43)/100</f>
        <v>836837676.35000014</v>
      </c>
      <c r="E56">
        <v>47.575555555555574</v>
      </c>
      <c r="F56" s="20">
        <f>E56*SUM('ContractPrice-CDE'!$D$2:$D$43)/100</f>
        <v>398130173.62171471</v>
      </c>
      <c r="G56" s="40">
        <f t="shared" si="0"/>
        <v>44.579308415398991</v>
      </c>
      <c r="H56" s="40">
        <f>G56*SUM('ContractPrice-CDE'!$H$2:$H$43)/100</f>
        <v>448747813.09097856</v>
      </c>
    </row>
    <row r="57" spans="1:8" x14ac:dyDescent="0.25">
      <c r="A57" s="39">
        <v>44073</v>
      </c>
      <c r="B57">
        <v>112</v>
      </c>
      <c r="C57">
        <v>100</v>
      </c>
      <c r="D57" s="20">
        <f>C57*SUM('ContractPrice-CDE'!$D$2:$D$43)/100</f>
        <v>836837676.35000014</v>
      </c>
      <c r="E57">
        <v>49.266666666666687</v>
      </c>
      <c r="F57" s="20">
        <f>E57*SUM('ContractPrice-CDE'!$D$2:$D$43)/100</f>
        <v>412282028.5484336</v>
      </c>
      <c r="G57" s="40">
        <f t="shared" si="0"/>
        <v>46.367072660063542</v>
      </c>
      <c r="H57" s="40">
        <f>G57*SUM('ContractPrice-CDE'!$H$2:$H$43)/100</f>
        <v>466743949.04804373</v>
      </c>
    </row>
    <row r="58" spans="1:8" x14ac:dyDescent="0.25">
      <c r="A58" s="39">
        <v>44089</v>
      </c>
      <c r="B58">
        <v>114</v>
      </c>
      <c r="C58">
        <v>100</v>
      </c>
      <c r="D58" s="20">
        <f>C58*SUM('ContractPrice-CDE'!$D$2:$D$43)/100</f>
        <v>836837676.35000014</v>
      </c>
      <c r="E58">
        <v>50.9577777777778</v>
      </c>
      <c r="F58" s="20">
        <f>E58*SUM('ContractPrice-CDE'!$D$2:$D$43)/100</f>
        <v>426433883.47515249</v>
      </c>
      <c r="G58" s="40">
        <f t="shared" si="0"/>
        <v>48.154836904728093</v>
      </c>
      <c r="H58" s="40">
        <f>G58*SUM('ContractPrice-CDE'!$H$2:$H$43)/100</f>
        <v>484740085.00510895</v>
      </c>
    </row>
    <row r="59" spans="1:8" x14ac:dyDescent="0.25">
      <c r="A59" s="39">
        <v>44104</v>
      </c>
      <c r="B59">
        <v>116</v>
      </c>
      <c r="C59">
        <v>100</v>
      </c>
      <c r="D59" s="20">
        <f>C59*SUM('ContractPrice-CDE'!$D$2:$D$43)/100</f>
        <v>836837676.35000014</v>
      </c>
      <c r="E59">
        <v>52.648888888888912</v>
      </c>
      <c r="F59" s="20">
        <f>E59*SUM('ContractPrice-CDE'!$D$2:$D$43)/100</f>
        <v>440585738.40187144</v>
      </c>
      <c r="G59" s="40">
        <f t="shared" si="0"/>
        <v>49.942601149392644</v>
      </c>
      <c r="H59" s="40">
        <f>G59*SUM('ContractPrice-CDE'!$H$2:$H$43)/100</f>
        <v>502736220.96217424</v>
      </c>
    </row>
    <row r="60" spans="1:8" x14ac:dyDescent="0.25">
      <c r="A60" s="39">
        <v>44119</v>
      </c>
      <c r="B60">
        <v>118</v>
      </c>
      <c r="C60">
        <v>100</v>
      </c>
      <c r="D60" s="20">
        <f>C60*SUM('ContractPrice-CDE'!$D$2:$D$43)/100</f>
        <v>836837676.35000014</v>
      </c>
      <c r="E60">
        <v>54.340000000000025</v>
      </c>
      <c r="F60" s="20">
        <f>E60*SUM('ContractPrice-CDE'!$D$2:$D$43)/100</f>
        <v>454737593.32859033</v>
      </c>
      <c r="G60" s="40">
        <f t="shared" si="0"/>
        <v>51.730365394057195</v>
      </c>
      <c r="H60" s="40">
        <f>G60*SUM('ContractPrice-CDE'!$H$2:$H$43)/100</f>
        <v>520732356.9192394</v>
      </c>
    </row>
    <row r="61" spans="1:8" x14ac:dyDescent="0.25">
      <c r="A61" s="39">
        <v>44134</v>
      </c>
      <c r="B61">
        <v>120</v>
      </c>
      <c r="C61">
        <v>100</v>
      </c>
      <c r="D61" s="20">
        <f>C61*SUM('ContractPrice-CDE'!$D$2:$D$43)/100</f>
        <v>836837676.35000014</v>
      </c>
      <c r="E61">
        <v>56.031111111111137</v>
      </c>
      <c r="F61" s="20">
        <f>E61*SUM('ContractPrice-CDE'!$D$2:$D$43)/100</f>
        <v>468889448.25530922</v>
      </c>
      <c r="G61" s="40">
        <f t="shared" si="0"/>
        <v>53.518129638721746</v>
      </c>
      <c r="H61" s="40">
        <f>G61*SUM('ContractPrice-CDE'!$H$2:$H$43)/100</f>
        <v>538728492.87630463</v>
      </c>
    </row>
    <row r="62" spans="1:8" x14ac:dyDescent="0.25">
      <c r="A62" s="39">
        <v>44150</v>
      </c>
      <c r="B62">
        <v>122</v>
      </c>
      <c r="C62">
        <v>100</v>
      </c>
      <c r="D62" s="20">
        <f>C62*SUM('ContractPrice-CDE'!$D$2:$D$43)/100</f>
        <v>836837676.35000014</v>
      </c>
      <c r="E62">
        <v>57.72222222222225</v>
      </c>
      <c r="F62" s="20">
        <f>E62*SUM('ContractPrice-CDE'!$D$2:$D$43)/100</f>
        <v>483041303.18202811</v>
      </c>
      <c r="G62" s="40">
        <f t="shared" si="0"/>
        <v>55.305893883386297</v>
      </c>
      <c r="H62" s="40">
        <f>G62*SUM('ContractPrice-CDE'!$H$2:$H$43)/100</f>
        <v>556724628.83336985</v>
      </c>
    </row>
    <row r="63" spans="1:8" x14ac:dyDescent="0.25">
      <c r="A63" s="39">
        <v>44165</v>
      </c>
      <c r="B63">
        <v>124</v>
      </c>
      <c r="C63">
        <v>100</v>
      </c>
      <c r="D63" s="20">
        <f>C63*SUM('ContractPrice-CDE'!$D$2:$D$43)/100</f>
        <v>836837676.35000014</v>
      </c>
      <c r="E63">
        <v>59.413333333333362</v>
      </c>
      <c r="F63" s="20">
        <f>E63*SUM('ContractPrice-CDE'!$D$2:$D$43)/100</f>
        <v>497193158.10874701</v>
      </c>
      <c r="G63" s="40">
        <f t="shared" si="0"/>
        <v>57.093658128050848</v>
      </c>
      <c r="H63" s="40">
        <f>G63*SUM('ContractPrice-CDE'!$H$2:$H$43)/100</f>
        <v>574720764.79043508</v>
      </c>
    </row>
    <row r="64" spans="1:8" x14ac:dyDescent="0.25">
      <c r="A64" s="39">
        <v>44180</v>
      </c>
      <c r="B64">
        <v>126</v>
      </c>
      <c r="C64">
        <v>100</v>
      </c>
      <c r="D64" s="20">
        <f>C64*SUM('ContractPrice-CDE'!$D$2:$D$43)/100</f>
        <v>836837676.35000014</v>
      </c>
      <c r="E64">
        <v>61.104444444444475</v>
      </c>
      <c r="F64" s="20">
        <f>E64*SUM('ContractPrice-CDE'!$D$2:$D$43)/100</f>
        <v>511345013.03546596</v>
      </c>
      <c r="G64" s="40">
        <f t="shared" si="0"/>
        <v>58.881422372715399</v>
      </c>
      <c r="H64" s="40">
        <f>G64*SUM('ContractPrice-CDE'!$H$2:$H$43)/100</f>
        <v>592716900.7475003</v>
      </c>
    </row>
    <row r="65" spans="1:8" x14ac:dyDescent="0.25">
      <c r="A65" s="39">
        <v>44195</v>
      </c>
      <c r="B65">
        <v>128</v>
      </c>
      <c r="C65">
        <v>100</v>
      </c>
      <c r="D65" s="20">
        <f>C65*SUM('ContractPrice-CDE'!$D$2:$D$43)/100</f>
        <v>836837676.35000014</v>
      </c>
      <c r="E65">
        <v>62.795555555555588</v>
      </c>
      <c r="F65" s="20">
        <f>E65*SUM('ContractPrice-CDE'!$D$2:$D$43)/100</f>
        <v>525496867.96218485</v>
      </c>
      <c r="G65" s="40">
        <f t="shared" si="0"/>
        <v>60.66918661737995</v>
      </c>
      <c r="H65" s="40">
        <f>G65*SUM('ContractPrice-CDE'!$H$2:$H$43)/100</f>
        <v>610713036.70456553</v>
      </c>
    </row>
    <row r="66" spans="1:8" x14ac:dyDescent="0.25">
      <c r="A66" s="39">
        <v>44211</v>
      </c>
      <c r="B66">
        <v>130</v>
      </c>
      <c r="C66">
        <v>100</v>
      </c>
      <c r="D66" s="20">
        <f>C66*SUM('ContractPrice-CDE'!$D$2:$D$43)/100</f>
        <v>836837676.35000014</v>
      </c>
      <c r="E66">
        <v>64.486666666666707</v>
      </c>
      <c r="F66" s="20">
        <f>E66*SUM('ContractPrice-CDE'!$D$2:$D$43)/100</f>
        <v>539648722.88890374</v>
      </c>
      <c r="G66" s="40">
        <f t="shared" si="0"/>
        <v>62.456950862044501</v>
      </c>
      <c r="H66" s="40">
        <f>G66*SUM('ContractPrice-CDE'!$H$2:$H$43)/100</f>
        <v>628709172.66163075</v>
      </c>
    </row>
    <row r="67" spans="1:8" x14ac:dyDescent="0.25">
      <c r="A67" s="39">
        <v>44226</v>
      </c>
      <c r="B67">
        <v>132</v>
      </c>
      <c r="C67">
        <v>100</v>
      </c>
      <c r="D67" s="20">
        <f>C67*SUM('ContractPrice-CDE'!$D$2:$D$43)/100</f>
        <v>836837676.35000014</v>
      </c>
      <c r="E67">
        <v>66.17777777777782</v>
      </c>
      <c r="F67" s="20">
        <f>E67*SUM('ContractPrice-CDE'!$D$2:$D$43)/100</f>
        <v>553800577.81562269</v>
      </c>
      <c r="G67" s="40">
        <f t="shared" si="0"/>
        <v>64.244715106709052</v>
      </c>
      <c r="H67" s="40">
        <f>G67*SUM('ContractPrice-CDE'!$H$2:$H$43)/100</f>
        <v>646705308.61869609</v>
      </c>
    </row>
    <row r="68" spans="1:8" x14ac:dyDescent="0.25">
      <c r="A68" s="39">
        <v>44242</v>
      </c>
      <c r="B68">
        <v>134</v>
      </c>
      <c r="C68">
        <v>100</v>
      </c>
      <c r="D68" s="20">
        <f>C68*SUM('ContractPrice-CDE'!$D$2:$D$43)/100</f>
        <v>836837676.35000014</v>
      </c>
      <c r="E68">
        <v>67.868888888888932</v>
      </c>
      <c r="F68" s="20">
        <f>E68*SUM('ContractPrice-CDE'!$D$2:$D$43)/100</f>
        <v>567952432.74234152</v>
      </c>
      <c r="G68" s="40">
        <f t="shared" si="0"/>
        <v>66.03247935137361</v>
      </c>
      <c r="H68" s="40">
        <f>G68*SUM('ContractPrice-CDE'!$H$2:$H$43)/100</f>
        <v>664701444.57576132</v>
      </c>
    </row>
    <row r="69" spans="1:8" x14ac:dyDescent="0.25">
      <c r="A69" s="39">
        <v>44255</v>
      </c>
      <c r="B69">
        <v>136</v>
      </c>
      <c r="C69">
        <v>100</v>
      </c>
      <c r="D69" s="20">
        <f>C69*SUM('ContractPrice-CDE'!$D$2:$D$43)/100</f>
        <v>836837676.35000014</v>
      </c>
      <c r="E69">
        <v>69.560000000000045</v>
      </c>
      <c r="F69" s="20">
        <f>E69*SUM('ContractPrice-CDE'!$D$2:$D$43)/100</f>
        <v>582104287.66906047</v>
      </c>
      <c r="G69" s="40">
        <f t="shared" si="0"/>
        <v>67.820243596038168</v>
      </c>
      <c r="H69" s="40">
        <f>G69*SUM('ContractPrice-CDE'!$H$2:$H$43)/100</f>
        <v>682697580.53282666</v>
      </c>
    </row>
    <row r="70" spans="1:8" x14ac:dyDescent="0.25">
      <c r="A70" s="39">
        <v>44270</v>
      </c>
      <c r="B70">
        <v>138</v>
      </c>
      <c r="C70">
        <v>100</v>
      </c>
      <c r="D70" s="20">
        <f>C70*SUM('ContractPrice-CDE'!$D$2:$D$43)/100</f>
        <v>836837676.35000014</v>
      </c>
      <c r="E70">
        <v>71.251111111111157</v>
      </c>
      <c r="F70" s="20">
        <f>E70*SUM('ContractPrice-CDE'!$D$2:$D$43)/100</f>
        <v>596256142.5957793</v>
      </c>
      <c r="G70" s="40">
        <f t="shared" si="0"/>
        <v>69.608007840702726</v>
      </c>
      <c r="H70" s="40">
        <f>G70*SUM('ContractPrice-CDE'!$H$2:$H$43)/100</f>
        <v>700693716.48989201</v>
      </c>
    </row>
    <row r="71" spans="1:8" x14ac:dyDescent="0.25">
      <c r="A71" s="39">
        <v>44285</v>
      </c>
      <c r="B71">
        <v>140</v>
      </c>
      <c r="C71">
        <v>100</v>
      </c>
      <c r="D71" s="20">
        <f>C71*SUM('ContractPrice-CDE'!$D$2:$D$43)/100</f>
        <v>836837676.35000014</v>
      </c>
      <c r="E71">
        <v>72.94222222222227</v>
      </c>
      <c r="F71" s="20">
        <f>E71*SUM('ContractPrice-CDE'!$D$2:$D$43)/100</f>
        <v>610407997.52249825</v>
      </c>
      <c r="G71" s="40">
        <f t="shared" si="0"/>
        <v>71.395772085367284</v>
      </c>
      <c r="H71" s="40">
        <f>G71*SUM('ContractPrice-CDE'!$H$2:$H$43)/100</f>
        <v>718689852.44695723</v>
      </c>
    </row>
    <row r="72" spans="1:8" x14ac:dyDescent="0.25">
      <c r="A72" s="39">
        <v>44301</v>
      </c>
      <c r="B72">
        <v>142</v>
      </c>
      <c r="C72">
        <v>100</v>
      </c>
      <c r="D72" s="20">
        <f>C72*SUM('ContractPrice-CDE'!$D$2:$D$43)/100</f>
        <v>836837676.35000014</v>
      </c>
      <c r="E72">
        <v>74.633333333333383</v>
      </c>
      <c r="F72" s="20">
        <f>E72*SUM('ContractPrice-CDE'!$D$2:$D$43)/100</f>
        <v>624559852.4492172</v>
      </c>
      <c r="G72" s="40">
        <f t="shared" si="0"/>
        <v>73.183536330031842</v>
      </c>
      <c r="H72" s="40">
        <f>G72*SUM('ContractPrice-CDE'!$H$2:$H$43)/100</f>
        <v>736685988.40402257</v>
      </c>
    </row>
    <row r="73" spans="1:8" x14ac:dyDescent="0.25">
      <c r="A73" s="39">
        <v>44316</v>
      </c>
      <c r="B73">
        <v>144</v>
      </c>
      <c r="C73">
        <v>100</v>
      </c>
      <c r="D73" s="20">
        <f>C73*SUM('ContractPrice-CDE'!$D$2:$D$43)/100</f>
        <v>836837676.35000014</v>
      </c>
      <c r="E73">
        <v>76.324444444444495</v>
      </c>
      <c r="F73" s="20">
        <f>E73*SUM('ContractPrice-CDE'!$D$2:$D$43)/100</f>
        <v>638711707.37593615</v>
      </c>
      <c r="G73" s="40">
        <f t="shared" si="0"/>
        <v>74.9713005746964</v>
      </c>
      <c r="H73" s="40">
        <f>G73*SUM('ContractPrice-CDE'!$H$2:$H$43)/100</f>
        <v>754682124.3610878</v>
      </c>
    </row>
    <row r="74" spans="1:8" x14ac:dyDescent="0.25">
      <c r="A74" s="39">
        <v>44331</v>
      </c>
      <c r="B74">
        <v>146</v>
      </c>
      <c r="C74">
        <v>100</v>
      </c>
      <c r="D74" s="20">
        <f>C74*SUM('ContractPrice-CDE'!$D$2:$D$43)/100</f>
        <v>836837676.35000014</v>
      </c>
      <c r="E74">
        <v>78.015555555555608</v>
      </c>
      <c r="F74" s="20">
        <f>E74*SUM('ContractPrice-CDE'!$D$2:$D$43)/100</f>
        <v>652863562.30265498</v>
      </c>
      <c r="G74" s="40">
        <f t="shared" si="0"/>
        <v>76.759064819360958</v>
      </c>
      <c r="H74" s="40">
        <f>G74*SUM('ContractPrice-CDE'!$H$2:$H$43)/100</f>
        <v>772678260.31815302</v>
      </c>
    </row>
    <row r="75" spans="1:8" x14ac:dyDescent="0.25">
      <c r="A75" s="39">
        <v>44346</v>
      </c>
      <c r="B75">
        <v>148</v>
      </c>
      <c r="C75">
        <v>100</v>
      </c>
      <c r="D75" s="20">
        <f>C75*SUM('ContractPrice-CDE'!$D$2:$D$43)/100</f>
        <v>836837676.35000014</v>
      </c>
      <c r="E75">
        <v>79.70666666666672</v>
      </c>
      <c r="F75" s="20">
        <f>E75*SUM('ContractPrice-CDE'!$D$2:$D$43)/100</f>
        <v>667015417.22937393</v>
      </c>
      <c r="G75" s="40">
        <f t="shared" si="0"/>
        <v>78.546829064025516</v>
      </c>
      <c r="H75" s="40">
        <f>G75*SUM('ContractPrice-CDE'!$H$2:$H$43)/100</f>
        <v>790674396.27521837</v>
      </c>
    </row>
    <row r="76" spans="1:8" x14ac:dyDescent="0.25">
      <c r="A76" s="39">
        <v>44362</v>
      </c>
      <c r="B76">
        <v>150</v>
      </c>
      <c r="C76">
        <v>100</v>
      </c>
      <c r="D76" s="20">
        <f>C76*SUM('ContractPrice-CDE'!$D$2:$D$43)/100</f>
        <v>836837676.35000014</v>
      </c>
      <c r="E76">
        <v>81.397777777777833</v>
      </c>
      <c r="F76" s="20">
        <f>E76*SUM('ContractPrice-CDE'!$D$2:$D$43)/100</f>
        <v>681167272.15609288</v>
      </c>
      <c r="G76" s="40">
        <f t="shared" si="0"/>
        <v>80.334593308690074</v>
      </c>
      <c r="H76" s="40">
        <f>G76*SUM('ContractPrice-CDE'!$H$2:$H$43)/100</f>
        <v>808670532.23228383</v>
      </c>
    </row>
    <row r="77" spans="1:8" x14ac:dyDescent="0.25">
      <c r="A77" s="39">
        <v>44377</v>
      </c>
      <c r="B77">
        <v>152</v>
      </c>
      <c r="C77">
        <v>100</v>
      </c>
      <c r="D77" s="20">
        <f>C77*SUM('ContractPrice-CDE'!$D$2:$D$43)/100</f>
        <v>836837676.35000014</v>
      </c>
      <c r="E77">
        <v>83.088888888888945</v>
      </c>
      <c r="F77" s="20">
        <f>E77*SUM('ContractPrice-CDE'!$D$2:$D$43)/100</f>
        <v>695319127.08281171</v>
      </c>
      <c r="G77" s="40">
        <f t="shared" si="0"/>
        <v>82.122357553354632</v>
      </c>
      <c r="H77" s="40">
        <f>G77*SUM('ContractPrice-CDE'!$H$2:$H$43)/100</f>
        <v>826666668.18934906</v>
      </c>
    </row>
    <row r="78" spans="1:8" x14ac:dyDescent="0.25">
      <c r="A78" s="39">
        <v>44392</v>
      </c>
      <c r="B78">
        <v>154</v>
      </c>
      <c r="C78">
        <v>100</v>
      </c>
      <c r="D78" s="20">
        <f>C78*SUM('ContractPrice-CDE'!$D$2:$D$43)/100</f>
        <v>836837676.35000014</v>
      </c>
      <c r="E78">
        <v>84.780000000000058</v>
      </c>
      <c r="F78" s="20">
        <f>E78*SUM('ContractPrice-CDE'!$D$2:$D$43)/100</f>
        <v>709470982.00953066</v>
      </c>
      <c r="G78" s="40">
        <f t="shared" si="0"/>
        <v>83.91012179801919</v>
      </c>
      <c r="H78" s="40">
        <f>G78*SUM('ContractPrice-CDE'!$H$2:$H$43)/100</f>
        <v>844662804.14641428</v>
      </c>
    </row>
    <row r="79" spans="1:8" x14ac:dyDescent="0.25">
      <c r="A79" s="39">
        <v>44407</v>
      </c>
      <c r="B79">
        <v>156</v>
      </c>
      <c r="C79">
        <v>100</v>
      </c>
      <c r="D79" s="20">
        <f>C79*SUM('ContractPrice-CDE'!$D$2:$D$43)/100</f>
        <v>836837676.35000014</v>
      </c>
      <c r="E79">
        <v>86.471111111111171</v>
      </c>
      <c r="F79" s="20">
        <f>E79*SUM('ContractPrice-CDE'!$D$2:$D$43)/100</f>
        <v>723622836.93624949</v>
      </c>
      <c r="G79" s="40">
        <f t="shared" si="0"/>
        <v>85.697886042683749</v>
      </c>
      <c r="H79" s="40">
        <f>G79*SUM('ContractPrice-CDE'!$H$2:$H$43)/100</f>
        <v>862658940.10347962</v>
      </c>
    </row>
    <row r="80" spans="1:8" x14ac:dyDescent="0.25">
      <c r="A80" s="39">
        <v>44423</v>
      </c>
      <c r="B80">
        <v>158</v>
      </c>
      <c r="C80">
        <v>100</v>
      </c>
      <c r="D80" s="20">
        <f>C80*SUM('ContractPrice-CDE'!$D$2:$D$43)/100</f>
        <v>836837676.35000014</v>
      </c>
      <c r="E80">
        <v>88.162222222222283</v>
      </c>
      <c r="F80" s="20">
        <f>E80*SUM('ContractPrice-CDE'!$D$2:$D$43)/100</f>
        <v>737774691.86296844</v>
      </c>
      <c r="G80" s="40">
        <f t="shared" si="0"/>
        <v>87.485650287348307</v>
      </c>
      <c r="H80" s="40">
        <f>G80*SUM('ContractPrice-CDE'!$H$2:$H$43)/100</f>
        <v>880655076.06054485</v>
      </c>
    </row>
    <row r="81" spans="1:8" x14ac:dyDescent="0.25">
      <c r="A81" s="39">
        <v>44438</v>
      </c>
      <c r="B81">
        <v>160</v>
      </c>
      <c r="C81">
        <v>100</v>
      </c>
      <c r="D81" s="20">
        <f>C81*SUM('ContractPrice-CDE'!$D$2:$D$43)/100</f>
        <v>836837676.35000014</v>
      </c>
      <c r="E81">
        <v>89.853333333333396</v>
      </c>
      <c r="F81" s="20">
        <f>E81*SUM('ContractPrice-CDE'!$D$2:$D$43)/100</f>
        <v>751926546.7896874</v>
      </c>
      <c r="G81" s="40">
        <f t="shared" si="0"/>
        <v>89.273414532012865</v>
      </c>
      <c r="H81" s="40">
        <f>G81*SUM('ContractPrice-CDE'!$H$2:$H$43)/100</f>
        <v>898651212.01761019</v>
      </c>
    </row>
    <row r="82" spans="1:8" x14ac:dyDescent="0.25">
      <c r="A82" s="39">
        <v>44454</v>
      </c>
      <c r="B82">
        <v>162</v>
      </c>
      <c r="C82">
        <v>100</v>
      </c>
      <c r="D82" s="20">
        <f>C82*SUM('ContractPrice-CDE'!$D$2:$D$43)/100</f>
        <v>836837676.35000014</v>
      </c>
      <c r="E82">
        <v>91.544444444444508</v>
      </c>
      <c r="F82" s="20">
        <f>E82*SUM('ContractPrice-CDE'!$D$2:$D$43)/100</f>
        <v>766078401.71640623</v>
      </c>
      <c r="G82" s="40">
        <f t="shared" si="0"/>
        <v>91.061178776677423</v>
      </c>
      <c r="H82" s="40">
        <f>G82*SUM('ContractPrice-CDE'!$H$2:$H$43)/100</f>
        <v>916647347.97467542</v>
      </c>
    </row>
    <row r="83" spans="1:8" x14ac:dyDescent="0.25">
      <c r="A83" s="39">
        <v>44469</v>
      </c>
      <c r="B83">
        <v>164</v>
      </c>
      <c r="C83">
        <v>100</v>
      </c>
      <c r="D83" s="20">
        <f>C83*SUM('ContractPrice-CDE'!$D$2:$D$43)/100</f>
        <v>836837676.35000014</v>
      </c>
      <c r="E83">
        <v>93.235555555555621</v>
      </c>
      <c r="F83" s="20">
        <f>E83*SUM('ContractPrice-CDE'!$D$2:$D$43)/100</f>
        <v>780230256.64312518</v>
      </c>
      <c r="G83" s="40">
        <f t="shared" si="0"/>
        <v>92.848943021341981</v>
      </c>
      <c r="H83" s="40">
        <f>G83*SUM('ContractPrice-CDE'!$H$2:$H$43)/100</f>
        <v>934643483.93174088</v>
      </c>
    </row>
    <row r="84" spans="1:8" x14ac:dyDescent="0.25">
      <c r="A84" s="39">
        <v>44484</v>
      </c>
      <c r="B84">
        <v>166</v>
      </c>
      <c r="C84">
        <v>100</v>
      </c>
      <c r="D84" s="20">
        <f>C84*SUM('ContractPrice-CDE'!$D$2:$D$43)/100</f>
        <v>836837676.35000014</v>
      </c>
      <c r="E84">
        <v>94.926666666666733</v>
      </c>
      <c r="F84" s="20">
        <f>E84*SUM('ContractPrice-CDE'!$D$2:$D$43)/100</f>
        <v>794382111.56984401</v>
      </c>
      <c r="G84" s="40">
        <f t="shared" si="0"/>
        <v>94.636707266006539</v>
      </c>
      <c r="H84" s="40">
        <f>G84*SUM('ContractPrice-CDE'!$H$2:$H$43)/100</f>
        <v>952639619.8888061</v>
      </c>
    </row>
    <row r="85" spans="1:8" x14ac:dyDescent="0.25">
      <c r="A85" s="39">
        <v>44499</v>
      </c>
      <c r="B85">
        <v>168</v>
      </c>
      <c r="C85">
        <v>100</v>
      </c>
      <c r="D85" s="20">
        <f>C85*SUM('ContractPrice-CDE'!$D$2:$D$43)/100</f>
        <v>836837676.35000014</v>
      </c>
      <c r="E85">
        <v>96.617777777777846</v>
      </c>
      <c r="F85" s="20">
        <f>E85*SUM('ContractPrice-CDE'!$D$2:$D$43)/100</f>
        <v>808533966.49656296</v>
      </c>
      <c r="G85" s="40">
        <f t="shared" si="0"/>
        <v>96.424471510671097</v>
      </c>
      <c r="H85" s="40">
        <f>G85*SUM('ContractPrice-CDE'!$H$2:$H$43)/100</f>
        <v>970635755.84587145</v>
      </c>
    </row>
    <row r="86" spans="1:8" x14ac:dyDescent="0.25">
      <c r="A86" s="39">
        <v>44515</v>
      </c>
      <c r="B86">
        <v>170</v>
      </c>
      <c r="C86">
        <v>100</v>
      </c>
      <c r="D86" s="20">
        <f>C86*SUM('ContractPrice-CDE'!$D$2:$D$43)/100</f>
        <v>836837676.35000014</v>
      </c>
      <c r="E86">
        <v>98.308888888888958</v>
      </c>
      <c r="F86" s="20">
        <f>E86*SUM('ContractPrice-CDE'!$D$2:$D$43)/100</f>
        <v>822685821.42328191</v>
      </c>
      <c r="G86" s="40">
        <f t="shared" si="0"/>
        <v>98.212235755335655</v>
      </c>
      <c r="H86" s="40">
        <f>G86*SUM('ContractPrice-CDE'!$H$2:$H$43)/100</f>
        <v>988631891.80293667</v>
      </c>
    </row>
    <row r="87" spans="1:8" x14ac:dyDescent="0.25">
      <c r="A87" s="39">
        <v>44530</v>
      </c>
      <c r="B87">
        <v>172</v>
      </c>
      <c r="C87">
        <v>100</v>
      </c>
      <c r="D87" s="20">
        <f>C87*SUM('ContractPrice-CDE'!$D$2:$D$43)/100</f>
        <v>836837676.35000014</v>
      </c>
      <c r="E87">
        <v>100.00000000000007</v>
      </c>
      <c r="F87" s="20">
        <f>E87*SUM('ContractPrice-CDE'!$D$2:$D$43)/100</f>
        <v>836837676.35000074</v>
      </c>
      <c r="G87" s="40">
        <f t="shared" si="0"/>
        <v>100.00000000000021</v>
      </c>
      <c r="H87" s="40">
        <f>G87*SUM('ContractPrice-CDE'!$H$2:$H$43)/100</f>
        <v>1006628027.760002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14345-3AE5-4AF0-B5B3-05D9A46250BA}">
  <dimension ref="A1:K87"/>
  <sheetViews>
    <sheetView tabSelected="1" workbookViewId="0">
      <selection activeCell="F33" sqref="F33"/>
    </sheetView>
  </sheetViews>
  <sheetFormatPr defaultRowHeight="15" x14ac:dyDescent="0.25"/>
  <cols>
    <col min="1" max="1" width="10.7109375" style="39" bestFit="1" customWidth="1"/>
    <col min="3" max="3" width="18" bestFit="1" customWidth="1"/>
    <col min="4" max="4" width="19.5703125" style="20" customWidth="1"/>
    <col min="5" max="5" width="22" customWidth="1"/>
    <col min="6" max="6" width="24.5703125" style="20" bestFit="1" customWidth="1"/>
    <col min="7" max="7" width="15.28515625" bestFit="1" customWidth="1"/>
    <col min="8" max="9" width="16.85546875" bestFit="1" customWidth="1"/>
  </cols>
  <sheetData>
    <row r="1" spans="1:11" x14ac:dyDescent="0.25">
      <c r="A1" s="39" t="s">
        <v>235</v>
      </c>
      <c r="B1" t="s">
        <v>236</v>
      </c>
      <c r="C1" t="s">
        <v>237</v>
      </c>
      <c r="D1" s="20" t="s">
        <v>238</v>
      </c>
      <c r="E1" t="s">
        <v>239</v>
      </c>
      <c r="F1" s="20" t="s">
        <v>240</v>
      </c>
      <c r="G1" t="s">
        <v>241</v>
      </c>
      <c r="H1" t="s">
        <v>242</v>
      </c>
      <c r="I1" t="s">
        <v>243</v>
      </c>
      <c r="J1" t="s">
        <v>244</v>
      </c>
      <c r="K1" t="s">
        <v>245</v>
      </c>
    </row>
    <row r="2" spans="1:11" x14ac:dyDescent="0.25">
      <c r="A2" s="39" t="s">
        <v>246</v>
      </c>
      <c r="B2">
        <v>2</v>
      </c>
      <c r="C2">
        <v>0.7</v>
      </c>
      <c r="D2" s="20">
        <f>C2*SUM('ContractPrice-CDE'!$E$2:$E$43)/100</f>
        <v>8910086.3311600015</v>
      </c>
      <c r="E2">
        <v>0.4</v>
      </c>
      <c r="F2" s="20">
        <f>E2*SUM('ContractPrice-CDE'!$E$2:$E$43)/100</f>
        <v>5091477.9035200002</v>
      </c>
      <c r="G2" s="40">
        <f>F2/SUM('ContractPrice-CDE'!$I$2:$I$43)*100</f>
        <v>0.33253104554552865</v>
      </c>
      <c r="H2" s="40">
        <f>G2*SUM('ContractPrice-CDE'!$I$2:$I$43)/100</f>
        <v>5091477.9035200002</v>
      </c>
      <c r="I2">
        <v>1</v>
      </c>
    </row>
    <row r="3" spans="1:11" x14ac:dyDescent="0.25">
      <c r="A3" s="39" t="s">
        <v>247</v>
      </c>
      <c r="B3">
        <v>4</v>
      </c>
      <c r="C3">
        <v>1.6</v>
      </c>
      <c r="D3" s="20">
        <f>C3*SUM('ContractPrice-CDE'!$E$2:$E$43)/100</f>
        <v>20365911.614080001</v>
      </c>
      <c r="E3">
        <v>0.8</v>
      </c>
      <c r="F3" s="20">
        <f>E3*SUM('ContractPrice-CDE'!$E$2:$E$43)/100</f>
        <v>10182955.80704</v>
      </c>
      <c r="G3" s="40">
        <f>F3/SUM('ContractPrice-CDE'!$I$2:$I$43)*100</f>
        <v>0.66506209109105729</v>
      </c>
      <c r="H3" s="40">
        <f>G3*SUM('ContractPrice-CDE'!$I$2:$I$43)/100</f>
        <v>10182955.80704</v>
      </c>
    </row>
    <row r="4" spans="1:11" x14ac:dyDescent="0.25">
      <c r="A4" s="39" t="s">
        <v>248</v>
      </c>
      <c r="B4">
        <v>6</v>
      </c>
      <c r="C4">
        <v>2.8</v>
      </c>
      <c r="D4" s="20">
        <f>C4*SUM('ContractPrice-CDE'!$E$2:$E$43)/100</f>
        <v>35640345.324640006</v>
      </c>
      <c r="E4">
        <v>1.2</v>
      </c>
      <c r="F4" s="20">
        <f>E4*SUM('ContractPrice-CDE'!$E$2:$E$43)/100</f>
        <v>15274433.71056</v>
      </c>
      <c r="G4" s="40">
        <f>F4/SUM('ContractPrice-CDE'!$I$2:$I$43)*100</f>
        <v>0.99759313663658578</v>
      </c>
      <c r="H4" s="40">
        <f>G4*SUM('ContractPrice-CDE'!$I$2:$I$43)/100</f>
        <v>15274433.710559998</v>
      </c>
    </row>
    <row r="5" spans="1:11" x14ac:dyDescent="0.25">
      <c r="A5" s="39" t="s">
        <v>249</v>
      </c>
      <c r="B5">
        <v>8</v>
      </c>
      <c r="C5">
        <v>4.5999999999999996</v>
      </c>
      <c r="D5" s="20">
        <f>C5*SUM('ContractPrice-CDE'!$E$2:$E$43)/100</f>
        <v>58551995.890480004</v>
      </c>
      <c r="E5">
        <v>1.6</v>
      </c>
      <c r="F5" s="20">
        <f>E5*SUM('ContractPrice-CDE'!$E$2:$E$43)/100</f>
        <v>20365911.614080001</v>
      </c>
      <c r="G5" s="40">
        <f>F5/SUM('ContractPrice-CDE'!$I$2:$I$43)*100</f>
        <v>1.3301241821821146</v>
      </c>
      <c r="H5" s="40">
        <f>G5*SUM('ContractPrice-CDE'!$I$2:$I$43)/100</f>
        <v>20365911.614080001</v>
      </c>
    </row>
    <row r="6" spans="1:11" x14ac:dyDescent="0.25">
      <c r="A6" s="39" t="s">
        <v>250</v>
      </c>
      <c r="B6">
        <v>10</v>
      </c>
      <c r="C6">
        <v>8.5</v>
      </c>
      <c r="D6" s="20">
        <f>C6*SUM('ContractPrice-CDE'!$E$2:$E$43)/100</f>
        <v>108193905.44980001</v>
      </c>
      <c r="E6">
        <v>2.1</v>
      </c>
      <c r="F6" s="20">
        <f>E6*SUM('ContractPrice-CDE'!$E$2:$E$43)/100</f>
        <v>26730258.993480004</v>
      </c>
      <c r="G6" s="40">
        <f>F6/SUM('ContractPrice-CDE'!$I$2:$I$43)*100</f>
        <v>1.7457879891140253</v>
      </c>
      <c r="H6" s="40">
        <f>G6*SUM('ContractPrice-CDE'!$I$2:$I$43)/100</f>
        <v>26730258.993480001</v>
      </c>
    </row>
    <row r="7" spans="1:11" x14ac:dyDescent="0.25">
      <c r="A7" s="39" t="s">
        <v>251</v>
      </c>
      <c r="B7">
        <v>12</v>
      </c>
      <c r="C7">
        <v>12.5</v>
      </c>
      <c r="D7" s="20">
        <f>C7*SUM('ContractPrice-CDE'!$E$2:$E$43)/100</f>
        <v>159108684.48500001</v>
      </c>
      <c r="E7">
        <v>3.7</v>
      </c>
      <c r="F7" s="20">
        <f>E7*SUM('ContractPrice-CDE'!$E$2:$E$43)/100</f>
        <v>47096170.607560009</v>
      </c>
      <c r="G7" s="40">
        <f>F7/SUM('ContractPrice-CDE'!$I$2:$I$43)*100</f>
        <v>3.0759121712961401</v>
      </c>
      <c r="H7" s="40">
        <f>G7*SUM('ContractPrice-CDE'!$I$2:$I$43)/100</f>
        <v>47096170.607560009</v>
      </c>
    </row>
    <row r="8" spans="1:11" x14ac:dyDescent="0.25">
      <c r="A8" s="39" t="s">
        <v>252</v>
      </c>
      <c r="B8">
        <v>14</v>
      </c>
      <c r="C8">
        <v>16.100000000000001</v>
      </c>
      <c r="D8" s="20">
        <f>C8*SUM('ContractPrice-CDE'!$E$2:$E$43)/100</f>
        <v>204931985.61668003</v>
      </c>
      <c r="E8">
        <v>4.9000000000000004</v>
      </c>
      <c r="F8" s="20">
        <f>E8*SUM('ContractPrice-CDE'!$E$2:$E$43)/100</f>
        <v>62370604.31812001</v>
      </c>
      <c r="G8" s="40">
        <f>F8/SUM('ContractPrice-CDE'!$I$2:$I$43)*100</f>
        <v>4.0735053079327264</v>
      </c>
      <c r="H8" s="40">
        <f>G8*SUM('ContractPrice-CDE'!$I$2:$I$43)/100</f>
        <v>62370604.31812001</v>
      </c>
    </row>
    <row r="9" spans="1:11" x14ac:dyDescent="0.25">
      <c r="A9" s="39" t="s">
        <v>253</v>
      </c>
      <c r="B9">
        <v>16</v>
      </c>
      <c r="C9">
        <v>20.3</v>
      </c>
      <c r="D9" s="20">
        <f>C9*SUM('ContractPrice-CDE'!$E$2:$E$43)/100</f>
        <v>258392503.60364002</v>
      </c>
      <c r="E9">
        <v>7.3</v>
      </c>
      <c r="F9" s="20">
        <f>E9*SUM('ContractPrice-CDE'!$E$2:$E$43)/100</f>
        <v>92919471.739239991</v>
      </c>
      <c r="G9" s="40">
        <f>F9/SUM('ContractPrice-CDE'!$I$2:$I$43)*100</f>
        <v>6.068691581205897</v>
      </c>
      <c r="H9" s="40">
        <f>G9*SUM('ContractPrice-CDE'!$I$2:$I$43)/100</f>
        <v>92919471.739239991</v>
      </c>
    </row>
    <row r="10" spans="1:11" x14ac:dyDescent="0.25">
      <c r="A10" s="39" t="s">
        <v>254</v>
      </c>
      <c r="B10">
        <v>18</v>
      </c>
      <c r="C10">
        <v>25.5</v>
      </c>
      <c r="D10" s="20">
        <f>C10*SUM('ContractPrice-CDE'!$E$2:$E$43)/100</f>
        <v>324581716.34940004</v>
      </c>
      <c r="E10">
        <v>8.4</v>
      </c>
      <c r="F10" s="20">
        <f>E10*SUM('ContractPrice-CDE'!$E$2:$E$43)/100</f>
        <v>106921035.97392002</v>
      </c>
      <c r="G10" s="40">
        <f>F10/SUM('ContractPrice-CDE'!$I$2:$I$43)*100</f>
        <v>6.9831519564561013</v>
      </c>
      <c r="H10" s="40">
        <f>G10*SUM('ContractPrice-CDE'!$I$2:$I$43)/100</f>
        <v>106921035.97392</v>
      </c>
    </row>
    <row r="11" spans="1:11" x14ac:dyDescent="0.25">
      <c r="A11" s="39" t="s">
        <v>255</v>
      </c>
      <c r="B11">
        <v>20</v>
      </c>
      <c r="C11">
        <v>28.4</v>
      </c>
      <c r="D11" s="20">
        <f>C11*SUM('ContractPrice-CDE'!$E$2:$E$43)/100</f>
        <v>361494931.14992005</v>
      </c>
      <c r="E11">
        <v>9.9</v>
      </c>
      <c r="F11" s="20">
        <f>E11*SUM('ContractPrice-CDE'!$E$2:$E$43)/100</f>
        <v>126014078.11212002</v>
      </c>
      <c r="G11" s="40">
        <f>F11/SUM('ContractPrice-CDE'!$I$2:$I$43)*100</f>
        <v>8.2301433772518351</v>
      </c>
      <c r="H11" s="40">
        <f>G11*SUM('ContractPrice-CDE'!$I$2:$I$43)/100</f>
        <v>126014078.11212002</v>
      </c>
    </row>
    <row r="12" spans="1:11" x14ac:dyDescent="0.25">
      <c r="A12" s="39" t="s">
        <v>256</v>
      </c>
      <c r="B12">
        <v>22</v>
      </c>
      <c r="C12">
        <v>33.200000000000003</v>
      </c>
      <c r="D12" s="20">
        <f>C12*SUM('ContractPrice-CDE'!$E$2:$E$43)/100</f>
        <v>422592665.99216008</v>
      </c>
      <c r="E12">
        <v>10.7</v>
      </c>
      <c r="F12" s="20">
        <f>E12*SUM('ContractPrice-CDE'!$E$2:$E$43)/100</f>
        <v>136197033.91916001</v>
      </c>
      <c r="G12" s="40">
        <f>F12/SUM('ContractPrice-CDE'!$I$2:$I$43)*100</f>
        <v>8.8952054683428905</v>
      </c>
      <c r="H12" s="40">
        <f>G12*SUM('ContractPrice-CDE'!$I$2:$I$43)/100</f>
        <v>136197033.91916001</v>
      </c>
    </row>
    <row r="13" spans="1:11" x14ac:dyDescent="0.25">
      <c r="A13" s="39" t="s">
        <v>257</v>
      </c>
      <c r="B13">
        <v>24</v>
      </c>
      <c r="C13">
        <v>37</v>
      </c>
      <c r="D13" s="20">
        <f>C13*SUM('ContractPrice-CDE'!$E$2:$E$43)/100</f>
        <v>470961706.07560003</v>
      </c>
      <c r="E13">
        <v>12.6</v>
      </c>
      <c r="F13" s="20">
        <f>E13*SUM('ContractPrice-CDE'!$E$2:$E$43)/100</f>
        <v>160381553.96088001</v>
      </c>
      <c r="G13" s="40">
        <f>F13/SUM('ContractPrice-CDE'!$I$2:$I$43)*100</f>
        <v>10.474727934684152</v>
      </c>
      <c r="H13" s="40">
        <f>G13*SUM('ContractPrice-CDE'!$I$2:$I$43)/100</f>
        <v>160381553.96088001</v>
      </c>
    </row>
    <row r="14" spans="1:11" x14ac:dyDescent="0.25">
      <c r="A14" s="39" t="s">
        <v>258</v>
      </c>
      <c r="B14">
        <v>26</v>
      </c>
      <c r="C14">
        <v>41.1</v>
      </c>
      <c r="D14" s="20">
        <f>C14*SUM('ContractPrice-CDE'!$E$2:$E$43)/100</f>
        <v>523149354.58668005</v>
      </c>
      <c r="E14">
        <v>14.2</v>
      </c>
      <c r="F14" s="20">
        <f>E14*SUM('ContractPrice-CDE'!$E$2:$E$43)/100</f>
        <v>180747465.57496002</v>
      </c>
      <c r="G14" s="40">
        <f>F14/SUM('ContractPrice-CDE'!$I$2:$I$43)*100</f>
        <v>11.804852116866268</v>
      </c>
      <c r="H14" s="40">
        <f>G14*SUM('ContractPrice-CDE'!$I$2:$I$43)/100</f>
        <v>180747465.57496002</v>
      </c>
    </row>
    <row r="15" spans="1:11" x14ac:dyDescent="0.25">
      <c r="A15" s="39" t="s">
        <v>259</v>
      </c>
      <c r="B15">
        <v>28</v>
      </c>
      <c r="C15">
        <v>46.7</v>
      </c>
      <c r="D15" s="20">
        <f>C15*SUM('ContractPrice-CDE'!$E$2:$E$43)/100</f>
        <v>594430045.23596013</v>
      </c>
      <c r="E15">
        <v>15.2</v>
      </c>
      <c r="F15" s="20">
        <f>E15*SUM('ContractPrice-CDE'!$E$2:$E$43)/100</f>
        <v>193476160.33375999</v>
      </c>
      <c r="G15" s="40">
        <f>F15/SUM('ContractPrice-CDE'!$I$2:$I$43)*100</f>
        <v>12.636179730730088</v>
      </c>
      <c r="H15" s="40">
        <f>G15*SUM('ContractPrice-CDE'!$I$2:$I$43)/100</f>
        <v>193476160.33375999</v>
      </c>
    </row>
    <row r="16" spans="1:11" x14ac:dyDescent="0.25">
      <c r="A16" s="39" t="s">
        <v>260</v>
      </c>
      <c r="B16">
        <v>30</v>
      </c>
      <c r="C16">
        <v>54.2</v>
      </c>
      <c r="D16" s="20">
        <f>C16*SUM('ContractPrice-CDE'!$E$2:$E$43)/100</f>
        <v>689895255.92696011</v>
      </c>
      <c r="E16">
        <v>15.9</v>
      </c>
      <c r="F16" s="20">
        <f>E16*SUM('ContractPrice-CDE'!$E$2:$E$43)/100</f>
        <v>202386246.66492</v>
      </c>
      <c r="G16" s="40">
        <f>F16/SUM('ContractPrice-CDE'!$I$2:$I$43)*100</f>
        <v>13.218109060434763</v>
      </c>
      <c r="H16" s="40">
        <f>G16*SUM('ContractPrice-CDE'!$I$2:$I$43)/100</f>
        <v>202386246.66492</v>
      </c>
    </row>
    <row r="17" spans="1:8" x14ac:dyDescent="0.25">
      <c r="A17" s="39" t="s">
        <v>261</v>
      </c>
      <c r="B17">
        <v>32</v>
      </c>
      <c r="C17">
        <v>61.1</v>
      </c>
      <c r="D17" s="20">
        <f>C17*SUM('ContractPrice-CDE'!$E$2:$E$43)/100</f>
        <v>777723249.76268005</v>
      </c>
      <c r="E17">
        <v>15.9</v>
      </c>
      <c r="F17" s="20">
        <f>E17*SUM('ContractPrice-CDE'!$E$2:$E$43)/100</f>
        <v>202386246.66492</v>
      </c>
      <c r="G17" s="40">
        <f>F17/SUM('ContractPrice-CDE'!$I$2:$I$43)*100</f>
        <v>13.218109060434763</v>
      </c>
      <c r="H17" s="40">
        <f>G17*SUM('ContractPrice-CDE'!$I$2:$I$43)/100</f>
        <v>202386246.66492</v>
      </c>
    </row>
    <row r="18" spans="1:8" x14ac:dyDescent="0.25">
      <c r="A18" s="39" t="s">
        <v>262</v>
      </c>
      <c r="B18">
        <v>34</v>
      </c>
      <c r="C18">
        <v>67.2</v>
      </c>
      <c r="D18" s="20">
        <f>C18*SUM('ContractPrice-CDE'!$E$2:$E$43)/100</f>
        <v>855368287.79136014</v>
      </c>
      <c r="E18">
        <v>16.399999999999999</v>
      </c>
      <c r="F18" s="20">
        <f>E18*SUM('ContractPrice-CDE'!$E$2:$E$43)/100</f>
        <v>208750594.04431999</v>
      </c>
      <c r="G18" s="40">
        <f>F18/SUM('ContractPrice-CDE'!$I$2:$I$43)*100</f>
        <v>13.633772867366673</v>
      </c>
      <c r="H18" s="40">
        <f>G18*SUM('ContractPrice-CDE'!$I$2:$I$43)/100</f>
        <v>208750594.04431999</v>
      </c>
    </row>
    <row r="19" spans="1:8" x14ac:dyDescent="0.25">
      <c r="A19" s="39" t="s">
        <v>263</v>
      </c>
      <c r="B19">
        <v>36</v>
      </c>
      <c r="C19">
        <v>73.900000000000006</v>
      </c>
      <c r="D19" s="20">
        <f>C19*SUM('ContractPrice-CDE'!$E$2:$E$43)/100</f>
        <v>940650542.67532015</v>
      </c>
      <c r="E19">
        <v>16.899999999999999</v>
      </c>
      <c r="F19" s="20">
        <f>E19*SUM('ContractPrice-CDE'!$E$2:$E$43)/100</f>
        <v>215114941.42372</v>
      </c>
      <c r="G19" s="40">
        <f>F19/SUM('ContractPrice-CDE'!$I$2:$I$43)*100</f>
        <v>14.049436674298585</v>
      </c>
      <c r="H19" s="40">
        <f>G19*SUM('ContractPrice-CDE'!$I$2:$I$43)/100</f>
        <v>215114941.42372</v>
      </c>
    </row>
    <row r="20" spans="1:8" x14ac:dyDescent="0.25">
      <c r="A20" s="39" t="s">
        <v>264</v>
      </c>
      <c r="B20">
        <v>38</v>
      </c>
      <c r="C20">
        <v>80.5</v>
      </c>
      <c r="D20" s="20">
        <f>C20*SUM('ContractPrice-CDE'!$E$2:$E$43)/100</f>
        <v>1024659928.0834001</v>
      </c>
      <c r="E20">
        <v>19.399999999999999</v>
      </c>
      <c r="F20" s="20">
        <f>E20*SUM('ContractPrice-CDE'!$E$2:$E$43)/100</f>
        <v>246936678.32071999</v>
      </c>
      <c r="G20" s="40">
        <f>F20/SUM('ContractPrice-CDE'!$I$2:$I$43)*100</f>
        <v>16.127755708958137</v>
      </c>
      <c r="H20" s="40">
        <f>G20*SUM('ContractPrice-CDE'!$I$2:$I$43)/100</f>
        <v>246936678.32071999</v>
      </c>
    </row>
    <row r="21" spans="1:8" x14ac:dyDescent="0.25">
      <c r="A21" s="39" t="s">
        <v>265</v>
      </c>
      <c r="B21">
        <v>40</v>
      </c>
      <c r="C21">
        <v>86</v>
      </c>
      <c r="D21" s="20">
        <f>C21*SUM('ContractPrice-CDE'!$E$2:$E$43)/100</f>
        <v>1094667749.2568002</v>
      </c>
      <c r="E21">
        <v>20.6</v>
      </c>
      <c r="F21" s="20">
        <f>E21*SUM('ContractPrice-CDE'!$E$2:$E$43)/100</f>
        <v>262211112.03128007</v>
      </c>
      <c r="G21" s="40">
        <f>F21/SUM('ContractPrice-CDE'!$I$2:$I$43)*100</f>
        <v>17.125348845594729</v>
      </c>
      <c r="H21" s="40">
        <f>G21*SUM('ContractPrice-CDE'!$I$2:$I$43)/100</f>
        <v>262211112.03128007</v>
      </c>
    </row>
    <row r="22" spans="1:8" x14ac:dyDescent="0.25">
      <c r="A22" s="39" t="s">
        <v>266</v>
      </c>
      <c r="B22">
        <v>42</v>
      </c>
      <c r="C22">
        <v>92.1</v>
      </c>
      <c r="D22" s="20">
        <f>C22*SUM('ContractPrice-CDE'!$E$2:$E$43)/100</f>
        <v>1172312787.28548</v>
      </c>
      <c r="E22">
        <v>21.6</v>
      </c>
      <c r="F22" s="20">
        <f>E22*SUM('ContractPrice-CDE'!$E$2:$E$43)/100</f>
        <v>274939806.79008001</v>
      </c>
      <c r="G22" s="40">
        <f>F22/SUM('ContractPrice-CDE'!$I$2:$I$43)*100</f>
        <v>17.956676459458546</v>
      </c>
      <c r="H22" s="40">
        <f>G22*SUM('ContractPrice-CDE'!$I$2:$I$43)/100</f>
        <v>274939806.79008001</v>
      </c>
    </row>
    <row r="23" spans="1:8" x14ac:dyDescent="0.25">
      <c r="A23" s="39" t="s">
        <v>267</v>
      </c>
      <c r="B23">
        <v>44</v>
      </c>
      <c r="C23">
        <v>94.8</v>
      </c>
      <c r="D23" s="20">
        <f>C23*SUM('ContractPrice-CDE'!$E$2:$E$43)/100</f>
        <v>1206680263.1342402</v>
      </c>
      <c r="E23">
        <v>22.3</v>
      </c>
      <c r="F23" s="20">
        <f>E23*SUM('ContractPrice-CDE'!$E$2:$E$43)/100</f>
        <v>283849893.12124002</v>
      </c>
      <c r="G23" s="40">
        <f>F23/SUM('ContractPrice-CDE'!$I$2:$I$43)*100</f>
        <v>18.538605789163224</v>
      </c>
      <c r="H23" s="40">
        <f>G23*SUM('ContractPrice-CDE'!$I$2:$I$43)/100</f>
        <v>283849893.12124002</v>
      </c>
    </row>
    <row r="24" spans="1:8" x14ac:dyDescent="0.25">
      <c r="A24" s="39" t="s">
        <v>268</v>
      </c>
      <c r="B24">
        <v>46</v>
      </c>
      <c r="C24">
        <v>96.7</v>
      </c>
      <c r="D24" s="20">
        <f>C24*SUM('ContractPrice-CDE'!$E$2:$E$43)/100</f>
        <v>1230864783.1759601</v>
      </c>
      <c r="E24">
        <v>24.6</v>
      </c>
      <c r="F24" s="20">
        <f>E24*SUM('ContractPrice-CDE'!$E$2:$E$43)/100</f>
        <v>313125891.06648004</v>
      </c>
      <c r="G24" s="40">
        <f>F24/SUM('ContractPrice-CDE'!$I$2:$I$43)*100</f>
        <v>20.450659301050013</v>
      </c>
      <c r="H24" s="40">
        <f>G24*SUM('ContractPrice-CDE'!$I$2:$I$43)/100</f>
        <v>313125891.06648004</v>
      </c>
    </row>
    <row r="25" spans="1:8" x14ac:dyDescent="0.25">
      <c r="A25" s="39" t="s">
        <v>269</v>
      </c>
      <c r="B25">
        <v>48</v>
      </c>
      <c r="C25">
        <v>98.2</v>
      </c>
      <c r="D25" s="20">
        <f>C25*SUM('ContractPrice-CDE'!$E$2:$E$43)/100</f>
        <v>1249957825.3141601</v>
      </c>
      <c r="E25">
        <v>25.7</v>
      </c>
      <c r="F25" s="20">
        <f>E25*SUM('ContractPrice-CDE'!$E$2:$E$43)/100</f>
        <v>327127455.30116004</v>
      </c>
      <c r="G25" s="40">
        <f>F25/SUM('ContractPrice-CDE'!$I$2:$I$43)*100</f>
        <v>21.365119676300218</v>
      </c>
      <c r="H25" s="40">
        <f>G25*SUM('ContractPrice-CDE'!$I$2:$I$43)/100</f>
        <v>327127455.30116004</v>
      </c>
    </row>
    <row r="26" spans="1:8" x14ac:dyDescent="0.25">
      <c r="A26" s="39" t="s">
        <v>270</v>
      </c>
      <c r="B26">
        <v>50</v>
      </c>
      <c r="C26">
        <v>98.9</v>
      </c>
      <c r="D26" s="20">
        <f>C26*SUM('ContractPrice-CDE'!$E$2:$E$43)/100</f>
        <v>1258867911.6453202</v>
      </c>
      <c r="E26">
        <v>26.9</v>
      </c>
      <c r="F26" s="20">
        <f>E26*SUM('ContractPrice-CDE'!$E$2:$E$43)/100</f>
        <v>342401889.01172</v>
      </c>
      <c r="G26" s="40">
        <f>F26/SUM('ContractPrice-CDE'!$I$2:$I$43)*100</f>
        <v>22.362712812936799</v>
      </c>
      <c r="H26" s="40">
        <f>G26*SUM('ContractPrice-CDE'!$I$2:$I$43)/100</f>
        <v>342401889.01171994</v>
      </c>
    </row>
    <row r="27" spans="1:8" s="6" customFormat="1" x14ac:dyDescent="0.25">
      <c r="A27" s="41" t="s">
        <v>271</v>
      </c>
      <c r="B27" s="6">
        <v>52</v>
      </c>
      <c r="C27" s="6">
        <v>100</v>
      </c>
      <c r="D27" s="20">
        <f>C27*SUM('ContractPrice-CDE'!$E$2:$E$43)/100</f>
        <v>1272869475.8800001</v>
      </c>
      <c r="E27" s="6">
        <v>27.3</v>
      </c>
      <c r="F27" s="20">
        <f>E27*SUM('ContractPrice-CDE'!$E$2:$E$43)/100</f>
        <v>347493366.91524005</v>
      </c>
      <c r="G27" s="40">
        <f>F27/SUM('ContractPrice-CDE'!$I$2:$I$43)*100</f>
        <v>22.695243858482332</v>
      </c>
      <c r="H27" s="40">
        <f>G27*SUM('ContractPrice-CDE'!$I$2:$I$43)/100</f>
        <v>347493366.91524005</v>
      </c>
    </row>
    <row r="28" spans="1:8" x14ac:dyDescent="0.25">
      <c r="A28" s="39" t="s">
        <v>272</v>
      </c>
      <c r="B28">
        <v>54</v>
      </c>
      <c r="C28">
        <v>100</v>
      </c>
      <c r="D28" s="20">
        <f>C28*SUM('ContractPrice-CDE'!$E$2:$E$43)/100</f>
        <v>1272869475.8800001</v>
      </c>
      <c r="E28">
        <v>28.2</v>
      </c>
      <c r="F28" s="20">
        <f>E28*SUM('ContractPrice-CDE'!$E$2:$E$43)/100</f>
        <v>358949192.19815999</v>
      </c>
      <c r="G28" s="40">
        <f>F28/SUM('ContractPrice-CDE'!$I$2:$I$43)*100</f>
        <v>23.443438710959768</v>
      </c>
      <c r="H28" s="40">
        <f>G28*SUM('ContractPrice-CDE'!$I$2:$I$43)/100</f>
        <v>358949192.19815999</v>
      </c>
    </row>
    <row r="29" spans="1:8" x14ac:dyDescent="0.25">
      <c r="A29" s="39" t="s">
        <v>273</v>
      </c>
      <c r="B29">
        <v>56</v>
      </c>
      <c r="C29">
        <v>100</v>
      </c>
      <c r="D29" s="20">
        <f>C29*SUM('ContractPrice-CDE'!$E$2:$E$43)/100</f>
        <v>1272869475.8800001</v>
      </c>
      <c r="E29">
        <v>29</v>
      </c>
      <c r="F29" s="20">
        <f>E29*SUM('ContractPrice-CDE'!$E$2:$E$43)/100</f>
        <v>369132148.00520003</v>
      </c>
      <c r="G29" s="40">
        <f>F29/SUM('ContractPrice-CDE'!$I$2:$I$43)*100</f>
        <v>24.108500802050827</v>
      </c>
      <c r="H29" s="40">
        <f>G29*SUM('ContractPrice-CDE'!$I$2:$I$43)/100</f>
        <v>369132148.00520003</v>
      </c>
    </row>
    <row r="30" spans="1:8" x14ac:dyDescent="0.25">
      <c r="A30" s="39" t="s">
        <v>274</v>
      </c>
      <c r="B30">
        <v>58</v>
      </c>
      <c r="C30">
        <v>100</v>
      </c>
      <c r="D30" s="20">
        <f>C30*SUM('ContractPrice-CDE'!$E$2:$E$43)/100</f>
        <v>1272869475.8800001</v>
      </c>
      <c r="E30">
        <v>29.7</v>
      </c>
      <c r="F30" s="20">
        <f>E30*SUM('ContractPrice-CDE'!$E$2:$E$43)/100</f>
        <v>378042234.33636004</v>
      </c>
      <c r="G30" s="40">
        <f>F30/SUM('ContractPrice-CDE'!$I$2:$I$43)*100</f>
        <v>24.690430131755502</v>
      </c>
      <c r="H30" s="40">
        <f>G30*SUM('ContractPrice-CDE'!$I$2:$I$43)/100</f>
        <v>378042234.33636004</v>
      </c>
    </row>
    <row r="31" spans="1:8" x14ac:dyDescent="0.25">
      <c r="A31" s="39" t="s">
        <v>275</v>
      </c>
      <c r="B31">
        <v>60</v>
      </c>
      <c r="C31">
        <v>100</v>
      </c>
      <c r="D31" s="20">
        <f>C31*SUM('ContractPrice-CDE'!$E$2:$E$43)/100</f>
        <v>1272869475.8800001</v>
      </c>
      <c r="E31">
        <v>32.200000000000003</v>
      </c>
      <c r="F31" s="20">
        <f>E31*SUM('ContractPrice-CDE'!$E$2:$E$43)/100</f>
        <v>409863971.23336005</v>
      </c>
      <c r="G31" s="40">
        <f>F31/SUM('ContractPrice-CDE'!$I$2:$I$43)*100</f>
        <v>26.768749166415056</v>
      </c>
      <c r="H31" s="40">
        <f>G31*SUM('ContractPrice-CDE'!$I$2:$I$43)/100</f>
        <v>409863971.23335999</v>
      </c>
    </row>
    <row r="32" spans="1:8" x14ac:dyDescent="0.25">
      <c r="A32" s="39" t="s">
        <v>276</v>
      </c>
      <c r="B32">
        <v>62</v>
      </c>
      <c r="C32">
        <v>100</v>
      </c>
      <c r="D32" s="20">
        <f>C32*SUM('ContractPrice-CDE'!$E$2:$E$43)/100</f>
        <v>1272869475.8800001</v>
      </c>
      <c r="E32">
        <v>33.1</v>
      </c>
      <c r="F32" s="20">
        <f>E32*SUM('ContractPrice-CDE'!$E$2:$E$43)/100</f>
        <v>421319796.51628006</v>
      </c>
      <c r="G32" s="40">
        <f>F32/SUM('ContractPrice-CDE'!$I$2:$I$43)*100</f>
        <v>27.516944018892499</v>
      </c>
      <c r="H32" s="40">
        <f>G32*SUM('ContractPrice-CDE'!$I$2:$I$43)/100</f>
        <v>421319796.51628006</v>
      </c>
    </row>
    <row r="33" spans="1:9" x14ac:dyDescent="0.25">
      <c r="A33" s="39" t="s">
        <v>277</v>
      </c>
      <c r="B33">
        <v>64</v>
      </c>
      <c r="C33">
        <v>100</v>
      </c>
      <c r="D33" s="20">
        <f>C33*SUM('ContractPrice-CDE'!$E$2:$E$43)/100</f>
        <v>1272869475.8800001</v>
      </c>
      <c r="E33">
        <v>33.299999999999997</v>
      </c>
      <c r="F33" s="20">
        <f>E33*SUM('ContractPrice-CDE'!$E$2:$E$43)/100</f>
        <v>423865535.46803999</v>
      </c>
      <c r="G33" s="40">
        <f>F33/SUM('ContractPrice-CDE'!$I$2:$I$43)*100</f>
        <v>27.68320954166526</v>
      </c>
      <c r="H33" s="40">
        <f>G33*SUM('ContractPrice-CDE'!$I$2:$I$43)/100</f>
        <v>423865535.46803999</v>
      </c>
    </row>
    <row r="34" spans="1:9" x14ac:dyDescent="0.25">
      <c r="A34" s="39" t="s">
        <v>278</v>
      </c>
      <c r="B34">
        <v>66</v>
      </c>
      <c r="C34">
        <v>100</v>
      </c>
      <c r="D34" s="20">
        <f>C34*SUM('ContractPrice-CDE'!$E$2:$E$43)/100</f>
        <v>1272869475.8800001</v>
      </c>
      <c r="E34">
        <v>33.6</v>
      </c>
      <c r="F34" s="20">
        <f>E34*SUM('ContractPrice-CDE'!$E$2:$E$43)/100</f>
        <v>427684143.89568007</v>
      </c>
      <c r="G34" s="40">
        <f>F34/SUM('ContractPrice-CDE'!$I$2:$I$43)*100</f>
        <v>27.932607825824405</v>
      </c>
      <c r="H34" s="40">
        <f>G34*SUM('ContractPrice-CDE'!$I$2:$I$43)/100</f>
        <v>427684143.89568001</v>
      </c>
    </row>
    <row r="35" spans="1:9" x14ac:dyDescent="0.25">
      <c r="A35" s="39" t="s">
        <v>279</v>
      </c>
      <c r="B35">
        <v>68</v>
      </c>
      <c r="C35">
        <v>100</v>
      </c>
      <c r="D35" s="20">
        <f>C35*SUM('ContractPrice-CDE'!$E$2:$E$43)/100</f>
        <v>1272869475.8800001</v>
      </c>
      <c r="E35">
        <v>34.200000000000003</v>
      </c>
      <c r="F35" s="20">
        <f>E35*SUM('ContractPrice-CDE'!$E$2:$E$43)/100</f>
        <v>435321360.75096011</v>
      </c>
      <c r="G35" s="40">
        <f>F35/SUM('ContractPrice-CDE'!$I$2:$I$43)*100</f>
        <v>28.431404394142707</v>
      </c>
      <c r="H35" s="40">
        <f>G35*SUM('ContractPrice-CDE'!$I$2:$I$43)/100</f>
        <v>435321360.75096017</v>
      </c>
    </row>
    <row r="36" spans="1:9" x14ac:dyDescent="0.25">
      <c r="A36" s="39" t="s">
        <v>280</v>
      </c>
      <c r="B36">
        <v>70</v>
      </c>
      <c r="C36">
        <v>100</v>
      </c>
      <c r="D36" s="20">
        <f>C36*SUM('ContractPrice-CDE'!$E$2:$E$43)/100</f>
        <v>1272869475.8800001</v>
      </c>
      <c r="E36">
        <v>35.4</v>
      </c>
      <c r="F36" s="20">
        <f>E36*SUM('ContractPrice-CDE'!$E$2:$E$43)/100</f>
        <v>450595794.46152002</v>
      </c>
      <c r="G36" s="40">
        <f>F36/SUM('ContractPrice-CDE'!$I$2:$I$43)*100</f>
        <v>29.428997530779284</v>
      </c>
      <c r="H36" s="40">
        <f>G36*SUM('ContractPrice-CDE'!$I$2:$I$43)/100</f>
        <v>450595794.46152002</v>
      </c>
    </row>
    <row r="37" spans="1:9" x14ac:dyDescent="0.25">
      <c r="A37" s="39" t="s">
        <v>281</v>
      </c>
      <c r="B37">
        <v>72</v>
      </c>
      <c r="C37">
        <v>100</v>
      </c>
      <c r="D37" s="20">
        <f>C37*SUM('ContractPrice-CDE'!$E$2:$E$43)/100</f>
        <v>1272869475.8800001</v>
      </c>
      <c r="E37">
        <v>37.4</v>
      </c>
      <c r="F37" s="20">
        <f>E37*SUM('ContractPrice-CDE'!$E$2:$E$43)/100</f>
        <v>476053183.97912002</v>
      </c>
      <c r="G37" s="40">
        <f>F37/SUM('ContractPrice-CDE'!$I$2:$I$43)*100</f>
        <v>31.091652758506928</v>
      </c>
      <c r="H37" s="40">
        <f>G37*SUM('ContractPrice-CDE'!$I$2:$I$43)/100</f>
        <v>476053183.97912002</v>
      </c>
    </row>
    <row r="38" spans="1:9" x14ac:dyDescent="0.25">
      <c r="A38" s="39" t="s">
        <v>282</v>
      </c>
      <c r="B38">
        <v>74</v>
      </c>
      <c r="C38">
        <v>100</v>
      </c>
      <c r="D38" s="20">
        <f>C38*SUM('ContractPrice-CDE'!$E$2:$E$43)/100</f>
        <v>1272869475.8800001</v>
      </c>
      <c r="E38">
        <v>39.4</v>
      </c>
      <c r="F38" s="20">
        <f>E38*SUM('ContractPrice-CDE'!$E$2:$E$43)/100</f>
        <v>501510573.49672008</v>
      </c>
      <c r="G38" s="40">
        <f>F38/SUM('ContractPrice-CDE'!$I$2:$I$43)*100</f>
        <v>32.754307986234579</v>
      </c>
      <c r="H38" s="40">
        <f>G38*SUM('ContractPrice-CDE'!$I$2:$I$43)/100</f>
        <v>501510573.49672014</v>
      </c>
    </row>
    <row r="39" spans="1:9" x14ac:dyDescent="0.25">
      <c r="A39" s="39" t="s">
        <v>283</v>
      </c>
      <c r="B39">
        <v>76</v>
      </c>
      <c r="C39">
        <v>100</v>
      </c>
      <c r="D39" s="20">
        <f>C39*SUM('ContractPrice-CDE'!$E$2:$E$43)/100</f>
        <v>1272869475.8800001</v>
      </c>
      <c r="E39">
        <v>40.799999999999997</v>
      </c>
      <c r="F39" s="20">
        <f>E39*SUM('ContractPrice-CDE'!$E$2:$E$43)/100</f>
        <v>519330746.15903997</v>
      </c>
      <c r="G39" s="40">
        <f>F39/SUM('ContractPrice-CDE'!$I$2:$I$43)*100</f>
        <v>33.918166645643915</v>
      </c>
      <c r="H39" s="40">
        <f>G39*SUM('ContractPrice-CDE'!$I$2:$I$43)/100</f>
        <v>519330746.15903991</v>
      </c>
    </row>
    <row r="40" spans="1:9" x14ac:dyDescent="0.25">
      <c r="A40" s="39" t="s">
        <v>284</v>
      </c>
      <c r="B40">
        <v>78</v>
      </c>
      <c r="C40">
        <v>100</v>
      </c>
      <c r="D40" s="20">
        <f>C40*SUM('ContractPrice-CDE'!$E$2:$E$43)/100</f>
        <v>1272869475.8800001</v>
      </c>
      <c r="E40">
        <v>41.4</v>
      </c>
      <c r="F40" s="20">
        <f>E40*SUM('ContractPrice-CDE'!$E$2:$E$43)/100</f>
        <v>526967963.01432002</v>
      </c>
      <c r="G40" s="40">
        <f>F40/SUM('ContractPrice-CDE'!$I$2:$I$43)*100</f>
        <v>34.416963213962212</v>
      </c>
      <c r="H40" s="40">
        <f>G40*SUM('ContractPrice-CDE'!$I$2:$I$43)/100</f>
        <v>526967963.01432002</v>
      </c>
    </row>
    <row r="41" spans="1:9" x14ac:dyDescent="0.25">
      <c r="A41" s="39" t="s">
        <v>285</v>
      </c>
      <c r="B41">
        <v>80</v>
      </c>
      <c r="C41">
        <v>100</v>
      </c>
      <c r="D41" s="20">
        <f>C41*SUM('ContractPrice-CDE'!$E$2:$E$43)/100</f>
        <v>1272869475.8800001</v>
      </c>
      <c r="E41">
        <v>41.6</v>
      </c>
      <c r="F41" s="20">
        <f>E41*SUM('ContractPrice-CDE'!$E$2:$E$43)/100</f>
        <v>529513701.96608007</v>
      </c>
      <c r="G41" s="40">
        <f>F41/SUM('ContractPrice-CDE'!$I$2:$I$43)*100</f>
        <v>34.583228736734981</v>
      </c>
      <c r="H41" s="40">
        <f>G41*SUM('ContractPrice-CDE'!$I$2:$I$43)/100</f>
        <v>529513701.96608001</v>
      </c>
    </row>
    <row r="42" spans="1:9" s="6" customFormat="1" x14ac:dyDescent="0.25">
      <c r="A42" s="41" t="s">
        <v>286</v>
      </c>
      <c r="B42" s="6">
        <v>82</v>
      </c>
      <c r="C42" s="6">
        <v>100</v>
      </c>
      <c r="D42" s="20">
        <f>C42*SUM('ContractPrice-CDE'!$E$2:$E$43)/100</f>
        <v>1272869475.8800001</v>
      </c>
      <c r="E42" s="6">
        <v>41.6</v>
      </c>
      <c r="F42" s="20">
        <f>E42*SUM('ContractPrice-CDE'!$E$2:$E$43)/100</f>
        <v>529513701.96608007</v>
      </c>
      <c r="G42" s="40">
        <f>F42/SUM('ContractPrice-CDE'!$I$2:$I$43)*100</f>
        <v>34.583228736734981</v>
      </c>
      <c r="H42" s="40">
        <f>G42*SUM('ContractPrice-CDE'!$I$2:$I$43)/100</f>
        <v>529513701.96608001</v>
      </c>
      <c r="I42" s="6">
        <v>1.4537060280725624</v>
      </c>
    </row>
    <row r="43" spans="1:9" x14ac:dyDescent="0.25">
      <c r="A43" s="39">
        <v>43860</v>
      </c>
      <c r="B43">
        <v>84</v>
      </c>
      <c r="C43">
        <v>100</v>
      </c>
      <c r="D43" s="20">
        <f>C43*SUM('ContractPrice-CDE'!$E$2:$E$43)/100</f>
        <v>1272869475.8800001</v>
      </c>
      <c r="E43">
        <f>E42+$I$43</f>
        <v>42.897777777777783</v>
      </c>
      <c r="F43" s="20">
        <f>E43*SUM('ContractPrice-CDE'!$E$2:$E$43)/100</f>
        <v>546032719.16416728</v>
      </c>
      <c r="G43" s="40">
        <f t="shared" ref="G43:G87" si="0">G42+$I$42</f>
        <v>36.03693476480754</v>
      </c>
      <c r="H43" s="40">
        <f>G43*SUM('ContractPrice-CDE'!$I$2:$I$43)/100</f>
        <v>551771810.55261159</v>
      </c>
      <c r="I43">
        <v>1.2977777777777819</v>
      </c>
    </row>
    <row r="44" spans="1:9" x14ac:dyDescent="0.25">
      <c r="A44" s="39">
        <v>43875</v>
      </c>
      <c r="B44">
        <v>86</v>
      </c>
      <c r="C44">
        <v>100</v>
      </c>
      <c r="D44" s="20">
        <f>C44*SUM('ContractPrice-CDE'!$E$2:$E$43)/100</f>
        <v>1272869475.8800001</v>
      </c>
      <c r="E44">
        <f t="shared" ref="E44:E87" si="1">E43+$I$43</f>
        <v>44.195555555555565</v>
      </c>
      <c r="F44" s="20">
        <f>E44*SUM('ContractPrice-CDE'!$E$2:$E$43)/100</f>
        <v>562551736.36225438</v>
      </c>
      <c r="G44" s="40">
        <f t="shared" si="0"/>
        <v>37.4906407928801</v>
      </c>
      <c r="H44" s="40">
        <f>G44*SUM('ContractPrice-CDE'!$I$2:$I$43)/100</f>
        <v>574029919.13914335</v>
      </c>
    </row>
    <row r="45" spans="1:9" x14ac:dyDescent="0.25">
      <c r="A45" s="39">
        <v>43890</v>
      </c>
      <c r="B45">
        <v>88</v>
      </c>
      <c r="C45">
        <v>100</v>
      </c>
      <c r="D45" s="20">
        <f>C45*SUM('ContractPrice-CDE'!$E$2:$E$43)/100</f>
        <v>1272869475.8800001</v>
      </c>
      <c r="E45">
        <f t="shared" si="1"/>
        <v>45.493333333333347</v>
      </c>
      <c r="F45" s="20">
        <f>E45*SUM('ContractPrice-CDE'!$E$2:$E$43)/100</f>
        <v>579070753.5603416</v>
      </c>
      <c r="G45" s="40">
        <f t="shared" si="0"/>
        <v>38.94434682095266</v>
      </c>
      <c r="H45" s="40">
        <f>G45*SUM('ContractPrice-CDE'!$I$2:$I$43)/100</f>
        <v>596288027.72567487</v>
      </c>
    </row>
    <row r="46" spans="1:9" x14ac:dyDescent="0.25">
      <c r="A46" s="39">
        <v>43905</v>
      </c>
      <c r="B46">
        <v>90</v>
      </c>
      <c r="C46">
        <v>100</v>
      </c>
      <c r="D46" s="20">
        <f>C46*SUM('ContractPrice-CDE'!$E$2:$E$43)/100</f>
        <v>1272869475.8800001</v>
      </c>
      <c r="E46">
        <f t="shared" si="1"/>
        <v>46.791111111111128</v>
      </c>
      <c r="F46" s="20">
        <f>E46*SUM('ContractPrice-CDE'!$E$2:$E$43)/100</f>
        <v>595589770.75842869</v>
      </c>
      <c r="G46" s="40">
        <f t="shared" si="0"/>
        <v>40.39805284902522</v>
      </c>
      <c r="H46" s="40">
        <f>G46*SUM('ContractPrice-CDE'!$I$2:$I$43)/100</f>
        <v>618546136.31220651</v>
      </c>
    </row>
    <row r="47" spans="1:9" x14ac:dyDescent="0.25">
      <c r="A47" s="39">
        <v>43920</v>
      </c>
      <c r="B47">
        <v>92</v>
      </c>
      <c r="C47">
        <v>100</v>
      </c>
      <c r="D47" s="20">
        <f>C47*SUM('ContractPrice-CDE'!$E$2:$E$43)/100</f>
        <v>1272869475.8800001</v>
      </c>
      <c r="E47">
        <f t="shared" si="1"/>
        <v>48.08888888888891</v>
      </c>
      <c r="F47" s="20">
        <f>E47*SUM('ContractPrice-CDE'!$E$2:$E$43)/100</f>
        <v>612108787.95651591</v>
      </c>
      <c r="G47" s="40">
        <f t="shared" si="0"/>
        <v>41.85175887709778</v>
      </c>
      <c r="H47" s="40">
        <f>G47*SUM('ContractPrice-CDE'!$I$2:$I$43)/100</f>
        <v>640804244.89873815</v>
      </c>
    </row>
    <row r="48" spans="1:9" x14ac:dyDescent="0.25">
      <c r="A48" s="39">
        <v>43936</v>
      </c>
      <c r="B48">
        <v>94</v>
      </c>
      <c r="C48">
        <v>100</v>
      </c>
      <c r="D48" s="20">
        <f>C48*SUM('ContractPrice-CDE'!$E$2:$E$43)/100</f>
        <v>1272869475.8800001</v>
      </c>
      <c r="E48">
        <f t="shared" si="1"/>
        <v>49.386666666666692</v>
      </c>
      <c r="F48" s="20">
        <f>E48*SUM('ContractPrice-CDE'!$E$2:$E$43)/100</f>
        <v>628627805.154603</v>
      </c>
      <c r="G48" s="40">
        <f t="shared" si="0"/>
        <v>43.305464905170339</v>
      </c>
      <c r="H48" s="40">
        <f>G48*SUM('ContractPrice-CDE'!$I$2:$I$43)/100</f>
        <v>663062353.48526967</v>
      </c>
    </row>
    <row r="49" spans="1:8" x14ac:dyDescent="0.25">
      <c r="A49" s="39">
        <v>43951</v>
      </c>
      <c r="B49">
        <v>96</v>
      </c>
      <c r="C49">
        <v>100</v>
      </c>
      <c r="D49" s="20">
        <f>C49*SUM('ContractPrice-CDE'!$E$2:$E$43)/100</f>
        <v>1272869475.8800001</v>
      </c>
      <c r="E49">
        <f t="shared" si="1"/>
        <v>50.684444444444473</v>
      </c>
      <c r="F49" s="20">
        <f>E49*SUM('ContractPrice-CDE'!$E$2:$E$43)/100</f>
        <v>645146822.35269022</v>
      </c>
      <c r="G49" s="40">
        <f t="shared" si="0"/>
        <v>44.759170933242899</v>
      </c>
      <c r="H49" s="40">
        <f>G49*SUM('ContractPrice-CDE'!$I$2:$I$43)/100</f>
        <v>685320462.0718013</v>
      </c>
    </row>
    <row r="50" spans="1:8" x14ac:dyDescent="0.25">
      <c r="A50" s="39">
        <v>43966</v>
      </c>
      <c r="B50">
        <v>98</v>
      </c>
      <c r="C50">
        <v>100</v>
      </c>
      <c r="D50" s="20">
        <f>C50*SUM('ContractPrice-CDE'!$E$2:$E$43)/100</f>
        <v>1272869475.8800001</v>
      </c>
      <c r="E50">
        <f t="shared" si="1"/>
        <v>51.982222222222255</v>
      </c>
      <c r="F50" s="20">
        <f>E50*SUM('ContractPrice-CDE'!$E$2:$E$43)/100</f>
        <v>661665839.55077732</v>
      </c>
      <c r="G50" s="40">
        <f t="shared" si="0"/>
        <v>46.212876961315459</v>
      </c>
      <c r="H50" s="40">
        <f>G50*SUM('ContractPrice-CDE'!$I$2:$I$43)/100</f>
        <v>707578570.65833282</v>
      </c>
    </row>
    <row r="51" spans="1:8" s="6" customFormat="1" x14ac:dyDescent="0.25">
      <c r="A51" s="41">
        <v>43981</v>
      </c>
      <c r="B51" s="6">
        <v>100</v>
      </c>
      <c r="C51" s="6">
        <v>100</v>
      </c>
      <c r="D51" s="20">
        <f>C51*SUM('ContractPrice-CDE'!$E$2:$E$43)/100</f>
        <v>1272869475.8800001</v>
      </c>
      <c r="E51">
        <f t="shared" si="1"/>
        <v>53.280000000000037</v>
      </c>
      <c r="F51" s="20">
        <f>E51*SUM('ContractPrice-CDE'!$E$2:$E$43)/100</f>
        <v>678184856.74886453</v>
      </c>
      <c r="G51" s="40">
        <f t="shared" si="0"/>
        <v>47.666582989388019</v>
      </c>
      <c r="H51" s="40">
        <f>G51*SUM('ContractPrice-CDE'!$I$2:$I$43)/100</f>
        <v>729836679.24486446</v>
      </c>
    </row>
    <row r="52" spans="1:8" x14ac:dyDescent="0.25">
      <c r="A52" s="39">
        <v>43997</v>
      </c>
      <c r="B52">
        <v>102</v>
      </c>
      <c r="C52">
        <v>100</v>
      </c>
      <c r="D52" s="20">
        <f>C52*SUM('ContractPrice-CDE'!$E$2:$E$43)/100</f>
        <v>1272869475.8800001</v>
      </c>
      <c r="E52">
        <f t="shared" si="1"/>
        <v>54.577777777777818</v>
      </c>
      <c r="F52" s="20">
        <f>E52*SUM('ContractPrice-CDE'!$E$2:$E$43)/100</f>
        <v>694703873.94695175</v>
      </c>
      <c r="G52" s="40">
        <f t="shared" si="0"/>
        <v>49.120289017460578</v>
      </c>
      <c r="H52" s="40">
        <f>G52*SUM('ContractPrice-CDE'!$I$2:$I$43)/100</f>
        <v>752094787.83139598</v>
      </c>
    </row>
    <row r="53" spans="1:8" x14ac:dyDescent="0.25">
      <c r="A53" s="39">
        <v>44012</v>
      </c>
      <c r="B53">
        <v>104</v>
      </c>
      <c r="C53">
        <v>100</v>
      </c>
      <c r="D53" s="20">
        <f>C53*SUM('ContractPrice-CDE'!$E$2:$E$43)/100</f>
        <v>1272869475.8800001</v>
      </c>
      <c r="E53">
        <f t="shared" si="1"/>
        <v>55.8755555555556</v>
      </c>
      <c r="F53" s="20">
        <f>E53*SUM('ContractPrice-CDE'!$E$2:$E$43)/100</f>
        <v>711222891.14503896</v>
      </c>
      <c r="G53" s="40">
        <f t="shared" si="0"/>
        <v>50.573995045533138</v>
      </c>
      <c r="H53" s="40">
        <f>G53*SUM('ContractPrice-CDE'!$I$2:$I$43)/100</f>
        <v>774352896.41792774</v>
      </c>
    </row>
    <row r="54" spans="1:8" x14ac:dyDescent="0.25">
      <c r="A54" s="39">
        <v>44027</v>
      </c>
      <c r="B54">
        <v>106</v>
      </c>
      <c r="C54">
        <v>100</v>
      </c>
      <c r="D54" s="20">
        <f>C54*SUM('ContractPrice-CDE'!$E$2:$E$43)/100</f>
        <v>1272869475.8800001</v>
      </c>
      <c r="E54">
        <f t="shared" si="1"/>
        <v>57.173333333333382</v>
      </c>
      <c r="F54" s="20">
        <f>E54*SUM('ContractPrice-CDE'!$E$2:$E$43)/100</f>
        <v>727741908.34312606</v>
      </c>
      <c r="G54" s="40">
        <f t="shared" si="0"/>
        <v>52.027701073605698</v>
      </c>
      <c r="H54" s="40">
        <f>G54*SUM('ContractPrice-CDE'!$I$2:$I$43)/100</f>
        <v>796611005.00445938</v>
      </c>
    </row>
    <row r="55" spans="1:8" x14ac:dyDescent="0.25">
      <c r="A55" s="39">
        <v>44042</v>
      </c>
      <c r="B55">
        <v>108</v>
      </c>
      <c r="C55">
        <v>100</v>
      </c>
      <c r="D55" s="20">
        <f>C55*SUM('ContractPrice-CDE'!$E$2:$E$43)/100</f>
        <v>1272869475.8800001</v>
      </c>
      <c r="E55">
        <f t="shared" si="1"/>
        <v>58.471111111111163</v>
      </c>
      <c r="F55" s="20">
        <f>E55*SUM('ContractPrice-CDE'!$E$2:$E$43)/100</f>
        <v>744260925.54121327</v>
      </c>
      <c r="G55" s="40">
        <f t="shared" si="0"/>
        <v>53.481407101678258</v>
      </c>
      <c r="H55" s="40">
        <f>G55*SUM('ContractPrice-CDE'!$I$2:$I$43)/100</f>
        <v>818869113.5909909</v>
      </c>
    </row>
    <row r="56" spans="1:8" x14ac:dyDescent="0.25">
      <c r="A56" s="39">
        <v>44058</v>
      </c>
      <c r="B56">
        <v>110</v>
      </c>
      <c r="C56">
        <v>100</v>
      </c>
      <c r="D56" s="20">
        <f>C56*SUM('ContractPrice-CDE'!$E$2:$E$43)/100</f>
        <v>1272869475.8800001</v>
      </c>
      <c r="E56">
        <f t="shared" si="1"/>
        <v>59.768888888888945</v>
      </c>
      <c r="F56" s="20">
        <f>E56*SUM('ContractPrice-CDE'!$E$2:$E$43)/100</f>
        <v>760779942.73930037</v>
      </c>
      <c r="G56" s="40">
        <f t="shared" si="0"/>
        <v>54.935113129750818</v>
      </c>
      <c r="H56" s="40">
        <f>G56*SUM('ContractPrice-CDE'!$I$2:$I$43)/100</f>
        <v>841127222.17752254</v>
      </c>
    </row>
    <row r="57" spans="1:8" x14ac:dyDescent="0.25">
      <c r="A57" s="39">
        <v>44073</v>
      </c>
      <c r="B57">
        <v>112</v>
      </c>
      <c r="C57">
        <v>100</v>
      </c>
      <c r="D57" s="20">
        <f>C57*SUM('ContractPrice-CDE'!$E$2:$E$43)/100</f>
        <v>1272869475.8800001</v>
      </c>
      <c r="E57">
        <f t="shared" si="1"/>
        <v>61.066666666666727</v>
      </c>
      <c r="F57" s="20">
        <f>E57*SUM('ContractPrice-CDE'!$E$2:$E$43)/100</f>
        <v>777298959.93738759</v>
      </c>
      <c r="G57" s="40">
        <f t="shared" si="0"/>
        <v>56.388819157823377</v>
      </c>
      <c r="H57" s="40">
        <f>G57*SUM('ContractPrice-CDE'!$I$2:$I$43)/100</f>
        <v>863385330.76405406</v>
      </c>
    </row>
    <row r="58" spans="1:8" x14ac:dyDescent="0.25">
      <c r="A58" s="39">
        <v>44089</v>
      </c>
      <c r="B58">
        <v>114</v>
      </c>
      <c r="C58">
        <v>100</v>
      </c>
      <c r="D58" s="20">
        <f>C58*SUM('ContractPrice-CDE'!$E$2:$E$43)/100</f>
        <v>1272869475.8800001</v>
      </c>
      <c r="E58">
        <f t="shared" si="1"/>
        <v>62.364444444444509</v>
      </c>
      <c r="F58" s="20">
        <f>E58*SUM('ContractPrice-CDE'!$E$2:$E$43)/100</f>
        <v>793817977.13547468</v>
      </c>
      <c r="G58" s="40">
        <f t="shared" si="0"/>
        <v>57.842525185895937</v>
      </c>
      <c r="H58" s="40">
        <f>G58*SUM('ContractPrice-CDE'!$I$2:$I$43)/100</f>
        <v>885643439.35058582</v>
      </c>
    </row>
    <row r="59" spans="1:8" x14ac:dyDescent="0.25">
      <c r="A59" s="39">
        <v>44104</v>
      </c>
      <c r="B59">
        <v>116</v>
      </c>
      <c r="C59">
        <v>100</v>
      </c>
      <c r="D59" s="20">
        <f>C59*SUM('ContractPrice-CDE'!$E$2:$E$43)/100</f>
        <v>1272869475.8800001</v>
      </c>
      <c r="E59">
        <f t="shared" si="1"/>
        <v>63.66222222222229</v>
      </c>
      <c r="F59" s="20">
        <f>E59*SUM('ContractPrice-CDE'!$E$2:$E$43)/100</f>
        <v>810336994.3335619</v>
      </c>
      <c r="G59" s="40">
        <f t="shared" si="0"/>
        <v>59.296231213968497</v>
      </c>
      <c r="H59" s="40">
        <f>G59*SUM('ContractPrice-CDE'!$I$2:$I$43)/100</f>
        <v>907901547.93711734</v>
      </c>
    </row>
    <row r="60" spans="1:8" x14ac:dyDescent="0.25">
      <c r="A60" s="39">
        <v>44119</v>
      </c>
      <c r="B60">
        <v>118</v>
      </c>
      <c r="C60">
        <v>100</v>
      </c>
      <c r="D60" s="20">
        <f>C60*SUM('ContractPrice-CDE'!$E$2:$E$43)/100</f>
        <v>1272869475.8800001</v>
      </c>
      <c r="E60">
        <f t="shared" si="1"/>
        <v>64.960000000000079</v>
      </c>
      <c r="F60" s="20">
        <f>E60*SUM('ContractPrice-CDE'!$E$2:$E$43)/100</f>
        <v>826856011.53164899</v>
      </c>
      <c r="G60" s="40">
        <f t="shared" si="0"/>
        <v>60.749937242041057</v>
      </c>
      <c r="H60" s="40">
        <f>G60*SUM('ContractPrice-CDE'!$I$2:$I$43)/100</f>
        <v>930159656.52364898</v>
      </c>
    </row>
    <row r="61" spans="1:8" x14ac:dyDescent="0.25">
      <c r="A61" s="39">
        <v>44134</v>
      </c>
      <c r="B61">
        <v>120</v>
      </c>
      <c r="C61">
        <v>100</v>
      </c>
      <c r="D61" s="20">
        <f>C61*SUM('ContractPrice-CDE'!$E$2:$E$43)/100</f>
        <v>1272869475.8800001</v>
      </c>
      <c r="E61">
        <f t="shared" si="1"/>
        <v>66.257777777777861</v>
      </c>
      <c r="F61" s="20">
        <f>E61*SUM('ContractPrice-CDE'!$E$2:$E$43)/100</f>
        <v>843375028.72973621</v>
      </c>
      <c r="G61" s="40">
        <f t="shared" si="0"/>
        <v>62.203643270113616</v>
      </c>
      <c r="H61" s="40">
        <f>G61*SUM('ContractPrice-CDE'!$I$2:$I$43)/100</f>
        <v>952417765.1101805</v>
      </c>
    </row>
    <row r="62" spans="1:8" x14ac:dyDescent="0.25">
      <c r="A62" s="39">
        <v>44150</v>
      </c>
      <c r="B62">
        <v>122</v>
      </c>
      <c r="C62">
        <v>100</v>
      </c>
      <c r="D62" s="20">
        <f>C62*SUM('ContractPrice-CDE'!$E$2:$E$43)/100</f>
        <v>1272869475.8800001</v>
      </c>
      <c r="E62">
        <f t="shared" si="1"/>
        <v>67.555555555555642</v>
      </c>
      <c r="F62" s="20">
        <f>E62*SUM('ContractPrice-CDE'!$E$2:$E$43)/100</f>
        <v>859894045.92782331</v>
      </c>
      <c r="G62" s="40">
        <f t="shared" si="0"/>
        <v>63.657349298186176</v>
      </c>
      <c r="H62" s="40">
        <f>G62*SUM('ContractPrice-CDE'!$I$2:$I$43)/100</f>
        <v>974675873.69671214</v>
      </c>
    </row>
    <row r="63" spans="1:8" x14ac:dyDescent="0.25">
      <c r="A63" s="39">
        <v>44165</v>
      </c>
      <c r="B63">
        <v>124</v>
      </c>
      <c r="C63">
        <v>100</v>
      </c>
      <c r="D63" s="20">
        <f>C63*SUM('ContractPrice-CDE'!$E$2:$E$43)/100</f>
        <v>1272869475.8800001</v>
      </c>
      <c r="E63">
        <f t="shared" si="1"/>
        <v>68.853333333333424</v>
      </c>
      <c r="F63" s="20">
        <f>E63*SUM('ContractPrice-CDE'!$E$2:$E$43)/100</f>
        <v>876413063.12591052</v>
      </c>
      <c r="G63" s="40">
        <f t="shared" si="0"/>
        <v>65.111055326258736</v>
      </c>
      <c r="H63" s="40">
        <f>G63*SUM('ContractPrice-CDE'!$I$2:$I$43)/100</f>
        <v>996933982.28324366</v>
      </c>
    </row>
    <row r="64" spans="1:8" x14ac:dyDescent="0.25">
      <c r="A64" s="39">
        <v>44180</v>
      </c>
      <c r="B64">
        <v>126</v>
      </c>
      <c r="C64">
        <v>100</v>
      </c>
      <c r="D64" s="20">
        <f>C64*SUM('ContractPrice-CDE'!$E$2:$E$43)/100</f>
        <v>1272869475.8800001</v>
      </c>
      <c r="E64">
        <f t="shared" si="1"/>
        <v>70.151111111111206</v>
      </c>
      <c r="F64" s="20">
        <f>E64*SUM('ContractPrice-CDE'!$E$2:$E$43)/100</f>
        <v>892932080.32399786</v>
      </c>
      <c r="G64" s="40">
        <f t="shared" si="0"/>
        <v>66.564761354331296</v>
      </c>
      <c r="H64" s="40">
        <f>G64*SUM('ContractPrice-CDE'!$I$2:$I$43)/100</f>
        <v>1019192090.8697754</v>
      </c>
    </row>
    <row r="65" spans="1:8" x14ac:dyDescent="0.25">
      <c r="A65" s="39">
        <v>44195</v>
      </c>
      <c r="B65">
        <v>128</v>
      </c>
      <c r="C65">
        <v>100</v>
      </c>
      <c r="D65" s="20">
        <f>C65*SUM('ContractPrice-CDE'!$E$2:$E$43)/100</f>
        <v>1272869475.8800001</v>
      </c>
      <c r="E65">
        <f t="shared" si="1"/>
        <v>71.448888888888987</v>
      </c>
      <c r="F65" s="20">
        <f>E65*SUM('ContractPrice-CDE'!$E$2:$E$43)/100</f>
        <v>909451097.52208495</v>
      </c>
      <c r="G65" s="40">
        <f t="shared" si="0"/>
        <v>68.018467382403855</v>
      </c>
      <c r="H65" s="40">
        <f>G65*SUM('ContractPrice-CDE'!$I$2:$I$43)/100</f>
        <v>1041450199.4563069</v>
      </c>
    </row>
    <row r="66" spans="1:8" x14ac:dyDescent="0.25">
      <c r="A66" s="39">
        <v>44211</v>
      </c>
      <c r="B66">
        <v>130</v>
      </c>
      <c r="C66">
        <v>100</v>
      </c>
      <c r="D66" s="20">
        <f>C66*SUM('ContractPrice-CDE'!$E$2:$E$43)/100</f>
        <v>1272869475.8800001</v>
      </c>
      <c r="E66">
        <f t="shared" si="1"/>
        <v>72.746666666666769</v>
      </c>
      <c r="F66" s="20">
        <f>E66*SUM('ContractPrice-CDE'!$E$2:$E$43)/100</f>
        <v>925970114.72017217</v>
      </c>
      <c r="G66" s="40">
        <f t="shared" si="0"/>
        <v>69.472173410476415</v>
      </c>
      <c r="H66" s="40">
        <f>G66*SUM('ContractPrice-CDE'!$I$2:$I$43)/100</f>
        <v>1063708308.0428386</v>
      </c>
    </row>
    <row r="67" spans="1:8" x14ac:dyDescent="0.25">
      <c r="A67" s="39">
        <v>44226</v>
      </c>
      <c r="B67">
        <v>132</v>
      </c>
      <c r="C67">
        <v>100</v>
      </c>
      <c r="D67" s="20">
        <f>C67*SUM('ContractPrice-CDE'!$E$2:$E$43)/100</f>
        <v>1272869475.8800001</v>
      </c>
      <c r="E67">
        <f t="shared" si="1"/>
        <v>74.044444444444551</v>
      </c>
      <c r="F67" s="20">
        <f>E67*SUM('ContractPrice-CDE'!$E$2:$E$43)/100</f>
        <v>942489131.91825926</v>
      </c>
      <c r="G67" s="40">
        <f t="shared" si="0"/>
        <v>70.925879438548975</v>
      </c>
      <c r="H67" s="40">
        <f>G67*SUM('ContractPrice-CDE'!$I$2:$I$43)/100</f>
        <v>1085966416.6293702</v>
      </c>
    </row>
    <row r="68" spans="1:8" x14ac:dyDescent="0.25">
      <c r="A68" s="39">
        <v>44242</v>
      </c>
      <c r="B68">
        <v>134</v>
      </c>
      <c r="C68">
        <v>100</v>
      </c>
      <c r="D68" s="20">
        <f>C68*SUM('ContractPrice-CDE'!$E$2:$E$43)/100</f>
        <v>1272869475.8800001</v>
      </c>
      <c r="E68">
        <f t="shared" si="1"/>
        <v>75.342222222222333</v>
      </c>
      <c r="F68" s="20">
        <f>E68*SUM('ContractPrice-CDE'!$E$2:$E$43)/100</f>
        <v>959008149.11634648</v>
      </c>
      <c r="G68" s="40">
        <f t="shared" si="0"/>
        <v>72.379585466621535</v>
      </c>
      <c r="H68" s="40">
        <f>G68*SUM('ContractPrice-CDE'!$I$2:$I$43)/100</f>
        <v>1108224525.2159019</v>
      </c>
    </row>
    <row r="69" spans="1:8" x14ac:dyDescent="0.25">
      <c r="A69" s="39">
        <v>44255</v>
      </c>
      <c r="B69">
        <v>136</v>
      </c>
      <c r="C69">
        <v>100</v>
      </c>
      <c r="D69" s="20">
        <f>C69*SUM('ContractPrice-CDE'!$E$2:$E$43)/100</f>
        <v>1272869475.8800001</v>
      </c>
      <c r="E69">
        <f t="shared" si="1"/>
        <v>76.640000000000114</v>
      </c>
      <c r="F69" s="20">
        <f>E69*SUM('ContractPrice-CDE'!$E$2:$E$43)/100</f>
        <v>975527166.31443357</v>
      </c>
      <c r="G69" s="40">
        <f t="shared" si="0"/>
        <v>73.833291494694095</v>
      </c>
      <c r="H69" s="40">
        <f>G69*SUM('ContractPrice-CDE'!$I$2:$I$43)/100</f>
        <v>1130482633.8024333</v>
      </c>
    </row>
    <row r="70" spans="1:8" x14ac:dyDescent="0.25">
      <c r="A70" s="39">
        <v>44270</v>
      </c>
      <c r="B70">
        <v>138</v>
      </c>
      <c r="C70">
        <v>100</v>
      </c>
      <c r="D70" s="20">
        <f>C70*SUM('ContractPrice-CDE'!$E$2:$E$43)/100</f>
        <v>1272869475.8800001</v>
      </c>
      <c r="E70">
        <f t="shared" si="1"/>
        <v>77.937777777777896</v>
      </c>
      <c r="F70" s="20">
        <f>E70*SUM('ContractPrice-CDE'!$E$2:$E$43)/100</f>
        <v>992046183.51252079</v>
      </c>
      <c r="G70" s="40">
        <f t="shared" si="0"/>
        <v>75.286997522766654</v>
      </c>
      <c r="H70" s="40">
        <f>G70*SUM('ContractPrice-CDE'!$I$2:$I$43)/100</f>
        <v>1152740742.3889649</v>
      </c>
    </row>
    <row r="71" spans="1:8" x14ac:dyDescent="0.25">
      <c r="A71" s="39">
        <v>44285</v>
      </c>
      <c r="B71">
        <v>140</v>
      </c>
      <c r="C71">
        <v>100</v>
      </c>
      <c r="D71" s="20">
        <f>C71*SUM('ContractPrice-CDE'!$E$2:$E$43)/100</f>
        <v>1272869475.8800001</v>
      </c>
      <c r="E71">
        <f t="shared" si="1"/>
        <v>79.235555555555678</v>
      </c>
      <c r="F71" s="20">
        <f>E71*SUM('ContractPrice-CDE'!$E$2:$E$43)/100</f>
        <v>1008565200.7106079</v>
      </c>
      <c r="G71" s="40">
        <f t="shared" si="0"/>
        <v>76.740703550839214</v>
      </c>
      <c r="H71" s="40">
        <f>G71*SUM('ContractPrice-CDE'!$I$2:$I$43)/100</f>
        <v>1174998850.9754965</v>
      </c>
    </row>
    <row r="72" spans="1:8" x14ac:dyDescent="0.25">
      <c r="A72" s="39">
        <v>44301</v>
      </c>
      <c r="B72">
        <v>142</v>
      </c>
      <c r="C72">
        <v>100</v>
      </c>
      <c r="D72" s="20">
        <f>C72*SUM('ContractPrice-CDE'!$E$2:$E$43)/100</f>
        <v>1272869475.8800001</v>
      </c>
      <c r="E72">
        <f t="shared" si="1"/>
        <v>80.533333333333459</v>
      </c>
      <c r="F72" s="20">
        <f>E72*SUM('ContractPrice-CDE'!$E$2:$E$43)/100</f>
        <v>1025084217.9086951</v>
      </c>
      <c r="G72" s="40">
        <f t="shared" si="0"/>
        <v>78.194409578911774</v>
      </c>
      <c r="H72" s="40">
        <f>G72*SUM('ContractPrice-CDE'!$I$2:$I$43)/100</f>
        <v>1197256959.5620282</v>
      </c>
    </row>
    <row r="73" spans="1:8" x14ac:dyDescent="0.25">
      <c r="A73" s="39">
        <v>44316</v>
      </c>
      <c r="B73">
        <v>144</v>
      </c>
      <c r="C73">
        <v>100</v>
      </c>
      <c r="D73" s="20">
        <f>C73*SUM('ContractPrice-CDE'!$E$2:$E$43)/100</f>
        <v>1272869475.8800001</v>
      </c>
      <c r="E73">
        <f t="shared" si="1"/>
        <v>81.831111111111241</v>
      </c>
      <c r="F73" s="20">
        <f>E73*SUM('ContractPrice-CDE'!$E$2:$E$43)/100</f>
        <v>1041603235.1067822</v>
      </c>
      <c r="G73" s="40">
        <f t="shared" si="0"/>
        <v>79.648115606984334</v>
      </c>
      <c r="H73" s="40">
        <f>G73*SUM('ContractPrice-CDE'!$I$2:$I$43)/100</f>
        <v>1219515068.1485598</v>
      </c>
    </row>
    <row r="74" spans="1:8" x14ac:dyDescent="0.25">
      <c r="A74" s="39">
        <v>44331</v>
      </c>
      <c r="B74">
        <v>146</v>
      </c>
      <c r="C74">
        <v>100</v>
      </c>
      <c r="D74" s="20">
        <f>C74*SUM('ContractPrice-CDE'!$E$2:$E$43)/100</f>
        <v>1272869475.8800001</v>
      </c>
      <c r="E74">
        <f t="shared" si="1"/>
        <v>83.128888888889023</v>
      </c>
      <c r="F74" s="20">
        <f>E74*SUM('ContractPrice-CDE'!$E$2:$E$43)/100</f>
        <v>1058122252.3048694</v>
      </c>
      <c r="G74" s="40">
        <f t="shared" si="0"/>
        <v>81.101821635056893</v>
      </c>
      <c r="H74" s="40">
        <f>G74*SUM('ContractPrice-CDE'!$I$2:$I$43)/100</f>
        <v>1241773176.7350914</v>
      </c>
    </row>
    <row r="75" spans="1:8" x14ac:dyDescent="0.25">
      <c r="A75" s="39">
        <v>44346</v>
      </c>
      <c r="B75">
        <v>148</v>
      </c>
      <c r="C75">
        <v>100</v>
      </c>
      <c r="D75" s="20">
        <f>C75*SUM('ContractPrice-CDE'!$E$2:$E$43)/100</f>
        <v>1272869475.8800001</v>
      </c>
      <c r="E75">
        <f t="shared" si="1"/>
        <v>84.426666666666804</v>
      </c>
      <c r="F75" s="20">
        <f>E75*SUM('ContractPrice-CDE'!$E$2:$E$43)/100</f>
        <v>1074641269.5029566</v>
      </c>
      <c r="G75" s="40">
        <f t="shared" si="0"/>
        <v>82.555527663129453</v>
      </c>
      <c r="H75" s="40">
        <f>G75*SUM('ContractPrice-CDE'!$I$2:$I$43)/100</f>
        <v>1264031285.3216231</v>
      </c>
    </row>
    <row r="76" spans="1:8" x14ac:dyDescent="0.25">
      <c r="A76" s="39">
        <v>44362</v>
      </c>
      <c r="B76">
        <v>150</v>
      </c>
      <c r="C76">
        <v>100</v>
      </c>
      <c r="D76" s="20">
        <f>C76*SUM('ContractPrice-CDE'!$E$2:$E$43)/100</f>
        <v>1272869475.8800001</v>
      </c>
      <c r="E76">
        <f t="shared" si="1"/>
        <v>85.724444444444586</v>
      </c>
      <c r="F76" s="20">
        <f>E76*SUM('ContractPrice-CDE'!$E$2:$E$43)/100</f>
        <v>1091160286.7010436</v>
      </c>
      <c r="G76" s="40">
        <f t="shared" si="0"/>
        <v>84.009233691202013</v>
      </c>
      <c r="H76" s="40">
        <f>G76*SUM('ContractPrice-CDE'!$I$2:$I$43)/100</f>
        <v>1286289393.9081545</v>
      </c>
    </row>
    <row r="77" spans="1:8" x14ac:dyDescent="0.25">
      <c r="A77" s="39">
        <v>44377</v>
      </c>
      <c r="B77">
        <v>152</v>
      </c>
      <c r="C77">
        <v>100</v>
      </c>
      <c r="D77" s="20">
        <f>C77*SUM('ContractPrice-CDE'!$E$2:$E$43)/100</f>
        <v>1272869475.8800001</v>
      </c>
      <c r="E77">
        <f t="shared" si="1"/>
        <v>87.022222222222368</v>
      </c>
      <c r="F77" s="20">
        <f>E77*SUM('ContractPrice-CDE'!$E$2:$E$43)/100</f>
        <v>1107679303.8991308</v>
      </c>
      <c r="G77" s="40">
        <f t="shared" si="0"/>
        <v>85.462939719274573</v>
      </c>
      <c r="H77" s="40">
        <f>G77*SUM('ContractPrice-CDE'!$I$2:$I$43)/100</f>
        <v>1308547502.4946864</v>
      </c>
    </row>
    <row r="78" spans="1:8" x14ac:dyDescent="0.25">
      <c r="A78" s="39">
        <v>44392</v>
      </c>
      <c r="B78">
        <v>154</v>
      </c>
      <c r="C78">
        <v>100</v>
      </c>
      <c r="D78" s="20">
        <f>C78*SUM('ContractPrice-CDE'!$E$2:$E$43)/100</f>
        <v>1272869475.8800001</v>
      </c>
      <c r="E78">
        <f t="shared" si="1"/>
        <v>88.320000000000149</v>
      </c>
      <c r="F78" s="20">
        <f>E78*SUM('ContractPrice-CDE'!$E$2:$E$43)/100</f>
        <v>1124198321.097218</v>
      </c>
      <c r="G78" s="40">
        <f t="shared" si="0"/>
        <v>86.916645747347133</v>
      </c>
      <c r="H78" s="40">
        <f>G78*SUM('ContractPrice-CDE'!$I$2:$I$43)/100</f>
        <v>1330805611.0812178</v>
      </c>
    </row>
    <row r="79" spans="1:8" x14ac:dyDescent="0.25">
      <c r="A79" s="39">
        <v>44407</v>
      </c>
      <c r="B79">
        <v>156</v>
      </c>
      <c r="C79">
        <v>100</v>
      </c>
      <c r="D79" s="20">
        <f>C79*SUM('ContractPrice-CDE'!$E$2:$E$43)/100</f>
        <v>1272869475.8800001</v>
      </c>
      <c r="E79">
        <f t="shared" si="1"/>
        <v>89.617777777777931</v>
      </c>
      <c r="F79" s="20">
        <f>E79*SUM('ContractPrice-CDE'!$E$2:$E$43)/100</f>
        <v>1140717338.2953053</v>
      </c>
      <c r="G79" s="40">
        <f t="shared" si="0"/>
        <v>88.370351775419692</v>
      </c>
      <c r="H79" s="40">
        <f>G79*SUM('ContractPrice-CDE'!$I$2:$I$43)/100</f>
        <v>1353063719.6677494</v>
      </c>
    </row>
    <row r="80" spans="1:8" x14ac:dyDescent="0.25">
      <c r="A80" s="39">
        <v>44423</v>
      </c>
      <c r="B80">
        <v>158</v>
      </c>
      <c r="C80">
        <v>100</v>
      </c>
      <c r="D80" s="20">
        <f>C80*SUM('ContractPrice-CDE'!$E$2:$E$43)/100</f>
        <v>1272869475.8800001</v>
      </c>
      <c r="E80">
        <f t="shared" si="1"/>
        <v>90.915555555555713</v>
      </c>
      <c r="F80" s="20">
        <f>E80*SUM('ContractPrice-CDE'!$E$2:$E$43)/100</f>
        <v>1157236355.4933922</v>
      </c>
      <c r="G80" s="40">
        <f t="shared" si="0"/>
        <v>89.824057803492252</v>
      </c>
      <c r="H80" s="40">
        <f>G80*SUM('ContractPrice-CDE'!$I$2:$I$43)/100</f>
        <v>1375321828.254281</v>
      </c>
    </row>
    <row r="81" spans="1:8" x14ac:dyDescent="0.25">
      <c r="A81" s="39">
        <v>44438</v>
      </c>
      <c r="B81">
        <v>160</v>
      </c>
      <c r="C81">
        <v>100</v>
      </c>
      <c r="D81" s="20">
        <f>C81*SUM('ContractPrice-CDE'!$E$2:$E$43)/100</f>
        <v>1272869475.8800001</v>
      </c>
      <c r="E81">
        <f t="shared" si="1"/>
        <v>92.213333333333495</v>
      </c>
      <c r="F81" s="20">
        <f>E81*SUM('ContractPrice-CDE'!$E$2:$E$43)/100</f>
        <v>1173755372.6914794</v>
      </c>
      <c r="G81" s="40">
        <f t="shared" si="0"/>
        <v>91.277763831564812</v>
      </c>
      <c r="H81" s="40">
        <f>G81*SUM('ContractPrice-CDE'!$I$2:$I$43)/100</f>
        <v>1397579936.8408127</v>
      </c>
    </row>
    <row r="82" spans="1:8" x14ac:dyDescent="0.25">
      <c r="A82" s="39">
        <v>44454</v>
      </c>
      <c r="B82">
        <v>162</v>
      </c>
      <c r="C82">
        <v>100</v>
      </c>
      <c r="D82" s="20">
        <f>C82*SUM('ContractPrice-CDE'!$E$2:$E$43)/100</f>
        <v>1272869475.8800001</v>
      </c>
      <c r="E82">
        <f t="shared" si="1"/>
        <v>93.511111111111276</v>
      </c>
      <c r="F82" s="20">
        <f>E82*SUM('ContractPrice-CDE'!$E$2:$E$43)/100</f>
        <v>1190274389.8895667</v>
      </c>
      <c r="G82" s="40">
        <f t="shared" si="0"/>
        <v>92.731469859637372</v>
      </c>
      <c r="H82" s="40">
        <f>G82*SUM('ContractPrice-CDE'!$I$2:$I$43)/100</f>
        <v>1419838045.4273443</v>
      </c>
    </row>
    <row r="83" spans="1:8" x14ac:dyDescent="0.25">
      <c r="A83" s="39">
        <v>44469</v>
      </c>
      <c r="B83">
        <v>164</v>
      </c>
      <c r="C83">
        <v>100</v>
      </c>
      <c r="D83" s="20">
        <f>C83*SUM('ContractPrice-CDE'!$E$2:$E$43)/100</f>
        <v>1272869475.8800001</v>
      </c>
      <c r="E83">
        <f t="shared" si="1"/>
        <v>94.808888888889058</v>
      </c>
      <c r="F83" s="20">
        <f>E83*SUM('ContractPrice-CDE'!$E$2:$E$43)/100</f>
        <v>1206793407.0876539</v>
      </c>
      <c r="G83" s="40">
        <f t="shared" si="0"/>
        <v>94.185175887709931</v>
      </c>
      <c r="H83" s="40">
        <f>G83*SUM('ContractPrice-CDE'!$I$2:$I$43)/100</f>
        <v>1442096154.0138757</v>
      </c>
    </row>
    <row r="84" spans="1:8" x14ac:dyDescent="0.25">
      <c r="A84" s="39">
        <v>44484</v>
      </c>
      <c r="B84">
        <v>166</v>
      </c>
      <c r="C84">
        <v>100</v>
      </c>
      <c r="D84" s="20">
        <f>C84*SUM('ContractPrice-CDE'!$E$2:$E$43)/100</f>
        <v>1272869475.8800001</v>
      </c>
      <c r="E84">
        <f t="shared" si="1"/>
        <v>96.10666666666684</v>
      </c>
      <c r="F84" s="20">
        <f>E84*SUM('ContractPrice-CDE'!$E$2:$E$43)/100</f>
        <v>1223312424.2857409</v>
      </c>
      <c r="G84" s="40">
        <f t="shared" si="0"/>
        <v>95.638881915782491</v>
      </c>
      <c r="H84" s="40">
        <f>G84*SUM('ContractPrice-CDE'!$I$2:$I$43)/100</f>
        <v>1464354262.6004074</v>
      </c>
    </row>
    <row r="85" spans="1:8" x14ac:dyDescent="0.25">
      <c r="A85" s="39">
        <v>44499</v>
      </c>
      <c r="B85">
        <v>168</v>
      </c>
      <c r="C85">
        <v>100</v>
      </c>
      <c r="D85" s="20">
        <f>C85*SUM('ContractPrice-CDE'!$E$2:$E$43)/100</f>
        <v>1272869475.8800001</v>
      </c>
      <c r="E85">
        <f t="shared" si="1"/>
        <v>97.404444444444621</v>
      </c>
      <c r="F85" s="20">
        <f>E85*SUM('ContractPrice-CDE'!$E$2:$E$43)/100</f>
        <v>1239831441.4838281</v>
      </c>
      <c r="G85" s="40">
        <f t="shared" si="0"/>
        <v>97.092587943855051</v>
      </c>
      <c r="H85" s="40">
        <f>G85*SUM('ContractPrice-CDE'!$I$2:$I$43)/100</f>
        <v>1486612371.186939</v>
      </c>
    </row>
    <row r="86" spans="1:8" x14ac:dyDescent="0.25">
      <c r="A86" s="39">
        <v>44515</v>
      </c>
      <c r="B86">
        <v>170</v>
      </c>
      <c r="C86">
        <v>100</v>
      </c>
      <c r="D86" s="20">
        <f>C86*SUM('ContractPrice-CDE'!$E$2:$E$43)/100</f>
        <v>1272869475.8800001</v>
      </c>
      <c r="E86">
        <f t="shared" si="1"/>
        <v>98.702222222222403</v>
      </c>
      <c r="F86" s="20">
        <f>E86*SUM('ContractPrice-CDE'!$E$2:$E$43)/100</f>
        <v>1256350458.6819153</v>
      </c>
      <c r="G86" s="40">
        <f t="shared" si="0"/>
        <v>98.546293971927611</v>
      </c>
      <c r="H86" s="40">
        <f>G86*SUM('ContractPrice-CDE'!$I$2:$I$43)/100</f>
        <v>1508870479.7734709</v>
      </c>
    </row>
    <row r="87" spans="1:8" x14ac:dyDescent="0.25">
      <c r="A87" s="39">
        <v>44530</v>
      </c>
      <c r="B87">
        <v>172</v>
      </c>
      <c r="C87">
        <v>100</v>
      </c>
      <c r="D87" s="20">
        <f>C87*SUM('ContractPrice-CDE'!$E$2:$E$43)/100</f>
        <v>1272869475.8800001</v>
      </c>
      <c r="E87">
        <f t="shared" si="1"/>
        <v>100.00000000000018</v>
      </c>
      <c r="F87" s="20">
        <f>E87*SUM('ContractPrice-CDE'!$E$2:$E$43)/100</f>
        <v>1272869475.8800025</v>
      </c>
      <c r="G87" s="40">
        <f t="shared" si="0"/>
        <v>100.00000000000017</v>
      </c>
      <c r="H87" s="40">
        <f>G87*SUM('ContractPrice-CDE'!$I$2:$I$43)/100</f>
        <v>1531128588.360002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5A42713EFA1F49B216E6AB66C61527" ma:contentTypeVersion="12" ma:contentTypeDescription="Create a new document." ma:contentTypeScope="" ma:versionID="35469ec60fef3743efffbe68c0eabe25">
  <xsd:schema xmlns:xsd="http://www.w3.org/2001/XMLSchema" xmlns:xs="http://www.w3.org/2001/XMLSchema" xmlns:p="http://schemas.microsoft.com/office/2006/metadata/properties" xmlns:ns2="20999e6b-1b67-4842-9370-66ed17b88724" xmlns:ns3="6b80d2d6-1455-49d4-b021-9f66bbc1a189" targetNamespace="http://schemas.microsoft.com/office/2006/metadata/properties" ma:root="true" ma:fieldsID="61716f6e73fa365d5a7fb015e172eb52" ns2:_="" ns3:_="">
    <xsd:import namespace="20999e6b-1b67-4842-9370-66ed17b88724"/>
    <xsd:import namespace="6b80d2d6-1455-49d4-b021-9f66bbc1a18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999e6b-1b67-4842-9370-66ed17b887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b80d2d6-1455-49d4-b021-9f66bbc1a18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413F3D2-B91B-4415-8B0C-7CFE5150CB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999e6b-1b67-4842-9370-66ed17b88724"/>
    <ds:schemaRef ds:uri="6b80d2d6-1455-49d4-b021-9f66bbc1a1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A040B5-32DF-4195-A67E-7D1297A33AF6}">
  <ds:schemaRefs>
    <ds:schemaRef ds:uri="http://schemas.microsoft.com/sharepoint/v3/contenttype/forms"/>
  </ds:schemaRefs>
</ds:datastoreItem>
</file>

<file path=customXml/itemProps3.xml><?xml version="1.0" encoding="utf-8"?>
<ds:datastoreItem xmlns:ds="http://schemas.openxmlformats.org/officeDocument/2006/customXml" ds:itemID="{E0167D79-863A-4E54-BFD0-027BEB9930E1}">
  <ds:schemaRefs>
    <ds:schemaRef ds:uri="http://purl.org/dc/dcmitype/"/>
    <ds:schemaRef ds:uri="http://schemas.openxmlformats.org/package/2006/metadata/core-properties"/>
    <ds:schemaRef ds:uri="http://schemas.microsoft.com/office/2006/documentManagement/types"/>
    <ds:schemaRef ds:uri="http://schemas.microsoft.com/office/2006/metadata/properties"/>
    <ds:schemaRef ds:uri="http://purl.org/dc/terms/"/>
    <ds:schemaRef ds:uri="http://purl.org/dc/elements/1.1/"/>
    <ds:schemaRef ds:uri="6b80d2d6-1455-49d4-b021-9f66bbc1a189"/>
    <ds:schemaRef ds:uri="http://schemas.microsoft.com/office/infopath/2007/PartnerControls"/>
    <ds:schemaRef ds:uri="20999e6b-1b67-4842-9370-66ed17b8872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Note</vt:lpstr>
      <vt:lpstr>May</vt:lpstr>
      <vt:lpstr>June</vt:lpstr>
      <vt:lpstr>May-June_Comp</vt:lpstr>
      <vt:lpstr>summary</vt:lpstr>
      <vt:lpstr>ContractPrice-CDE</vt:lpstr>
      <vt:lpstr>Progress-C</vt:lpstr>
      <vt:lpstr>Progress-D</vt:lpstr>
      <vt:lpstr>Progress-E</vt:lpstr>
      <vt:lpstr>Progress-CDE</vt:lpstr>
      <vt:lpstr>Risk0</vt:lpstr>
      <vt:lpstr>Risk</vt:lpstr>
      <vt:lpstr>Tonghop1</vt:lpstr>
      <vt:lpstr>Tonghop2</vt:lpstr>
      <vt:lpstr>Tonghop2_Table</vt:lpstr>
      <vt:lpstr>Contract-Sum</vt:lpstr>
      <vt:lpstr>Contract-Sum-Append</vt:lpstr>
      <vt:lpstr>Risk_Report</vt:lpstr>
      <vt:lpstr>Risk_Report!Print_Area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AlexKarl</dc:creator>
  <cp:lastModifiedBy>Nam Le</cp:lastModifiedBy>
  <cp:lastPrinted>2020-08-07T01:47:41Z</cp:lastPrinted>
  <dcterms:created xsi:type="dcterms:W3CDTF">2020-08-03T00:29:33Z</dcterms:created>
  <dcterms:modified xsi:type="dcterms:W3CDTF">2020-08-10T06:39:07Z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0x010100EE5A42713EFA1F49B216E6AB66C61527</vt:lpwstr>
  </property>
</Properties>
</file>